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440" windowHeight="15600" tabRatio="913" firstSheet="18" activeTab="26"/>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eductions to net capex" sheetId="38" r:id="rId12"/>
    <sheet name="RRP 1.3" sheetId="18" r:id="rId13"/>
    <sheet name="RRP 2.3" sheetId="4" r:id="rId14"/>
    <sheet name="RRP 2.4" sheetId="3" r:id="rId15"/>
    <sheet name="RRP 2.6" sheetId="2" r:id="rId16"/>
    <sheet name="RRP 5.1" sheetId="1" r:id="rId17"/>
    <sheet name="Summary of revenue" sheetId="21" r:id="rId18"/>
    <sheet name="Data-MEAV" sheetId="40" r:id="rId19"/>
    <sheet name="Calc-MEAV" sheetId="16" r:id="rId20"/>
    <sheet name="Calc-Units" sheetId="19" r:id="rId21"/>
    <sheet name="Calc-Net capex" sheetId="12" r:id="rId22"/>
    <sheet name="Calc DNO Opex Allocation" sheetId="13" r:id="rId23"/>
    <sheet name="Calc-Drivers" sheetId="7" r:id="rId24"/>
    <sheet name="DNO Final Allocation" sheetId="17" r:id="rId25"/>
    <sheet name="Allocation Summary" sheetId="23" r:id="rId26"/>
    <sheet name="Results" sheetId="36" r:id="rId27"/>
  </sheets>
  <externalReferences>
    <externalReference r:id="rId28"/>
    <externalReference r:id="rId29"/>
    <externalReference r:id="rId30"/>
    <externalReference r:id="rId31"/>
    <externalReference r:id="rId32"/>
  </externalReferences>
  <definedNames>
    <definedName name="_xlnm._FilterDatabase" localSheetId="0" hidden="1">Index!$A$9:$B$37</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6">'RRP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52" i="40" l="1"/>
  <c r="E151" i="40"/>
  <c r="E145" i="40"/>
  <c r="E141" i="40"/>
  <c r="E117" i="40"/>
  <c r="E110" i="40"/>
  <c r="E64" i="40"/>
  <c r="L71" i="2"/>
  <c r="K71" i="2"/>
  <c r="J71" i="2"/>
  <c r="I71" i="2"/>
  <c r="H71" i="2"/>
  <c r="G71" i="2"/>
  <c r="G67" i="2"/>
  <c r="J51" i="2"/>
  <c r="H51" i="2"/>
  <c r="G51" i="2"/>
  <c r="I50" i="2"/>
  <c r="K50" i="2" s="1"/>
  <c r="K49" i="2"/>
  <c r="I49" i="2"/>
  <c r="I48" i="2"/>
  <c r="K48" i="2" s="1"/>
  <c r="K47" i="2"/>
  <c r="I47" i="2"/>
  <c r="I46" i="2"/>
  <c r="K46" i="2" s="1"/>
  <c r="K45" i="2"/>
  <c r="I45" i="2"/>
  <c r="I44" i="2"/>
  <c r="K44" i="2" s="1"/>
  <c r="K43" i="2"/>
  <c r="I43" i="2"/>
  <c r="I42" i="2"/>
  <c r="K42" i="2" s="1"/>
  <c r="K41" i="2"/>
  <c r="I41" i="2"/>
  <c r="I40" i="2"/>
  <c r="K40" i="2" s="1"/>
  <c r="K39" i="2"/>
  <c r="I39" i="2"/>
  <c r="I38" i="2"/>
  <c r="K38" i="2" s="1"/>
  <c r="G34" i="2"/>
  <c r="H23" i="2"/>
  <c r="H19" i="2"/>
  <c r="H15" i="2"/>
  <c r="H25" i="2" s="1"/>
  <c r="G89" i="3"/>
  <c r="F89" i="3"/>
  <c r="E88" i="3"/>
  <c r="E87" i="3"/>
  <c r="E86" i="3"/>
  <c r="E85" i="3"/>
  <c r="E84" i="3"/>
  <c r="E83" i="3"/>
  <c r="E82" i="3"/>
  <c r="E89" i="3" s="1"/>
  <c r="H73" i="3"/>
  <c r="E73" i="3"/>
  <c r="I72" i="3"/>
  <c r="H71" i="3"/>
  <c r="G71" i="3"/>
  <c r="G73" i="3" s="1"/>
  <c r="F71" i="3"/>
  <c r="F73" i="3" s="1"/>
  <c r="E71" i="3"/>
  <c r="I70" i="3"/>
  <c r="I69" i="3"/>
  <c r="I68" i="3"/>
  <c r="I67" i="3"/>
  <c r="I66" i="3"/>
  <c r="I65" i="3"/>
  <c r="I64" i="3"/>
  <c r="I63" i="3"/>
  <c r="I71" i="3" s="1"/>
  <c r="I62" i="3"/>
  <c r="G57" i="3"/>
  <c r="F56" i="3"/>
  <c r="G56" i="3" s="1"/>
  <c r="E56" i="3"/>
  <c r="E58" i="3" s="1"/>
  <c r="G55" i="3"/>
  <c r="G54" i="3"/>
  <c r="G53" i="3"/>
  <c r="G52" i="3"/>
  <c r="G51" i="3"/>
  <c r="G50" i="3"/>
  <c r="G49" i="3"/>
  <c r="G48" i="3"/>
  <c r="G47" i="3"/>
  <c r="G46" i="3"/>
  <c r="G45" i="3"/>
  <c r="G44" i="3"/>
  <c r="G43" i="3"/>
  <c r="G42" i="3"/>
  <c r="G41" i="3"/>
  <c r="G40" i="3"/>
  <c r="G39" i="3"/>
  <c r="G38" i="3"/>
  <c r="G37" i="3"/>
  <c r="G36" i="3"/>
  <c r="G35" i="3"/>
  <c r="G34" i="3"/>
  <c r="G33" i="3"/>
  <c r="G32" i="3"/>
  <c r="G31" i="3"/>
  <c r="K25" i="3"/>
  <c r="G25" i="3"/>
  <c r="L24" i="3"/>
  <c r="K23" i="3"/>
  <c r="H23" i="3"/>
  <c r="H25" i="3" s="1"/>
  <c r="G23" i="3"/>
  <c r="L22" i="3"/>
  <c r="K21" i="3"/>
  <c r="J21" i="3"/>
  <c r="J23" i="3" s="1"/>
  <c r="J25" i="3" s="1"/>
  <c r="I21" i="3"/>
  <c r="I23" i="3" s="1"/>
  <c r="I25" i="3" s="1"/>
  <c r="H21" i="3"/>
  <c r="G21" i="3"/>
  <c r="F21" i="3"/>
  <c r="F23" i="3" s="1"/>
  <c r="F25" i="3" s="1"/>
  <c r="E21" i="3"/>
  <c r="E23" i="3" s="1"/>
  <c r="L20" i="3"/>
  <c r="L19" i="3"/>
  <c r="L18" i="3"/>
  <c r="L17" i="3"/>
  <c r="L16" i="3"/>
  <c r="L15" i="3"/>
  <c r="L14" i="3"/>
  <c r="L13" i="3"/>
  <c r="L12" i="3"/>
  <c r="L21" i="3" s="1"/>
  <c r="L11" i="3"/>
  <c r="L10" i="3"/>
  <c r="G48" i="4"/>
  <c r="K40" i="4"/>
  <c r="I40" i="4"/>
  <c r="K34" i="4"/>
  <c r="I34" i="4"/>
  <c r="F34" i="4"/>
  <c r="E34" i="4"/>
  <c r="G33" i="4"/>
  <c r="G31" i="4"/>
  <c r="G30" i="4"/>
  <c r="G28" i="4"/>
  <c r="G27" i="4"/>
  <c r="G26" i="4"/>
  <c r="G25" i="4"/>
  <c r="G24" i="4"/>
  <c r="G23" i="4"/>
  <c r="G22" i="4"/>
  <c r="G21" i="4"/>
  <c r="G20" i="4"/>
  <c r="G19" i="4"/>
  <c r="G18" i="4"/>
  <c r="G17" i="4"/>
  <c r="G14" i="4"/>
  <c r="G13" i="4"/>
  <c r="G11" i="4"/>
  <c r="G34" i="4" s="1"/>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G100" i="28" s="1"/>
  <c r="K110" i="28"/>
  <c r="F100" i="28" s="1"/>
  <c r="C110" i="28"/>
  <c r="S109" i="28"/>
  <c r="K109" i="28"/>
  <c r="C109" i="28"/>
  <c r="S108" i="28"/>
  <c r="K108" i="28"/>
  <c r="C108" i="28"/>
  <c r="D98" i="28" s="1"/>
  <c r="C98" i="28" s="1"/>
  <c r="S107" i="28"/>
  <c r="S111" i="28" s="1"/>
  <c r="K107" i="28"/>
  <c r="K111" i="28" s="1"/>
  <c r="C107" i="28"/>
  <c r="C111" i="28" s="1"/>
  <c r="E101" i="28"/>
  <c r="D100" i="28"/>
  <c r="C100" i="28" s="1"/>
  <c r="G99" i="28"/>
  <c r="F99" i="28"/>
  <c r="H99" i="28" s="1"/>
  <c r="D99" i="28"/>
  <c r="C99" i="28" s="1"/>
  <c r="G98" i="28"/>
  <c r="F98" i="28"/>
  <c r="H98" i="28" s="1"/>
  <c r="G97" i="28"/>
  <c r="D97" i="28"/>
  <c r="D101" i="28" s="1"/>
  <c r="C97" i="28"/>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K83" i="28" s="1"/>
  <c r="C82" i="28"/>
  <c r="S81" i="28"/>
  <c r="K81" i="28"/>
  <c r="C81" i="28"/>
  <c r="S80" i="28"/>
  <c r="K80" i="28"/>
  <c r="C80" i="28"/>
  <c r="S79" i="28"/>
  <c r="S83" i="28" s="1"/>
  <c r="K79" i="28"/>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K65" i="28" s="1"/>
  <c r="C64" i="28"/>
  <c r="S63" i="28"/>
  <c r="K63" i="28"/>
  <c r="C63" i="28"/>
  <c r="S62" i="28"/>
  <c r="K62" i="28"/>
  <c r="C62" i="28"/>
  <c r="S61" i="28"/>
  <c r="S65" i="28" s="1"/>
  <c r="K61" i="28"/>
  <c r="C61" i="28"/>
  <c r="C65" i="28" s="1"/>
  <c r="H55" i="28"/>
  <c r="G55" i="28"/>
  <c r="F55" i="28"/>
  <c r="E55" i="28"/>
  <c r="D55" i="28"/>
  <c r="C55" i="28"/>
  <c r="M46" i="28"/>
  <c r="M10" i="28" s="1"/>
  <c r="M25" i="28" s="1"/>
  <c r="L46" i="28"/>
  <c r="K46" i="28"/>
  <c r="J46" i="28"/>
  <c r="J10" i="28" s="1"/>
  <c r="J25" i="28" s="1"/>
  <c r="I46" i="28"/>
  <c r="I10" i="28" s="1"/>
  <c r="I25" i="28" s="1"/>
  <c r="H46" i="28"/>
  <c r="G46" i="28"/>
  <c r="F46" i="28"/>
  <c r="F10" i="28" s="1"/>
  <c r="F25" i="28" s="1"/>
  <c r="E46" i="28"/>
  <c r="E10" i="28" s="1"/>
  <c r="E25" i="28" s="1"/>
  <c r="D46" i="28"/>
  <c r="M37" i="28"/>
  <c r="L37" i="28"/>
  <c r="K37" i="28"/>
  <c r="J37" i="28"/>
  <c r="I37" i="28"/>
  <c r="H37" i="28"/>
  <c r="G37" i="28"/>
  <c r="F37" i="28"/>
  <c r="E37" i="28"/>
  <c r="D37" i="28"/>
  <c r="L10" i="28"/>
  <c r="L25" i="28" s="1"/>
  <c r="K10" i="28"/>
  <c r="K25" i="28" s="1"/>
  <c r="H10" i="28"/>
  <c r="H25" i="28" s="1"/>
  <c r="G10" i="28"/>
  <c r="G25" i="28" s="1"/>
  <c r="D10" i="28"/>
  <c r="D25" i="28" s="1"/>
  <c r="S153" i="6"/>
  <c r="Q153" i="6"/>
  <c r="T153" i="6" s="1"/>
  <c r="P153" i="6"/>
  <c r="O153" i="6"/>
  <c r="T152" i="6"/>
  <c r="S152" i="6"/>
  <c r="Q152" i="6"/>
  <c r="P152" i="6"/>
  <c r="O152" i="6"/>
  <c r="T151" i="6"/>
  <c r="S151" i="6"/>
  <c r="Q151" i="6"/>
  <c r="P151" i="6"/>
  <c r="O151" i="6"/>
  <c r="S148" i="6"/>
  <c r="Q148" i="6"/>
  <c r="T148" i="6" s="1"/>
  <c r="P148" i="6"/>
  <c r="O148" i="6"/>
  <c r="S147" i="6"/>
  <c r="Q147" i="6"/>
  <c r="T147" i="6" s="1"/>
  <c r="P147" i="6"/>
  <c r="O147" i="6"/>
  <c r="T146" i="6"/>
  <c r="S146" i="6"/>
  <c r="Q146" i="6"/>
  <c r="P146" i="6"/>
  <c r="O146" i="6"/>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T19" i="10"/>
  <c r="S19" i="10"/>
  <c r="Q19" i="10"/>
  <c r="P19" i="10"/>
  <c r="O19" i="10"/>
  <c r="S18" i="10"/>
  <c r="Q18" i="10"/>
  <c r="T18" i="10" s="1"/>
  <c r="P18" i="10"/>
  <c r="O18" i="10"/>
  <c r="S16" i="10"/>
  <c r="Q16" i="10"/>
  <c r="T16" i="10" s="1"/>
  <c r="P16" i="10"/>
  <c r="O16" i="10"/>
  <c r="T15" i="10"/>
  <c r="S15" i="10"/>
  <c r="Q15" i="10"/>
  <c r="P15" i="10"/>
  <c r="O15" i="10"/>
  <c r="T14" i="10"/>
  <c r="S14" i="10"/>
  <c r="Q14" i="10"/>
  <c r="P14" i="10"/>
  <c r="O14" i="10"/>
  <c r="S13" i="10"/>
  <c r="Q13" i="10"/>
  <c r="T13" i="10" s="1"/>
  <c r="P13" i="10"/>
  <c r="O13" i="10"/>
  <c r="S12" i="10"/>
  <c r="Q12" i="10"/>
  <c r="T12" i="10" s="1"/>
  <c r="P12" i="10"/>
  <c r="O12" i="10"/>
  <c r="S11" i="10"/>
  <c r="T11" i="10" s="1"/>
  <c r="Q11" i="10"/>
  <c r="P11" i="10"/>
  <c r="O11" i="10"/>
  <c r="H263" i="27"/>
  <c r="G263" i="27"/>
  <c r="F263" i="27"/>
  <c r="E263" i="27"/>
  <c r="D263" i="27"/>
  <c r="Q262" i="27"/>
  <c r="T262" i="27" s="1"/>
  <c r="P262" i="27"/>
  <c r="O262" i="27"/>
  <c r="M262" i="27"/>
  <c r="L262" i="27"/>
  <c r="K262" i="27"/>
  <c r="J262" i="27"/>
  <c r="I262" i="27"/>
  <c r="S262" i="27" s="1"/>
  <c r="T258" i="27"/>
  <c r="Q258" i="27"/>
  <c r="P258" i="27"/>
  <c r="O258" i="27"/>
  <c r="M258" i="27"/>
  <c r="L258" i="27"/>
  <c r="K258" i="27"/>
  <c r="J258" i="27"/>
  <c r="I258" i="27"/>
  <c r="S258" i="27" s="1"/>
  <c r="Q254" i="27"/>
  <c r="T254" i="27" s="1"/>
  <c r="P254" i="27"/>
  <c r="O254" i="27"/>
  <c r="M254" i="27"/>
  <c r="M263" i="27" s="1"/>
  <c r="L254" i="27"/>
  <c r="K254" i="27"/>
  <c r="J254" i="27"/>
  <c r="I254" i="27"/>
  <c r="S254" i="27" s="1"/>
  <c r="T250" i="27"/>
  <c r="Q250" i="27"/>
  <c r="Q263" i="27" s="1"/>
  <c r="T263" i="27" s="1"/>
  <c r="P250" i="27"/>
  <c r="P263" i="27" s="1"/>
  <c r="O250" i="27"/>
  <c r="O263" i="27" s="1"/>
  <c r="M250" i="27"/>
  <c r="L250" i="27"/>
  <c r="L263" i="27" s="1"/>
  <c r="L12" i="27" s="1"/>
  <c r="K250" i="27"/>
  <c r="K263" i="27" s="1"/>
  <c r="K12" i="27" s="1"/>
  <c r="J250" i="27"/>
  <c r="J263" i="27" s="1"/>
  <c r="J12" i="27" s="1"/>
  <c r="I250" i="27"/>
  <c r="S250" i="27" s="1"/>
  <c r="H240" i="27"/>
  <c r="G240" i="27"/>
  <c r="F240" i="27"/>
  <c r="E240" i="27"/>
  <c r="D240" i="27"/>
  <c r="Q239" i="27"/>
  <c r="T239" i="27" s="1"/>
  <c r="P239" i="27"/>
  <c r="O239" i="27"/>
  <c r="M239" i="27"/>
  <c r="L239" i="27"/>
  <c r="K239" i="27"/>
  <c r="J239" i="27"/>
  <c r="I239" i="27"/>
  <c r="S239" i="27" s="1"/>
  <c r="T235" i="27"/>
  <c r="Q235" i="27"/>
  <c r="P235" i="27"/>
  <c r="O235" i="27"/>
  <c r="M235" i="27"/>
  <c r="L235" i="27"/>
  <c r="K235" i="27"/>
  <c r="J235" i="27"/>
  <c r="I235" i="27"/>
  <c r="S235" i="27" s="1"/>
  <c r="Q231" i="27"/>
  <c r="Q240" i="27" s="1"/>
  <c r="T240" i="27" s="1"/>
  <c r="P231" i="27"/>
  <c r="O231" i="27"/>
  <c r="M231" i="27"/>
  <c r="L231" i="27"/>
  <c r="L240" i="27" s="1"/>
  <c r="K231" i="27"/>
  <c r="J231" i="27"/>
  <c r="I231" i="27"/>
  <c r="S231" i="27" s="1"/>
  <c r="T227" i="27"/>
  <c r="Q227" i="27"/>
  <c r="P227" i="27"/>
  <c r="P240" i="27" s="1"/>
  <c r="O227" i="27"/>
  <c r="O240" i="27" s="1"/>
  <c r="M227" i="27"/>
  <c r="M240" i="27" s="1"/>
  <c r="M11" i="27" s="1"/>
  <c r="L227" i="27"/>
  <c r="K227" i="27"/>
  <c r="K240" i="27" s="1"/>
  <c r="K11" i="27" s="1"/>
  <c r="J227" i="27"/>
  <c r="J240" i="27" s="1"/>
  <c r="J11" i="27" s="1"/>
  <c r="I227" i="27"/>
  <c r="I240" i="27" s="1"/>
  <c r="I11" i="27" s="1"/>
  <c r="M217" i="27"/>
  <c r="I217" i="27"/>
  <c r="H217" i="27"/>
  <c r="G217" i="27"/>
  <c r="F217" i="27"/>
  <c r="E217" i="27"/>
  <c r="D217" i="27"/>
  <c r="T216" i="27"/>
  <c r="Q216" i="27"/>
  <c r="P216" i="27"/>
  <c r="O216" i="27"/>
  <c r="M216" i="27"/>
  <c r="L216" i="27"/>
  <c r="K216" i="27"/>
  <c r="J216" i="27"/>
  <c r="I216" i="27"/>
  <c r="S216" i="27" s="1"/>
  <c r="M215" i="27"/>
  <c r="L215" i="27"/>
  <c r="K215" i="27"/>
  <c r="J215" i="27"/>
  <c r="I215" i="27"/>
  <c r="M212" i="27"/>
  <c r="L212" i="27"/>
  <c r="K212" i="27"/>
  <c r="J212" i="27"/>
  <c r="I212" i="27"/>
  <c r="T208" i="27"/>
  <c r="Q208" i="27"/>
  <c r="P208" i="27"/>
  <c r="O208" i="27"/>
  <c r="M208" i="27"/>
  <c r="L208" i="27"/>
  <c r="K208" i="27"/>
  <c r="J208" i="27"/>
  <c r="I208" i="27"/>
  <c r="S208" i="27" s="1"/>
  <c r="M207" i="27"/>
  <c r="L207" i="27"/>
  <c r="K207" i="27"/>
  <c r="J207" i="27"/>
  <c r="I207" i="27"/>
  <c r="M204" i="27"/>
  <c r="L204" i="27"/>
  <c r="K204" i="27"/>
  <c r="J204" i="27"/>
  <c r="I204" i="27"/>
  <c r="T200" i="27"/>
  <c r="Q200" i="27"/>
  <c r="P200" i="27"/>
  <c r="O200" i="27"/>
  <c r="M200" i="27"/>
  <c r="L200" i="27"/>
  <c r="K200" i="27"/>
  <c r="J200" i="27"/>
  <c r="I200" i="27"/>
  <c r="S200" i="27" s="1"/>
  <c r="M199" i="27"/>
  <c r="L199" i="27"/>
  <c r="K199" i="27"/>
  <c r="J199" i="27"/>
  <c r="I199" i="27"/>
  <c r="M196" i="27"/>
  <c r="L196" i="27"/>
  <c r="K196" i="27"/>
  <c r="J196" i="27"/>
  <c r="I196" i="27"/>
  <c r="T192" i="27"/>
  <c r="Q192" i="27"/>
  <c r="Q217" i="27" s="1"/>
  <c r="T217" i="27" s="1"/>
  <c r="P192" i="27"/>
  <c r="P217" i="27" s="1"/>
  <c r="O192" i="27"/>
  <c r="O217" i="27" s="1"/>
  <c r="M192" i="27"/>
  <c r="L192" i="27"/>
  <c r="L217" i="27" s="1"/>
  <c r="K192" i="27"/>
  <c r="K217" i="27" s="1"/>
  <c r="J192" i="27"/>
  <c r="J217" i="27" s="1"/>
  <c r="I192" i="27"/>
  <c r="S192" i="27" s="1"/>
  <c r="M191" i="27"/>
  <c r="L191" i="27"/>
  <c r="K191" i="27"/>
  <c r="J191" i="27"/>
  <c r="I191" i="27"/>
  <c r="M188" i="27"/>
  <c r="L188" i="27"/>
  <c r="K188" i="27"/>
  <c r="J188" i="27"/>
  <c r="I188" i="27"/>
  <c r="T178" i="27"/>
  <c r="Q178" i="27"/>
  <c r="L178" i="27"/>
  <c r="H178" i="27"/>
  <c r="G178" i="27"/>
  <c r="F178" i="27"/>
  <c r="E178" i="27"/>
  <c r="D178" i="27"/>
  <c r="T177" i="27"/>
  <c r="Q177" i="27"/>
  <c r="P177" i="27"/>
  <c r="O177" i="27"/>
  <c r="M177" i="27"/>
  <c r="L177" i="27"/>
  <c r="K177" i="27"/>
  <c r="J177" i="27"/>
  <c r="I177" i="27"/>
  <c r="S177" i="27" s="1"/>
  <c r="M176" i="27"/>
  <c r="L176" i="27"/>
  <c r="K176" i="27"/>
  <c r="J176" i="27"/>
  <c r="I176" i="27"/>
  <c r="M173" i="27"/>
  <c r="L173" i="27"/>
  <c r="K173" i="27"/>
  <c r="J173" i="27"/>
  <c r="I173" i="27"/>
  <c r="T169" i="27"/>
  <c r="Q169" i="27"/>
  <c r="P169" i="27"/>
  <c r="O169" i="27"/>
  <c r="M169" i="27"/>
  <c r="L169" i="27"/>
  <c r="K169" i="27"/>
  <c r="J169" i="27"/>
  <c r="I169" i="27"/>
  <c r="S169" i="27" s="1"/>
  <c r="M168" i="27"/>
  <c r="L168" i="27"/>
  <c r="K168" i="27"/>
  <c r="J168" i="27"/>
  <c r="I168" i="27"/>
  <c r="M165" i="27"/>
  <c r="L165" i="27"/>
  <c r="K165" i="27"/>
  <c r="J165" i="27"/>
  <c r="I165" i="27"/>
  <c r="T161" i="27"/>
  <c r="Q161" i="27"/>
  <c r="P161" i="27"/>
  <c r="O161" i="27"/>
  <c r="M161" i="27"/>
  <c r="L161" i="27"/>
  <c r="K161" i="27"/>
  <c r="J161" i="27"/>
  <c r="I161" i="27"/>
  <c r="S161" i="27" s="1"/>
  <c r="M160" i="27"/>
  <c r="L160" i="27"/>
  <c r="K160" i="27"/>
  <c r="J160" i="27"/>
  <c r="I160" i="27"/>
  <c r="M157" i="27"/>
  <c r="L157" i="27"/>
  <c r="K157" i="27"/>
  <c r="J157" i="27"/>
  <c r="I157" i="27"/>
  <c r="T153" i="27"/>
  <c r="Q153" i="27"/>
  <c r="P153" i="27"/>
  <c r="P178" i="27" s="1"/>
  <c r="O153" i="27"/>
  <c r="O178" i="27" s="1"/>
  <c r="M153" i="27"/>
  <c r="M178" i="27" s="1"/>
  <c r="L153" i="27"/>
  <c r="K153" i="27"/>
  <c r="K178" i="27" s="1"/>
  <c r="J153" i="27"/>
  <c r="J178" i="27" s="1"/>
  <c r="J10" i="27" s="1"/>
  <c r="I153" i="27"/>
  <c r="S153" i="27" s="1"/>
  <c r="M152" i="27"/>
  <c r="L152" i="27"/>
  <c r="K152" i="27"/>
  <c r="J152" i="27"/>
  <c r="I152" i="27"/>
  <c r="M149" i="27"/>
  <c r="L149" i="27"/>
  <c r="K149" i="27"/>
  <c r="J149" i="27"/>
  <c r="I149" i="27"/>
  <c r="H137" i="27"/>
  <c r="G137" i="27"/>
  <c r="F137" i="27"/>
  <c r="E137" i="27"/>
  <c r="D137" i="27"/>
  <c r="M136" i="27"/>
  <c r="L136" i="27"/>
  <c r="K136" i="27"/>
  <c r="J136" i="27"/>
  <c r="I136" i="27"/>
  <c r="M130" i="27"/>
  <c r="L130" i="27"/>
  <c r="K130" i="27"/>
  <c r="J130" i="27"/>
  <c r="I130" i="27"/>
  <c r="M124" i="27"/>
  <c r="M62" i="27" s="1"/>
  <c r="L124" i="27"/>
  <c r="L137" i="27" s="1"/>
  <c r="K124" i="27"/>
  <c r="J124" i="27"/>
  <c r="I124" i="27"/>
  <c r="I62" i="27" s="1"/>
  <c r="M118" i="27"/>
  <c r="M137" i="27" s="1"/>
  <c r="L118" i="27"/>
  <c r="K118" i="27"/>
  <c r="K137" i="27" s="1"/>
  <c r="J118" i="27"/>
  <c r="J137" i="27" s="1"/>
  <c r="I118" i="27"/>
  <c r="I137" i="27" s="1"/>
  <c r="H106" i="27"/>
  <c r="G106" i="27"/>
  <c r="F106" i="27"/>
  <c r="E106" i="27"/>
  <c r="D106" i="27"/>
  <c r="M105" i="27"/>
  <c r="M74" i="27" s="1"/>
  <c r="L105" i="27"/>
  <c r="L74" i="27" s="1"/>
  <c r="K105" i="27"/>
  <c r="J105" i="27"/>
  <c r="I105" i="27"/>
  <c r="I74" i="27" s="1"/>
  <c r="M99" i="27"/>
  <c r="M68" i="27" s="1"/>
  <c r="L99" i="27"/>
  <c r="K99" i="27"/>
  <c r="J99" i="27"/>
  <c r="I99" i="27"/>
  <c r="I68" i="27" s="1"/>
  <c r="M93" i="27"/>
  <c r="L93" i="27"/>
  <c r="K93" i="27"/>
  <c r="J93" i="27"/>
  <c r="J106" i="27" s="1"/>
  <c r="I93" i="27"/>
  <c r="M87" i="27"/>
  <c r="M106" i="27" s="1"/>
  <c r="L87" i="27"/>
  <c r="L106" i="27" s="1"/>
  <c r="K87" i="27"/>
  <c r="K106" i="27" s="1"/>
  <c r="J87" i="27"/>
  <c r="I87" i="27"/>
  <c r="I106" i="27" s="1"/>
  <c r="K74" i="27"/>
  <c r="J74" i="27"/>
  <c r="H74" i="27"/>
  <c r="G74" i="27"/>
  <c r="F74" i="27"/>
  <c r="E74" i="27"/>
  <c r="D74" i="27"/>
  <c r="M73" i="27"/>
  <c r="L73" i="27"/>
  <c r="K73" i="27"/>
  <c r="J73" i="27"/>
  <c r="I73" i="27"/>
  <c r="M72" i="27"/>
  <c r="L72" i="27"/>
  <c r="K72" i="27"/>
  <c r="J72" i="27"/>
  <c r="I72" i="27"/>
  <c r="M71" i="27"/>
  <c r="L71" i="27"/>
  <c r="K71" i="27"/>
  <c r="J71" i="27"/>
  <c r="I71" i="27"/>
  <c r="H71" i="27"/>
  <c r="G71" i="27"/>
  <c r="F71" i="27"/>
  <c r="E71" i="27"/>
  <c r="D71" i="27"/>
  <c r="M70" i="27"/>
  <c r="L70" i="27"/>
  <c r="K70" i="27"/>
  <c r="J70" i="27"/>
  <c r="I70" i="27"/>
  <c r="H70" i="27"/>
  <c r="G70" i="27"/>
  <c r="F70" i="27"/>
  <c r="E70" i="27"/>
  <c r="D70" i="27"/>
  <c r="L68" i="27"/>
  <c r="K68" i="27"/>
  <c r="J68" i="27"/>
  <c r="H68" i="27"/>
  <c r="G68" i="27"/>
  <c r="F68" i="27"/>
  <c r="E68" i="27"/>
  <c r="D68" i="27"/>
  <c r="M67" i="27"/>
  <c r="L67" i="27"/>
  <c r="K67" i="27"/>
  <c r="J67" i="27"/>
  <c r="I67" i="27"/>
  <c r="M66" i="27"/>
  <c r="L66" i="27"/>
  <c r="K66" i="27"/>
  <c r="J66" i="27"/>
  <c r="I66" i="27"/>
  <c r="M65" i="27"/>
  <c r="L65" i="27"/>
  <c r="K65" i="27"/>
  <c r="J65" i="27"/>
  <c r="I65" i="27"/>
  <c r="H65" i="27"/>
  <c r="G65" i="27"/>
  <c r="F65" i="27"/>
  <c r="E65" i="27"/>
  <c r="D65" i="27"/>
  <c r="M64" i="27"/>
  <c r="L64" i="27"/>
  <c r="K64" i="27"/>
  <c r="J64" i="27"/>
  <c r="I64" i="27"/>
  <c r="H64" i="27"/>
  <c r="G64" i="27"/>
  <c r="F64" i="27"/>
  <c r="E64" i="27"/>
  <c r="D64" i="27"/>
  <c r="L62" i="27"/>
  <c r="K62" i="27"/>
  <c r="J62" i="27"/>
  <c r="H62" i="27"/>
  <c r="G62" i="27"/>
  <c r="F62" i="27"/>
  <c r="E62" i="27"/>
  <c r="D62" i="27"/>
  <c r="M61" i="27"/>
  <c r="L61" i="27"/>
  <c r="K61" i="27"/>
  <c r="J61" i="27"/>
  <c r="I61" i="27"/>
  <c r="M60" i="27"/>
  <c r="L60" i="27"/>
  <c r="K60" i="27"/>
  <c r="J60" i="27"/>
  <c r="I60" i="27"/>
  <c r="M59" i="27"/>
  <c r="L59" i="27"/>
  <c r="K59" i="27"/>
  <c r="J59" i="27"/>
  <c r="I59" i="27"/>
  <c r="H59" i="27"/>
  <c r="G59" i="27"/>
  <c r="F59" i="27"/>
  <c r="E59" i="27"/>
  <c r="D59" i="27"/>
  <c r="M58" i="27"/>
  <c r="L58" i="27"/>
  <c r="K58" i="27"/>
  <c r="J58" i="27"/>
  <c r="I58" i="27"/>
  <c r="H58" i="27"/>
  <c r="G58" i="27"/>
  <c r="F58" i="27"/>
  <c r="E58" i="27"/>
  <c r="D58" i="27"/>
  <c r="L56" i="27"/>
  <c r="K56" i="27"/>
  <c r="J56" i="27"/>
  <c r="H56" i="27"/>
  <c r="G56" i="27"/>
  <c r="F56" i="27"/>
  <c r="E56" i="27"/>
  <c r="D56" i="27"/>
  <c r="M55" i="27"/>
  <c r="L55" i="27"/>
  <c r="K55" i="27"/>
  <c r="J55" i="27"/>
  <c r="I55" i="27"/>
  <c r="M54" i="27"/>
  <c r="L54" i="27"/>
  <c r="K54" i="27"/>
  <c r="J54" i="27"/>
  <c r="I54" i="27"/>
  <c r="M53" i="27"/>
  <c r="L53" i="27"/>
  <c r="K53" i="27"/>
  <c r="J53" i="27"/>
  <c r="I53" i="27"/>
  <c r="H53" i="27"/>
  <c r="G53" i="27"/>
  <c r="F53" i="27"/>
  <c r="E53" i="27"/>
  <c r="D53" i="27"/>
  <c r="M52" i="27"/>
  <c r="M75" i="27" s="1"/>
  <c r="L52" i="27"/>
  <c r="L75" i="27" s="1"/>
  <c r="K52" i="27"/>
  <c r="K75" i="27" s="1"/>
  <c r="J52" i="27"/>
  <c r="J75" i="27" s="1"/>
  <c r="I52" i="27"/>
  <c r="I75" i="27" s="1"/>
  <c r="H52" i="27"/>
  <c r="H75" i="27" s="1"/>
  <c r="G52" i="27"/>
  <c r="G75" i="27" s="1"/>
  <c r="F52" i="27"/>
  <c r="F75" i="27" s="1"/>
  <c r="E52" i="27"/>
  <c r="E75" i="27" s="1"/>
  <c r="D52" i="27"/>
  <c r="D75" i="27" s="1"/>
  <c r="P43" i="27"/>
  <c r="L43" i="27"/>
  <c r="K43" i="27"/>
  <c r="H43" i="27"/>
  <c r="G43" i="27"/>
  <c r="F43" i="27"/>
  <c r="E43" i="27"/>
  <c r="D43" i="27"/>
  <c r="Q43" i="27" s="1"/>
  <c r="T43" i="27" s="1"/>
  <c r="M42" i="27"/>
  <c r="M43" i="27" s="1"/>
  <c r="L42" i="27"/>
  <c r="K42" i="27"/>
  <c r="J42" i="27"/>
  <c r="I42" i="27"/>
  <c r="I43" i="27" s="1"/>
  <c r="M41" i="27"/>
  <c r="L41" i="27"/>
  <c r="K41" i="27"/>
  <c r="J41" i="27"/>
  <c r="J43" i="27" s="1"/>
  <c r="I41" i="27"/>
  <c r="M39" i="27"/>
  <c r="L39" i="27"/>
  <c r="I39" i="27"/>
  <c r="S39" i="27" s="1"/>
  <c r="H39" i="27"/>
  <c r="P39" i="27" s="1"/>
  <c r="G39" i="27"/>
  <c r="F39" i="27"/>
  <c r="E39" i="27"/>
  <c r="D39" i="27"/>
  <c r="Q39" i="27" s="1"/>
  <c r="T39" i="27" s="1"/>
  <c r="M38" i="27"/>
  <c r="L38" i="27"/>
  <c r="K38" i="27"/>
  <c r="J38" i="27"/>
  <c r="J39" i="27" s="1"/>
  <c r="I38" i="27"/>
  <c r="M37" i="27"/>
  <c r="L37" i="27"/>
  <c r="K37" i="27"/>
  <c r="K39" i="27" s="1"/>
  <c r="J37" i="27"/>
  <c r="I37" i="27"/>
  <c r="P35" i="27"/>
  <c r="M35" i="27"/>
  <c r="J35" i="27"/>
  <c r="I35" i="27"/>
  <c r="H35" i="27"/>
  <c r="G35" i="27"/>
  <c r="F35" i="27"/>
  <c r="E35" i="27"/>
  <c r="O35" i="27" s="1"/>
  <c r="D35" i="27"/>
  <c r="Q35" i="27" s="1"/>
  <c r="T35" i="27" s="1"/>
  <c r="M34" i="27"/>
  <c r="L34" i="27"/>
  <c r="K34" i="27"/>
  <c r="K35" i="27" s="1"/>
  <c r="J34" i="27"/>
  <c r="I34" i="27"/>
  <c r="M33" i="27"/>
  <c r="L33" i="27"/>
  <c r="L35" i="27" s="1"/>
  <c r="K33" i="27"/>
  <c r="J33" i="27"/>
  <c r="I33" i="27"/>
  <c r="P31" i="27"/>
  <c r="K31" i="27"/>
  <c r="J31" i="27"/>
  <c r="H31" i="27"/>
  <c r="G31" i="27"/>
  <c r="F31" i="27"/>
  <c r="O31" i="27" s="1"/>
  <c r="E31" i="27"/>
  <c r="D31" i="27"/>
  <c r="Q31" i="27" s="1"/>
  <c r="T31" i="27" s="1"/>
  <c r="M30" i="27"/>
  <c r="L30" i="27"/>
  <c r="L31" i="27" s="1"/>
  <c r="K30" i="27"/>
  <c r="J30" i="27"/>
  <c r="I30" i="27"/>
  <c r="M29" i="27"/>
  <c r="M31" i="27" s="1"/>
  <c r="L29" i="27"/>
  <c r="K29" i="27"/>
  <c r="J29" i="27"/>
  <c r="I29" i="27"/>
  <c r="I31" i="27" s="1"/>
  <c r="S31" i="27" s="1"/>
  <c r="P22" i="27"/>
  <c r="M22" i="27"/>
  <c r="L22" i="27"/>
  <c r="K22" i="27"/>
  <c r="J22" i="27"/>
  <c r="I22" i="27"/>
  <c r="H22" i="27"/>
  <c r="G22" i="27"/>
  <c r="F22" i="27"/>
  <c r="E22" i="27"/>
  <c r="D22" i="27"/>
  <c r="T21" i="27"/>
  <c r="S21" i="27"/>
  <c r="Q21" i="27"/>
  <c r="P21" i="27"/>
  <c r="O21" i="27"/>
  <c r="S20" i="27"/>
  <c r="Q20" i="27"/>
  <c r="T20" i="27" s="1"/>
  <c r="P20" i="27"/>
  <c r="O20" i="27"/>
  <c r="G16" i="27"/>
  <c r="T14" i="27"/>
  <c r="S14" i="27"/>
  <c r="Q14" i="27"/>
  <c r="P14" i="27"/>
  <c r="O14" i="27"/>
  <c r="J13" i="27"/>
  <c r="G13" i="27"/>
  <c r="G15" i="27" s="1"/>
  <c r="F13" i="27"/>
  <c r="F16" i="27" s="1"/>
  <c r="P12" i="27"/>
  <c r="M12" i="27"/>
  <c r="H12" i="27"/>
  <c r="G12" i="27"/>
  <c r="F12" i="27"/>
  <c r="E12" i="27"/>
  <c r="O12" i="27" s="1"/>
  <c r="D12" i="27"/>
  <c r="L11" i="27"/>
  <c r="L13" i="27" s="1"/>
  <c r="H11" i="27"/>
  <c r="G11" i="27"/>
  <c r="F11" i="27"/>
  <c r="E11" i="27"/>
  <c r="D11" i="27"/>
  <c r="P10" i="27"/>
  <c r="L10" i="27"/>
  <c r="K10" i="27"/>
  <c r="H10" i="27"/>
  <c r="G10" i="27"/>
  <c r="F10" i="27"/>
  <c r="E10" i="27"/>
  <c r="D10" i="27"/>
  <c r="K51" i="2" l="1"/>
  <c r="I51" i="2"/>
  <c r="G58" i="3"/>
  <c r="I73" i="3"/>
  <c r="E75" i="3"/>
  <c r="E77" i="3" s="1"/>
  <c r="L23" i="3"/>
  <c r="E25" i="3"/>
  <c r="L25" i="3" s="1"/>
  <c r="F58" i="3"/>
  <c r="G101" i="28"/>
  <c r="C101" i="28"/>
  <c r="H100" i="28"/>
  <c r="F97" i="28"/>
  <c r="P11" i="27"/>
  <c r="H13" i="27"/>
  <c r="Q22" i="27"/>
  <c r="T22" i="27" s="1"/>
  <c r="S11" i="27"/>
  <c r="J16" i="27"/>
  <c r="F15" i="27"/>
  <c r="S22" i="27"/>
  <c r="O10" i="27"/>
  <c r="Q10" i="27"/>
  <c r="T10" i="27" s="1"/>
  <c r="Q12" i="27"/>
  <c r="T12" i="27" s="1"/>
  <c r="J15" i="27"/>
  <c r="K13" i="27"/>
  <c r="D266" i="27"/>
  <c r="S43" i="27"/>
  <c r="S178" i="27"/>
  <c r="M10" i="27"/>
  <c r="S217" i="27"/>
  <c r="S263" i="27"/>
  <c r="D13" i="27"/>
  <c r="O11" i="27"/>
  <c r="L16" i="27"/>
  <c r="L15" i="27"/>
  <c r="M13" i="27"/>
  <c r="E13" i="27"/>
  <c r="S35" i="27"/>
  <c r="Q11" i="27"/>
  <c r="T11" i="27" s="1"/>
  <c r="O39" i="27"/>
  <c r="O22" i="27"/>
  <c r="O43" i="27"/>
  <c r="I56" i="27"/>
  <c r="M56" i="27"/>
  <c r="I178" i="27"/>
  <c r="I10" i="27" s="1"/>
  <c r="S10" i="27" s="1"/>
  <c r="T231" i="27"/>
  <c r="S227" i="27"/>
  <c r="S240" i="27" s="1"/>
  <c r="I263" i="27"/>
  <c r="I12" i="27" s="1"/>
  <c r="S12" i="27" s="1"/>
  <c r="H97" i="28" l="1"/>
  <c r="H101" i="28" s="1"/>
  <c r="F101" i="28"/>
  <c r="M15" i="27"/>
  <c r="M16" i="27"/>
  <c r="D15" i="27"/>
  <c r="Q13" i="27"/>
  <c r="T13" i="27" s="1"/>
  <c r="D16" i="27"/>
  <c r="O13" i="27"/>
  <c r="I13" i="27"/>
  <c r="H15" i="27"/>
  <c r="P15" i="27" s="1"/>
  <c r="H16" i="27"/>
  <c r="P13" i="27"/>
  <c r="E15" i="27"/>
  <c r="E16" i="27"/>
  <c r="K15" i="27"/>
  <c r="K16" i="27"/>
  <c r="C42" i="12"/>
  <c r="C19" i="12"/>
  <c r="B5" i="12"/>
  <c r="A1" i="23" s="1"/>
  <c r="A1" i="16"/>
  <c r="E20" i="40"/>
  <c r="H20" i="40"/>
  <c r="E21" i="40"/>
  <c r="G21" i="40" s="1"/>
  <c r="I21" i="40" s="1"/>
  <c r="H21" i="40"/>
  <c r="E22" i="40"/>
  <c r="H22" i="40"/>
  <c r="E23" i="40"/>
  <c r="H23" i="40"/>
  <c r="E24" i="40"/>
  <c r="H24" i="40"/>
  <c r="E25" i="40"/>
  <c r="H25" i="40"/>
  <c r="E26" i="40"/>
  <c r="H26" i="40"/>
  <c r="E27" i="40"/>
  <c r="H27" i="40"/>
  <c r="E28" i="40"/>
  <c r="H28" i="40"/>
  <c r="E29" i="40"/>
  <c r="H29" i="40"/>
  <c r="E30" i="40"/>
  <c r="H30" i="40"/>
  <c r="E31" i="40"/>
  <c r="H31" i="40"/>
  <c r="E32" i="40"/>
  <c r="H32" i="40"/>
  <c r="E33" i="40"/>
  <c r="H33" i="40"/>
  <c r="E34" i="40"/>
  <c r="H34" i="40"/>
  <c r="E35" i="40"/>
  <c r="H35" i="40"/>
  <c r="E36" i="40"/>
  <c r="H36" i="40"/>
  <c r="E37" i="40"/>
  <c r="H37" i="40"/>
  <c r="E38" i="40"/>
  <c r="H38" i="40"/>
  <c r="E39" i="40"/>
  <c r="H39" i="40"/>
  <c r="E40" i="40"/>
  <c r="H40" i="40"/>
  <c r="E41" i="40"/>
  <c r="H41" i="40"/>
  <c r="E42" i="40"/>
  <c r="H42" i="40"/>
  <c r="E43" i="40"/>
  <c r="H43" i="40"/>
  <c r="E44" i="40"/>
  <c r="H44" i="40"/>
  <c r="E45" i="40"/>
  <c r="H45" i="40"/>
  <c r="E46" i="40"/>
  <c r="H46" i="40"/>
  <c r="E47" i="40"/>
  <c r="H47" i="40"/>
  <c r="E48" i="40"/>
  <c r="H48" i="40"/>
  <c r="E49" i="40"/>
  <c r="H49" i="40"/>
  <c r="E50" i="40"/>
  <c r="H50" i="40"/>
  <c r="E51" i="40"/>
  <c r="H51" i="40"/>
  <c r="E52" i="40"/>
  <c r="H52" i="40"/>
  <c r="E53" i="40"/>
  <c r="H53" i="40"/>
  <c r="E54" i="40"/>
  <c r="H54" i="40"/>
  <c r="E55" i="40"/>
  <c r="H55" i="40"/>
  <c r="E56" i="40"/>
  <c r="H56" i="40"/>
  <c r="E57" i="40"/>
  <c r="H57" i="40"/>
  <c r="E58" i="40"/>
  <c r="H58" i="40"/>
  <c r="E59" i="40"/>
  <c r="H59" i="40"/>
  <c r="E60" i="40"/>
  <c r="H60" i="40"/>
  <c r="E61" i="40"/>
  <c r="H61" i="40"/>
  <c r="E62" i="40"/>
  <c r="H62" i="40"/>
  <c r="E63" i="40"/>
  <c r="H63" i="40"/>
  <c r="H64" i="40"/>
  <c r="E65" i="40"/>
  <c r="H65" i="40"/>
  <c r="E66" i="40"/>
  <c r="H66" i="40"/>
  <c r="E67" i="40"/>
  <c r="H67" i="40"/>
  <c r="E68" i="40"/>
  <c r="H68" i="40"/>
  <c r="E69" i="40"/>
  <c r="H69" i="40"/>
  <c r="E70" i="40"/>
  <c r="H70" i="40"/>
  <c r="E71" i="40"/>
  <c r="H71" i="40"/>
  <c r="E72" i="40"/>
  <c r="H72" i="40"/>
  <c r="E73" i="40"/>
  <c r="H73" i="40"/>
  <c r="E74" i="40"/>
  <c r="H74" i="40"/>
  <c r="E75" i="40"/>
  <c r="H75" i="40"/>
  <c r="E76" i="40"/>
  <c r="H76" i="40"/>
  <c r="E77" i="40"/>
  <c r="H77" i="40"/>
  <c r="E78" i="40"/>
  <c r="H78" i="40"/>
  <c r="E79" i="40"/>
  <c r="H79" i="40"/>
  <c r="E80" i="40"/>
  <c r="H80" i="40"/>
  <c r="E81" i="40"/>
  <c r="H81" i="40"/>
  <c r="E82" i="40"/>
  <c r="H82" i="40"/>
  <c r="E83" i="40"/>
  <c r="H83" i="40"/>
  <c r="E84" i="40"/>
  <c r="H84" i="40"/>
  <c r="E85" i="40"/>
  <c r="H85" i="40"/>
  <c r="E86" i="40"/>
  <c r="H86" i="40"/>
  <c r="E87" i="40"/>
  <c r="H87" i="40"/>
  <c r="E88" i="40"/>
  <c r="H88" i="40"/>
  <c r="E89" i="40"/>
  <c r="H89" i="40"/>
  <c r="E90" i="40"/>
  <c r="G90" i="40" s="1"/>
  <c r="I90" i="40" s="1"/>
  <c r="H90" i="40"/>
  <c r="E91" i="40"/>
  <c r="H91" i="40"/>
  <c r="E92" i="40"/>
  <c r="H92" i="40"/>
  <c r="E93" i="40"/>
  <c r="H93" i="40"/>
  <c r="E94" i="40"/>
  <c r="G94" i="40" s="1"/>
  <c r="I94" i="40" s="1"/>
  <c r="H94" i="40"/>
  <c r="E95" i="40"/>
  <c r="H95" i="40"/>
  <c r="E96" i="40"/>
  <c r="H96" i="40"/>
  <c r="E97" i="40"/>
  <c r="H97" i="40"/>
  <c r="E98" i="40"/>
  <c r="G98" i="40" s="1"/>
  <c r="I98" i="40" s="1"/>
  <c r="H98" i="40"/>
  <c r="E99" i="40"/>
  <c r="G99" i="40" s="1"/>
  <c r="I99" i="40" s="1"/>
  <c r="H99" i="40"/>
  <c r="E100" i="40"/>
  <c r="G100" i="40" s="1"/>
  <c r="I100" i="40" s="1"/>
  <c r="H100" i="40"/>
  <c r="E101" i="40"/>
  <c r="H101" i="40"/>
  <c r="E102" i="40"/>
  <c r="G102" i="40" s="1"/>
  <c r="I102" i="40" s="1"/>
  <c r="H102" i="40"/>
  <c r="E103" i="40"/>
  <c r="H103" i="40"/>
  <c r="G103" i="40" s="1"/>
  <c r="I103" i="40" s="1"/>
  <c r="E104" i="40"/>
  <c r="H104" i="40"/>
  <c r="E105" i="40"/>
  <c r="H105" i="40"/>
  <c r="E106" i="40"/>
  <c r="H106" i="40"/>
  <c r="G106" i="40" s="1"/>
  <c r="I106" i="40" s="1"/>
  <c r="E107" i="40"/>
  <c r="H107" i="40"/>
  <c r="G107" i="40" s="1"/>
  <c r="I107" i="40" s="1"/>
  <c r="E108" i="40"/>
  <c r="G108" i="40" s="1"/>
  <c r="I108" i="40" s="1"/>
  <c r="H108" i="40"/>
  <c r="E109" i="40"/>
  <c r="G109" i="40" s="1"/>
  <c r="I109" i="40" s="1"/>
  <c r="H109" i="40"/>
  <c r="G110" i="40"/>
  <c r="I110" i="40" s="1"/>
  <c r="H110" i="40"/>
  <c r="E111" i="40"/>
  <c r="H111" i="40"/>
  <c r="E112" i="40"/>
  <c r="H112" i="40"/>
  <c r="E113" i="40"/>
  <c r="H113" i="40"/>
  <c r="E114" i="40"/>
  <c r="H114" i="40"/>
  <c r="E115" i="40"/>
  <c r="H115" i="40"/>
  <c r="E116" i="40"/>
  <c r="G116" i="40" s="1"/>
  <c r="I116" i="40" s="1"/>
  <c r="H116" i="40"/>
  <c r="H117" i="40"/>
  <c r="E118" i="40"/>
  <c r="H118" i="40"/>
  <c r="G118" i="40"/>
  <c r="I118" i="40" s="1"/>
  <c r="E119" i="40"/>
  <c r="H119" i="40"/>
  <c r="G119" i="40" s="1"/>
  <c r="I119" i="40" s="1"/>
  <c r="E120" i="40"/>
  <c r="H120" i="40"/>
  <c r="E121" i="40"/>
  <c r="H121" i="40"/>
  <c r="E122" i="40"/>
  <c r="H122" i="40"/>
  <c r="G122" i="40" s="1"/>
  <c r="I122" i="40" s="1"/>
  <c r="E123" i="40"/>
  <c r="H123" i="40"/>
  <c r="G123" i="40" s="1"/>
  <c r="I123" i="40" s="1"/>
  <c r="E124" i="40"/>
  <c r="G124" i="40" s="1"/>
  <c r="I124" i="40" s="1"/>
  <c r="H124" i="40"/>
  <c r="E125" i="40"/>
  <c r="G125" i="40" s="1"/>
  <c r="I125" i="40" s="1"/>
  <c r="H125" i="40"/>
  <c r="E126" i="40"/>
  <c r="H126" i="40"/>
  <c r="G126" i="40"/>
  <c r="I126" i="40" s="1"/>
  <c r="E127" i="40"/>
  <c r="H127" i="40"/>
  <c r="E128" i="40"/>
  <c r="H128" i="40"/>
  <c r="E129" i="40"/>
  <c r="H129" i="40"/>
  <c r="E130" i="40"/>
  <c r="H130" i="40"/>
  <c r="E131" i="40"/>
  <c r="H131" i="40"/>
  <c r="E132" i="40"/>
  <c r="G132" i="40" s="1"/>
  <c r="I132" i="40" s="1"/>
  <c r="H132" i="40"/>
  <c r="E133" i="40"/>
  <c r="H133" i="40"/>
  <c r="E134" i="40"/>
  <c r="G134" i="40" s="1"/>
  <c r="I134" i="40" s="1"/>
  <c r="H134" i="40"/>
  <c r="E135" i="40"/>
  <c r="H135" i="40"/>
  <c r="G135" i="40" s="1"/>
  <c r="I135" i="40" s="1"/>
  <c r="E136" i="40"/>
  <c r="H136" i="40"/>
  <c r="E137" i="40"/>
  <c r="H137" i="40"/>
  <c r="E138" i="40"/>
  <c r="H138" i="40"/>
  <c r="G138" i="40" s="1"/>
  <c r="I138" i="40" s="1"/>
  <c r="E139" i="40"/>
  <c r="H139" i="40"/>
  <c r="G139" i="40" s="1"/>
  <c r="I139" i="40" s="1"/>
  <c r="E140" i="40"/>
  <c r="G140" i="40" s="1"/>
  <c r="I140" i="40" s="1"/>
  <c r="H140" i="40"/>
  <c r="G141" i="40"/>
  <c r="I141" i="40" s="1"/>
  <c r="H141" i="40"/>
  <c r="E142" i="40"/>
  <c r="G142" i="40" s="1"/>
  <c r="I142" i="40" s="1"/>
  <c r="H142" i="40"/>
  <c r="E143" i="40"/>
  <c r="H143" i="40"/>
  <c r="E144" i="40"/>
  <c r="H144" i="40"/>
  <c r="H145" i="40"/>
  <c r="E146" i="40"/>
  <c r="H146" i="40"/>
  <c r="E147" i="40"/>
  <c r="H147" i="40"/>
  <c r="E148" i="40"/>
  <c r="H148" i="40"/>
  <c r="H149" i="40"/>
  <c r="G149" i="40" s="1"/>
  <c r="I149" i="40" s="1"/>
  <c r="H150" i="40"/>
  <c r="G150" i="40" s="1"/>
  <c r="I150" i="40" s="1"/>
  <c r="H151" i="40"/>
  <c r="G151" i="40" s="1"/>
  <c r="I151" i="40" s="1"/>
  <c r="H152" i="40"/>
  <c r="G152" i="40" s="1"/>
  <c r="I152" i="40" s="1"/>
  <c r="H153" i="40"/>
  <c r="G153" i="40" s="1"/>
  <c r="I153" i="40" s="1"/>
  <c r="H154" i="40"/>
  <c r="G154" i="40" s="1"/>
  <c r="I154" i="40" s="1"/>
  <c r="E155" i="40"/>
  <c r="H155" i="40"/>
  <c r="G155" i="40" s="1"/>
  <c r="I155" i="40" s="1"/>
  <c r="E156" i="40"/>
  <c r="H156" i="40"/>
  <c r="G156" i="40" s="1"/>
  <c r="I156" i="40" s="1"/>
  <c r="E157" i="40"/>
  <c r="H157" i="40"/>
  <c r="E158" i="40"/>
  <c r="H158" i="40"/>
  <c r="E159" i="40"/>
  <c r="H159" i="40"/>
  <c r="E160" i="40"/>
  <c r="H160" i="40"/>
  <c r="E161" i="40"/>
  <c r="H161" i="40"/>
  <c r="G161" i="40" s="1"/>
  <c r="I161" i="40" s="1"/>
  <c r="E162" i="40"/>
  <c r="H162" i="40"/>
  <c r="G162" i="40" s="1"/>
  <c r="I162" i="40" s="1"/>
  <c r="E163" i="40"/>
  <c r="H163" i="40"/>
  <c r="G163" i="40" s="1"/>
  <c r="I163" i="40" s="1"/>
  <c r="D32" i="7"/>
  <c r="C32" i="7"/>
  <c r="K5" i="12"/>
  <c r="O6" i="12"/>
  <c r="O7" i="12"/>
  <c r="O8" i="12"/>
  <c r="O9" i="12"/>
  <c r="O10" i="12"/>
  <c r="G68" i="17"/>
  <c r="Q63" i="17" s="1"/>
  <c r="F22" i="12"/>
  <c r="L6" i="12" s="1"/>
  <c r="F21" i="12"/>
  <c r="C79" i="12"/>
  <c r="C100" i="12"/>
  <c r="C43" i="12" s="1"/>
  <c r="F43" i="12"/>
  <c r="I43" i="12"/>
  <c r="C53" i="12"/>
  <c r="F53" i="12"/>
  <c r="C78" i="12"/>
  <c r="C99" i="12"/>
  <c r="F42" i="12"/>
  <c r="I42" i="12"/>
  <c r="C52" i="12"/>
  <c r="F52" i="12"/>
  <c r="C96" i="12"/>
  <c r="C39" i="12" s="1"/>
  <c r="F39" i="12"/>
  <c r="I39" i="12"/>
  <c r="C49" i="12"/>
  <c r="F49" i="12"/>
  <c r="C50" i="12"/>
  <c r="C51" i="12"/>
  <c r="C55" i="12"/>
  <c r="O31" i="17"/>
  <c r="O41" i="17" s="1"/>
  <c r="O36" i="17"/>
  <c r="P31" i="17"/>
  <c r="P36" i="17"/>
  <c r="P41" i="17" s="1"/>
  <c r="Q31" i="17"/>
  <c r="Q36" i="17"/>
  <c r="Q41" i="17"/>
  <c r="R31" i="17"/>
  <c r="R36" i="17"/>
  <c r="R41" i="17" s="1"/>
  <c r="S31" i="17"/>
  <c r="S36" i="17"/>
  <c r="O33" i="17"/>
  <c r="O34" i="17" s="1"/>
  <c r="P33" i="17"/>
  <c r="P34" i="17" s="1"/>
  <c r="Q33" i="17"/>
  <c r="Q34" i="17" s="1"/>
  <c r="R33" i="17"/>
  <c r="R34" i="17" s="1"/>
  <c r="S33" i="17"/>
  <c r="S27" i="17"/>
  <c r="O16" i="17"/>
  <c r="O18" i="17"/>
  <c r="D12" i="17" s="1"/>
  <c r="O22" i="17"/>
  <c r="D13" i="17" s="1"/>
  <c r="O23" i="17"/>
  <c r="D14" i="17" s="1"/>
  <c r="O11" i="17"/>
  <c r="D18" i="17"/>
  <c r="O19" i="17"/>
  <c r="D19" i="17" s="1"/>
  <c r="O20" i="17"/>
  <c r="D20" i="17"/>
  <c r="O21" i="17"/>
  <c r="D21" i="17" s="1"/>
  <c r="F61" i="17"/>
  <c r="F62" i="17"/>
  <c r="F63" i="17"/>
  <c r="P65" i="17" s="1"/>
  <c r="F64" i="17"/>
  <c r="F65" i="17"/>
  <c r="D37" i="13"/>
  <c r="I37" i="13" s="1"/>
  <c r="P66" i="17" s="1"/>
  <c r="C69" i="12"/>
  <c r="C90" i="12"/>
  <c r="C22" i="12" s="1"/>
  <c r="C68" i="12"/>
  <c r="C89" i="12"/>
  <c r="C21" i="12" s="1"/>
  <c r="C67" i="12"/>
  <c r="C88" i="12"/>
  <c r="C20" i="12" s="1"/>
  <c r="C87" i="12"/>
  <c r="G20" i="7"/>
  <c r="F20" i="7"/>
  <c r="H20" i="7" s="1"/>
  <c r="D20" i="7"/>
  <c r="G19" i="7"/>
  <c r="F19" i="7"/>
  <c r="D19" i="7"/>
  <c r="H27" i="7"/>
  <c r="H26" i="7"/>
  <c r="H25" i="7"/>
  <c r="H21" i="7"/>
  <c r="H18" i="7"/>
  <c r="F19" i="12"/>
  <c r="I19" i="12"/>
  <c r="C28" i="12"/>
  <c r="F28" i="12"/>
  <c r="F20" i="12"/>
  <c r="I20" i="12"/>
  <c r="C29" i="12"/>
  <c r="F29" i="12"/>
  <c r="I21" i="12"/>
  <c r="C30" i="12"/>
  <c r="F30" i="12"/>
  <c r="I22" i="12"/>
  <c r="C31" i="12"/>
  <c r="F31" i="12"/>
  <c r="D7" i="13"/>
  <c r="D8" i="13"/>
  <c r="D9" i="13"/>
  <c r="I9" i="13" s="1"/>
  <c r="D10" i="13"/>
  <c r="E10" i="13"/>
  <c r="F10" i="13"/>
  <c r="G10" i="13"/>
  <c r="H10" i="13"/>
  <c r="D11" i="13"/>
  <c r="D12" i="13"/>
  <c r="E12" i="13"/>
  <c r="I12" i="13" s="1"/>
  <c r="F12" i="13"/>
  <c r="H12" i="13"/>
  <c r="AA28" i="13"/>
  <c r="AR28" i="13" s="1"/>
  <c r="AA29" i="13"/>
  <c r="AR29" i="13" s="1"/>
  <c r="AA30" i="13"/>
  <c r="AA31" i="13"/>
  <c r="AR31" i="13" s="1"/>
  <c r="AA32" i="13"/>
  <c r="AR32" i="13" s="1"/>
  <c r="AA33" i="13"/>
  <c r="AR33" i="13" s="1"/>
  <c r="AY33" i="13" s="1"/>
  <c r="AA34" i="13"/>
  <c r="AA35" i="13"/>
  <c r="AR35" i="13" s="1"/>
  <c r="AA36" i="13"/>
  <c r="AR36" i="13" s="1"/>
  <c r="AA37" i="13"/>
  <c r="AR37" i="13" s="1"/>
  <c r="AA38" i="13"/>
  <c r="AA39" i="13"/>
  <c r="D13" i="13"/>
  <c r="I13" i="13" s="1"/>
  <c r="D14" i="13"/>
  <c r="I14" i="13" s="1"/>
  <c r="D15" i="13"/>
  <c r="I15" i="13"/>
  <c r="D16" i="13"/>
  <c r="I16" i="13" s="1"/>
  <c r="D17" i="13"/>
  <c r="I17" i="13"/>
  <c r="D18" i="13"/>
  <c r="I18" i="13" s="1"/>
  <c r="D19" i="13"/>
  <c r="I19" i="13"/>
  <c r="D20" i="13"/>
  <c r="I20" i="13" s="1"/>
  <c r="D21" i="13"/>
  <c r="I21" i="13" s="1"/>
  <c r="AA22" i="13"/>
  <c r="AR22" i="13" s="1"/>
  <c r="AA23" i="13"/>
  <c r="AR23" i="13" s="1"/>
  <c r="D24" i="13"/>
  <c r="I24" i="13" s="1"/>
  <c r="D25" i="13"/>
  <c r="I25" i="13"/>
  <c r="D26" i="13"/>
  <c r="I26" i="13" s="1"/>
  <c r="D27" i="13"/>
  <c r="I27" i="13" s="1"/>
  <c r="AC28" i="13"/>
  <c r="AT28" i="13" s="1"/>
  <c r="AC29" i="13"/>
  <c r="AT29" i="13" s="1"/>
  <c r="AC30" i="13"/>
  <c r="AT30" i="13" s="1"/>
  <c r="AC31" i="13"/>
  <c r="AC32" i="13"/>
  <c r="AT32" i="13" s="1"/>
  <c r="BA32" i="13" s="1"/>
  <c r="AC33" i="13"/>
  <c r="AT33" i="13" s="1"/>
  <c r="AC34" i="13"/>
  <c r="AT34" i="13" s="1"/>
  <c r="AC35" i="13"/>
  <c r="AT35" i="13" s="1"/>
  <c r="AC36" i="13"/>
  <c r="AT36" i="13" s="1"/>
  <c r="AC37" i="13"/>
  <c r="AT37" i="13" s="1"/>
  <c r="AC38" i="13"/>
  <c r="AT38" i="13" s="1"/>
  <c r="AC39" i="13"/>
  <c r="AT39" i="13" s="1"/>
  <c r="AC22" i="13"/>
  <c r="AT22" i="13" s="1"/>
  <c r="AC23" i="13"/>
  <c r="AT23" i="13" s="1"/>
  <c r="C66" i="12"/>
  <c r="E11" i="13"/>
  <c r="G11" i="13"/>
  <c r="F11" i="13"/>
  <c r="H11" i="13"/>
  <c r="F7" i="13"/>
  <c r="AD39" i="13"/>
  <c r="AU39" i="13" s="1"/>
  <c r="AD38" i="13"/>
  <c r="AU38" i="13" s="1"/>
  <c r="AD36" i="13"/>
  <c r="AU36" i="13" s="1"/>
  <c r="AD35" i="13"/>
  <c r="AU35" i="13" s="1"/>
  <c r="AD34" i="13"/>
  <c r="AU34" i="13" s="1"/>
  <c r="AD33" i="13"/>
  <c r="AU33" i="13" s="1"/>
  <c r="AD32" i="13"/>
  <c r="AU32" i="13" s="1"/>
  <c r="AD31" i="13"/>
  <c r="AU31" i="13" s="1"/>
  <c r="AD30" i="13"/>
  <c r="AU30" i="13" s="1"/>
  <c r="AD29" i="13"/>
  <c r="AU29" i="13" s="1"/>
  <c r="AD28" i="13"/>
  <c r="AU28" i="13" s="1"/>
  <c r="AD23" i="13"/>
  <c r="AU23" i="13" s="1"/>
  <c r="AD22" i="13"/>
  <c r="AU22" i="13" s="1"/>
  <c r="AT31" i="13"/>
  <c r="P37" i="13"/>
  <c r="W37" i="13" s="1"/>
  <c r="P39" i="13"/>
  <c r="P38" i="13"/>
  <c r="P36" i="13"/>
  <c r="P35" i="13"/>
  <c r="P34" i="13"/>
  <c r="P33" i="13"/>
  <c r="P32" i="13"/>
  <c r="P31" i="13"/>
  <c r="P30" i="13"/>
  <c r="P29" i="13"/>
  <c r="P28" i="13"/>
  <c r="P23" i="13"/>
  <c r="P22" i="13"/>
  <c r="P11" i="17"/>
  <c r="E18" i="17" s="1"/>
  <c r="P19" i="17"/>
  <c r="E19" i="17" s="1"/>
  <c r="P20" i="17"/>
  <c r="E20" i="17" s="1"/>
  <c r="P21" i="17"/>
  <c r="E21" i="17" s="1"/>
  <c r="P16" i="17"/>
  <c r="E12" i="17" s="1"/>
  <c r="P18" i="17"/>
  <c r="P22" i="17"/>
  <c r="E13" i="17" s="1"/>
  <c r="Q11" i="17"/>
  <c r="G18" i="17"/>
  <c r="Q19" i="17"/>
  <c r="G19" i="17" s="1"/>
  <c r="Q20" i="17"/>
  <c r="G20" i="17" s="1"/>
  <c r="Q21" i="17"/>
  <c r="G21" i="17" s="1"/>
  <c r="Q16" i="17"/>
  <c r="Q18" i="17"/>
  <c r="Q22" i="17"/>
  <c r="R11" i="17"/>
  <c r="H18" i="17" s="1"/>
  <c r="R19" i="17"/>
  <c r="H19" i="17" s="1"/>
  <c r="R20" i="17"/>
  <c r="H20" i="17"/>
  <c r="R21" i="17"/>
  <c r="H21" i="17" s="1"/>
  <c r="R16" i="17"/>
  <c r="R18" i="17"/>
  <c r="R22" i="17"/>
  <c r="H13" i="17" s="1"/>
  <c r="S11" i="17"/>
  <c r="I18" i="17"/>
  <c r="I29" i="17" s="1"/>
  <c r="S19" i="17"/>
  <c r="I19" i="17"/>
  <c r="S20" i="17"/>
  <c r="I20" i="17" s="1"/>
  <c r="S21" i="17"/>
  <c r="I21" i="17" s="1"/>
  <c r="S16" i="17"/>
  <c r="I12" i="17" s="1"/>
  <c r="S18" i="17"/>
  <c r="S22" i="17"/>
  <c r="I13" i="17" s="1"/>
  <c r="AN7" i="13"/>
  <c r="AN8" i="13"/>
  <c r="AM9" i="13"/>
  <c r="AM10" i="13"/>
  <c r="AN11" i="13"/>
  <c r="AN12" i="13"/>
  <c r="O37" i="13"/>
  <c r="V37" i="13" s="1"/>
  <c r="Z22" i="13"/>
  <c r="AQ22" i="13" s="1"/>
  <c r="Z23" i="13"/>
  <c r="AQ23" i="13" s="1"/>
  <c r="Z28" i="13"/>
  <c r="AQ28" i="13" s="1"/>
  <c r="Z29" i="13"/>
  <c r="AQ29" i="13" s="1"/>
  <c r="Z30" i="13"/>
  <c r="AQ30" i="13" s="1"/>
  <c r="Z31" i="13"/>
  <c r="AQ31" i="13" s="1"/>
  <c r="Z32" i="13"/>
  <c r="AQ32" i="13" s="1"/>
  <c r="Z33" i="13"/>
  <c r="AQ33" i="13" s="1"/>
  <c r="Z34" i="13"/>
  <c r="AQ34" i="13" s="1"/>
  <c r="Z35" i="13"/>
  <c r="AQ35" i="13" s="1"/>
  <c r="Z36" i="13"/>
  <c r="AQ36" i="13" s="1"/>
  <c r="L37" i="13"/>
  <c r="S37" i="13" s="1"/>
  <c r="Z38" i="13"/>
  <c r="AQ38" i="13" s="1"/>
  <c r="Z39" i="13"/>
  <c r="AQ39" i="13" s="1"/>
  <c r="AR30" i="13"/>
  <c r="AR34" i="13"/>
  <c r="M37" i="13"/>
  <c r="AR38" i="13"/>
  <c r="AR39" i="13"/>
  <c r="AB22" i="13"/>
  <c r="AS22" i="13" s="1"/>
  <c r="AB23" i="13"/>
  <c r="AS23" i="13" s="1"/>
  <c r="AZ23" i="13" s="1"/>
  <c r="AB28" i="13"/>
  <c r="AS28" i="13" s="1"/>
  <c r="AB29" i="13"/>
  <c r="AS29" i="13" s="1"/>
  <c r="AZ29" i="13" s="1"/>
  <c r="AB30" i="13"/>
  <c r="AS30" i="13" s="1"/>
  <c r="AZ30" i="13" s="1"/>
  <c r="AB31" i="13"/>
  <c r="AS31" i="13" s="1"/>
  <c r="AB32" i="13"/>
  <c r="AS32" i="13" s="1"/>
  <c r="AB33" i="13"/>
  <c r="AS33" i="13" s="1"/>
  <c r="AB34" i="13"/>
  <c r="AS34" i="13" s="1"/>
  <c r="AZ34" i="13" s="1"/>
  <c r="AB35" i="13"/>
  <c r="AS35" i="13" s="1"/>
  <c r="AB36" i="13"/>
  <c r="AS36" i="13" s="1"/>
  <c r="N37" i="13"/>
  <c r="U37" i="13" s="1"/>
  <c r="AB37" i="13"/>
  <c r="AS37" i="13" s="1"/>
  <c r="AB38" i="13"/>
  <c r="AS38" i="13" s="1"/>
  <c r="AB39" i="13"/>
  <c r="AS39" i="13" s="1"/>
  <c r="O9" i="17"/>
  <c r="P9" i="17"/>
  <c r="Q9" i="17"/>
  <c r="R9" i="17"/>
  <c r="S9" i="17"/>
  <c r="O10" i="17"/>
  <c r="P10" i="17"/>
  <c r="Q10" i="17"/>
  <c r="R10" i="17"/>
  <c r="S10" i="17"/>
  <c r="O12" i="17"/>
  <c r="P12" i="17"/>
  <c r="Q12" i="17"/>
  <c r="R12" i="17"/>
  <c r="S12" i="17"/>
  <c r="O13" i="17"/>
  <c r="Q13" i="17"/>
  <c r="S13" i="17"/>
  <c r="P14" i="17"/>
  <c r="S14" i="17"/>
  <c r="O17" i="17"/>
  <c r="P17" i="17"/>
  <c r="Q17" i="17"/>
  <c r="R17" i="17"/>
  <c r="S17" i="17"/>
  <c r="P23" i="17"/>
  <c r="Q23" i="17"/>
  <c r="R23" i="17"/>
  <c r="S23" i="17"/>
  <c r="O24" i="17"/>
  <c r="P24" i="17"/>
  <c r="Q24" i="17"/>
  <c r="R24" i="17"/>
  <c r="S24" i="17"/>
  <c r="O25" i="17"/>
  <c r="P25" i="17"/>
  <c r="Q25" i="17"/>
  <c r="R25" i="17"/>
  <c r="S25" i="17"/>
  <c r="S26" i="17"/>
  <c r="O29" i="17"/>
  <c r="P30" i="17"/>
  <c r="AN10" i="13"/>
  <c r="AM14" i="13"/>
  <c r="AM21" i="13"/>
  <c r="D22" i="13"/>
  <c r="I22" i="13" s="1"/>
  <c r="L22" i="13"/>
  <c r="M22" i="13"/>
  <c r="N22" i="13"/>
  <c r="O22" i="13"/>
  <c r="D23" i="13"/>
  <c r="I23" i="13" s="1"/>
  <c r="L23" i="13"/>
  <c r="M23" i="13"/>
  <c r="T23" i="13" s="1"/>
  <c r="N23" i="13"/>
  <c r="O23" i="13"/>
  <c r="AN27" i="13"/>
  <c r="D28" i="13"/>
  <c r="AN28" i="13" s="1"/>
  <c r="L28" i="13"/>
  <c r="M28" i="13"/>
  <c r="N28" i="13"/>
  <c r="O28" i="13"/>
  <c r="D29" i="13"/>
  <c r="I29" i="13"/>
  <c r="L29" i="13"/>
  <c r="S29" i="13" s="1"/>
  <c r="M29" i="13"/>
  <c r="N29" i="13"/>
  <c r="O29" i="13"/>
  <c r="V29" i="13" s="1"/>
  <c r="D30" i="13"/>
  <c r="AM30" i="13" s="1"/>
  <c r="L30" i="13"/>
  <c r="M30" i="13"/>
  <c r="N30" i="13"/>
  <c r="O30" i="13"/>
  <c r="D31" i="13"/>
  <c r="I31" i="13" s="1"/>
  <c r="L31" i="13"/>
  <c r="M31" i="13"/>
  <c r="N31" i="13"/>
  <c r="O31" i="13"/>
  <c r="D32" i="13"/>
  <c r="I32" i="13" s="1"/>
  <c r="L32" i="13"/>
  <c r="M32" i="13"/>
  <c r="N32" i="13"/>
  <c r="U32" i="13" s="1"/>
  <c r="O32" i="13"/>
  <c r="D33" i="13"/>
  <c r="I33" i="13" s="1"/>
  <c r="L33" i="13"/>
  <c r="M33" i="13"/>
  <c r="N33" i="13"/>
  <c r="O33" i="13"/>
  <c r="D34" i="13"/>
  <c r="I34" i="13" s="1"/>
  <c r="L34" i="13"/>
  <c r="S34" i="13" s="1"/>
  <c r="M34" i="13"/>
  <c r="T34" i="13" s="1"/>
  <c r="N34" i="13"/>
  <c r="O34" i="13"/>
  <c r="V34" i="13" s="1"/>
  <c r="D35" i="13"/>
  <c r="AM35" i="13" s="1"/>
  <c r="I35" i="13"/>
  <c r="L35" i="13"/>
  <c r="M35" i="13"/>
  <c r="N35" i="13"/>
  <c r="O35" i="13"/>
  <c r="D36" i="13"/>
  <c r="AN36" i="13" s="1"/>
  <c r="L36" i="13"/>
  <c r="M36" i="13"/>
  <c r="N36" i="13"/>
  <c r="O36" i="13"/>
  <c r="D38" i="13"/>
  <c r="I38" i="13" s="1"/>
  <c r="L38" i="13"/>
  <c r="S38" i="13" s="1"/>
  <c r="M38" i="13"/>
  <c r="T38" i="13" s="1"/>
  <c r="N38" i="13"/>
  <c r="O38" i="13"/>
  <c r="V38" i="13" s="1"/>
  <c r="D39" i="13"/>
  <c r="AN39" i="13" s="1"/>
  <c r="L39" i="13"/>
  <c r="M39" i="13"/>
  <c r="N39" i="13"/>
  <c r="O39" i="13"/>
  <c r="B5" i="19"/>
  <c r="B6" i="19"/>
  <c r="B7" i="19"/>
  <c r="B8" i="19"/>
  <c r="D13" i="19" s="1"/>
  <c r="D22" i="19" s="1"/>
  <c r="AM31" i="13"/>
  <c r="AN32" i="13"/>
  <c r="AM7" i="13"/>
  <c r="I28" i="13"/>
  <c r="Z37" i="13"/>
  <c r="AQ37" i="13" s="1"/>
  <c r="AD37" i="13"/>
  <c r="AU37" i="13" s="1"/>
  <c r="AM12" i="13"/>
  <c r="AN33" i="13"/>
  <c r="P29" i="17"/>
  <c r="Q30" i="17" s="1"/>
  <c r="AM38" i="13"/>
  <c r="AM27" i="13"/>
  <c r="AM17" i="13"/>
  <c r="AM13" i="13"/>
  <c r="W38" i="13"/>
  <c r="AM11" i="13"/>
  <c r="AM8" i="13"/>
  <c r="AM37" i="13"/>
  <c r="AN24" i="13"/>
  <c r="AM18" i="13"/>
  <c r="AN16" i="13"/>
  <c r="G12" i="17"/>
  <c r="AN9" i="13"/>
  <c r="AN38" i="13"/>
  <c r="AN29" i="13"/>
  <c r="AM29" i="13"/>
  <c r="AN37" i="13"/>
  <c r="AM24" i="13"/>
  <c r="AN18" i="13"/>
  <c r="AN14" i="13"/>
  <c r="H12" i="17"/>
  <c r="H15" i="17" s="1"/>
  <c r="H28" i="17" s="1"/>
  <c r="W29" i="13"/>
  <c r="AN35" i="13"/>
  <c r="AM32" i="13"/>
  <c r="AM19" i="13"/>
  <c r="W34" i="13"/>
  <c r="AN25" i="13"/>
  <c r="AM15" i="13"/>
  <c r="AM25" i="13"/>
  <c r="F13" i="19"/>
  <c r="AN22" i="13"/>
  <c r="AM22" i="13"/>
  <c r="AM20" i="13"/>
  <c r="AN26" i="13"/>
  <c r="AM16" i="13"/>
  <c r="AM26" i="13"/>
  <c r="AN20" i="13"/>
  <c r="I36" i="13"/>
  <c r="AN21" i="13"/>
  <c r="AN19" i="13"/>
  <c r="AN17" i="13"/>
  <c r="AN15" i="13"/>
  <c r="AN13" i="13"/>
  <c r="D29" i="17"/>
  <c r="T37" i="13"/>
  <c r="Q29" i="17"/>
  <c r="R30" i="17" s="1"/>
  <c r="R29" i="17"/>
  <c r="S30" i="17" s="1"/>
  <c r="I53" i="12"/>
  <c r="I52" i="12"/>
  <c r="I49" i="12"/>
  <c r="S29" i="17"/>
  <c r="C22" i="19"/>
  <c r="C23" i="19" s="1"/>
  <c r="D23" i="19"/>
  <c r="AH30" i="13"/>
  <c r="AH38" i="13"/>
  <c r="AI34" i="13"/>
  <c r="AI38" i="13"/>
  <c r="AH29" i="13" l="1"/>
  <c r="W35" i="13"/>
  <c r="AI22" i="13"/>
  <c r="W23" i="13"/>
  <c r="AH22" i="13"/>
  <c r="AJ32" i="13"/>
  <c r="AI31" i="13"/>
  <c r="S28" i="13"/>
  <c r="AZ37" i="13"/>
  <c r="AY30" i="13"/>
  <c r="AY31" i="13"/>
  <c r="V31" i="13"/>
  <c r="BA35" i="13"/>
  <c r="H19" i="7"/>
  <c r="AH34" i="13"/>
  <c r="AH28" i="13"/>
  <c r="AJ38" i="13"/>
  <c r="E13" i="19"/>
  <c r="AZ39" i="13"/>
  <c r="AY34" i="13"/>
  <c r="AY23" i="13"/>
  <c r="AY37" i="13"/>
  <c r="AY39" i="13"/>
  <c r="BA31" i="13"/>
  <c r="AI23" i="13"/>
  <c r="AH33" i="13"/>
  <c r="AJ22" i="13"/>
  <c r="BA37" i="13"/>
  <c r="AZ35" i="13"/>
  <c r="AZ31" i="13"/>
  <c r="AY38" i="13"/>
  <c r="AY22" i="13"/>
  <c r="BA36" i="13"/>
  <c r="BA29" i="13"/>
  <c r="AY36" i="13"/>
  <c r="AY32" i="13"/>
  <c r="AY28" i="13"/>
  <c r="I11" i="13"/>
  <c r="I10" i="13"/>
  <c r="W33" i="13"/>
  <c r="S33" i="13"/>
  <c r="AN31" i="13"/>
  <c r="V33" i="13"/>
  <c r="AM33" i="13"/>
  <c r="W28" i="13"/>
  <c r="U33" i="13"/>
  <c r="U28" i="13"/>
  <c r="I30" i="13"/>
  <c r="U35" i="13"/>
  <c r="T33" i="13"/>
  <c r="S31" i="13"/>
  <c r="T28" i="13"/>
  <c r="G159" i="40"/>
  <c r="I159" i="40" s="1"/>
  <c r="G157" i="40"/>
  <c r="I157" i="40" s="1"/>
  <c r="G148" i="40"/>
  <c r="I148" i="40" s="1"/>
  <c r="G146" i="40"/>
  <c r="I146" i="40" s="1"/>
  <c r="G131" i="40"/>
  <c r="I131" i="40" s="1"/>
  <c r="G127" i="40"/>
  <c r="I127" i="40" s="1"/>
  <c r="G114" i="40"/>
  <c r="I114" i="40" s="1"/>
  <c r="G160" i="40"/>
  <c r="I160" i="40" s="1"/>
  <c r="G158" i="40"/>
  <c r="I158" i="40" s="1"/>
  <c r="G147" i="40"/>
  <c r="I147" i="40" s="1"/>
  <c r="G143" i="40"/>
  <c r="I143" i="40" s="1"/>
  <c r="G130" i="40"/>
  <c r="I130" i="40" s="1"/>
  <c r="G115" i="40"/>
  <c r="I115" i="40" s="1"/>
  <c r="G111" i="40"/>
  <c r="I111" i="40" s="1"/>
  <c r="AI39" i="13"/>
  <c r="AI32" i="13"/>
  <c r="AJ34" i="13"/>
  <c r="AH32" i="13"/>
  <c r="AJ30" i="13"/>
  <c r="AI36" i="13"/>
  <c r="AI28" i="13"/>
  <c r="AH36" i="13"/>
  <c r="L5" i="12"/>
  <c r="I15" i="27"/>
  <c r="S15" i="27" s="1"/>
  <c r="S13" i="27"/>
  <c r="I16" i="27"/>
  <c r="Q15" i="27"/>
  <c r="T15" i="27" s="1"/>
  <c r="O15" i="27"/>
  <c r="G145" i="40"/>
  <c r="I145" i="40" s="1"/>
  <c r="G136" i="40"/>
  <c r="I136" i="40" s="1"/>
  <c r="G129" i="40"/>
  <c r="I129" i="40" s="1"/>
  <c r="G120" i="40"/>
  <c r="I120" i="40" s="1"/>
  <c r="G113" i="40"/>
  <c r="I113" i="40" s="1"/>
  <c r="G104" i="40"/>
  <c r="I104" i="40" s="1"/>
  <c r="G91" i="40"/>
  <c r="I91" i="40" s="1"/>
  <c r="G86" i="40"/>
  <c r="I86" i="40" s="1"/>
  <c r="G84" i="40"/>
  <c r="I84" i="40" s="1"/>
  <c r="G82" i="40"/>
  <c r="I82" i="40" s="1"/>
  <c r="G78" i="40"/>
  <c r="I78" i="40" s="1"/>
  <c r="G74" i="40"/>
  <c r="I74" i="40" s="1"/>
  <c r="G70" i="40"/>
  <c r="I70" i="40" s="1"/>
  <c r="G66" i="40"/>
  <c r="I66" i="40" s="1"/>
  <c r="G62" i="40"/>
  <c r="I62" i="40" s="1"/>
  <c r="G58" i="40"/>
  <c r="I58" i="40" s="1"/>
  <c r="G54" i="40"/>
  <c r="I54" i="40" s="1"/>
  <c r="G50" i="40"/>
  <c r="I50" i="40" s="1"/>
  <c r="G46" i="40"/>
  <c r="I46" i="40" s="1"/>
  <c r="G42" i="40"/>
  <c r="I42" i="40" s="1"/>
  <c r="G38" i="40"/>
  <c r="I38" i="40" s="1"/>
  <c r="G34" i="40"/>
  <c r="I34" i="40" s="1"/>
  <c r="G30" i="40"/>
  <c r="I30" i="40" s="1"/>
  <c r="G26" i="40"/>
  <c r="I26" i="40" s="1"/>
  <c r="G23" i="40"/>
  <c r="I23" i="40" s="1"/>
  <c r="G20" i="40"/>
  <c r="I20" i="40" s="1"/>
  <c r="G144" i="40"/>
  <c r="I144" i="40" s="1"/>
  <c r="G137" i="40"/>
  <c r="I137" i="40" s="1"/>
  <c r="G128" i="40"/>
  <c r="I128" i="40" s="1"/>
  <c r="G121" i="40"/>
  <c r="I121" i="40" s="1"/>
  <c r="G112" i="40"/>
  <c r="I112" i="40" s="1"/>
  <c r="G105" i="40"/>
  <c r="I105" i="40" s="1"/>
  <c r="G92" i="40"/>
  <c r="I92" i="40" s="1"/>
  <c r="G83" i="40"/>
  <c r="I83" i="40" s="1"/>
  <c r="G79" i="40"/>
  <c r="I79" i="40" s="1"/>
  <c r="G75" i="40"/>
  <c r="I75" i="40" s="1"/>
  <c r="G71" i="40"/>
  <c r="I71" i="40" s="1"/>
  <c r="G67" i="40"/>
  <c r="I67" i="40" s="1"/>
  <c r="G63" i="40"/>
  <c r="I63" i="40" s="1"/>
  <c r="G59" i="40"/>
  <c r="I59" i="40" s="1"/>
  <c r="G55" i="40"/>
  <c r="I55" i="40" s="1"/>
  <c r="G51" i="40"/>
  <c r="I51" i="40" s="1"/>
  <c r="G47" i="40"/>
  <c r="I47" i="40" s="1"/>
  <c r="G43" i="40"/>
  <c r="I43" i="40" s="1"/>
  <c r="G39" i="40"/>
  <c r="I39" i="40" s="1"/>
  <c r="G35" i="40"/>
  <c r="I35" i="40" s="1"/>
  <c r="G31" i="40"/>
  <c r="I31" i="40" s="1"/>
  <c r="G27" i="40"/>
  <c r="I27" i="40" s="1"/>
  <c r="G24" i="40"/>
  <c r="I24" i="40" s="1"/>
  <c r="G22" i="40"/>
  <c r="I22" i="40" s="1"/>
  <c r="G25" i="40"/>
  <c r="I25" i="40" s="1"/>
  <c r="S41" i="17"/>
  <c r="E15" i="17"/>
  <c r="E28" i="17" s="1"/>
  <c r="D15" i="17"/>
  <c r="D28" i="17" s="1"/>
  <c r="I15" i="17"/>
  <c r="I28" i="17" s="1"/>
  <c r="E32" i="7"/>
  <c r="G10" i="12" s="1"/>
  <c r="T35" i="13"/>
  <c r="U34" i="13"/>
  <c r="T31" i="13"/>
  <c r="A1" i="17"/>
  <c r="A1" i="26"/>
  <c r="A1" i="36"/>
  <c r="T29" i="13"/>
  <c r="A1" i="13"/>
  <c r="T22" i="13"/>
  <c r="V22" i="13"/>
  <c r="W22" i="13"/>
  <c r="U22" i="13"/>
  <c r="AZ38" i="13"/>
  <c r="AZ33" i="13"/>
  <c r="AZ22" i="13"/>
  <c r="AY35" i="13"/>
  <c r="AY29" i="13"/>
  <c r="BA39" i="13"/>
  <c r="BA33" i="13"/>
  <c r="BA28" i="13"/>
  <c r="BA23" i="13"/>
  <c r="AI35" i="13"/>
  <c r="AI30" i="13"/>
  <c r="AH37" i="13"/>
  <c r="S22" i="13"/>
  <c r="U36" i="13"/>
  <c r="V36" i="13"/>
  <c r="S36" i="13"/>
  <c r="W36" i="13"/>
  <c r="T36" i="13"/>
  <c r="AJ23" i="13"/>
  <c r="AJ31" i="13"/>
  <c r="AJ35" i="13"/>
  <c r="AJ39" i="13"/>
  <c r="AJ29" i="13"/>
  <c r="AJ33" i="13"/>
  <c r="AJ37" i="13"/>
  <c r="AI29" i="13"/>
  <c r="AI37" i="13"/>
  <c r="BA22" i="13"/>
  <c r="BA30" i="13"/>
  <c r="BA34" i="13"/>
  <c r="BA38" i="13"/>
  <c r="AZ28" i="13"/>
  <c r="AZ32" i="13"/>
  <c r="AZ36" i="13"/>
  <c r="AH23" i="13"/>
  <c r="AH31" i="13"/>
  <c r="AH35" i="13"/>
  <c r="AH39" i="13"/>
  <c r="AJ36" i="13"/>
  <c r="AJ28" i="13"/>
  <c r="S32" i="13"/>
  <c r="W32" i="13"/>
  <c r="V32" i="13"/>
  <c r="T32" i="13"/>
  <c r="H29" i="17"/>
  <c r="C48" i="17"/>
  <c r="E29" i="17"/>
  <c r="AI33" i="13"/>
  <c r="U23" i="13"/>
  <c r="F14" i="19"/>
  <c r="F22" i="19" s="1"/>
  <c r="F23" i="19" s="1"/>
  <c r="AN30" i="13"/>
  <c r="AN34" i="13"/>
  <c r="U29" i="13"/>
  <c r="AM23" i="13"/>
  <c r="V28" i="13"/>
  <c r="AM36" i="13"/>
  <c r="U38" i="13"/>
  <c r="AM34" i="13"/>
  <c r="AM28" i="13"/>
  <c r="G13" i="17"/>
  <c r="G15" i="17" s="1"/>
  <c r="G28" i="17" s="1"/>
  <c r="F13" i="17"/>
  <c r="S23" i="13"/>
  <c r="G29" i="17"/>
  <c r="B22" i="19"/>
  <c r="B23" i="19" s="1"/>
  <c r="D40" i="13"/>
  <c r="AN23" i="13"/>
  <c r="I39" i="13"/>
  <c r="V23" i="13"/>
  <c r="E14" i="19"/>
  <c r="AM39" i="13"/>
  <c r="V35" i="13"/>
  <c r="S35" i="13"/>
  <c r="W31" i="13"/>
  <c r="U31" i="13"/>
  <c r="E7" i="13"/>
  <c r="H8" i="13"/>
  <c r="I8" i="13" s="1"/>
  <c r="F66" i="17"/>
  <c r="N41" i="17"/>
  <c r="G133" i="40"/>
  <c r="I133" i="40" s="1"/>
  <c r="G117" i="40"/>
  <c r="I117" i="40" s="1"/>
  <c r="G101" i="40"/>
  <c r="I101" i="40" s="1"/>
  <c r="G8" i="13"/>
  <c r="G40" i="13" s="1"/>
  <c r="F8" i="13"/>
  <c r="F40" i="13" s="1"/>
  <c r="S34" i="17"/>
  <c r="H7" i="13"/>
  <c r="E8" i="13"/>
  <c r="P68" i="17"/>
  <c r="F40" i="12"/>
  <c r="F41" i="12"/>
  <c r="I40" i="12"/>
  <c r="I41" i="12"/>
  <c r="F50" i="12"/>
  <c r="I50" i="12" s="1"/>
  <c r="F51" i="12"/>
  <c r="I51" i="12" s="1"/>
  <c r="C75" i="12"/>
  <c r="G95" i="40"/>
  <c r="I95" i="40" s="1"/>
  <c r="G88" i="40"/>
  <c r="I88" i="40" s="1"/>
  <c r="C110" i="12"/>
  <c r="G6" i="12"/>
  <c r="G96" i="40"/>
  <c r="I96" i="40" s="1"/>
  <c r="G87" i="40"/>
  <c r="I87" i="40" s="1"/>
  <c r="G80" i="40"/>
  <c r="I80" i="40" s="1"/>
  <c r="G76" i="40"/>
  <c r="I76" i="40" s="1"/>
  <c r="G72" i="40"/>
  <c r="I72" i="40" s="1"/>
  <c r="G68" i="40"/>
  <c r="I68" i="40" s="1"/>
  <c r="G64" i="40"/>
  <c r="I64" i="40" s="1"/>
  <c r="G60" i="40"/>
  <c r="I60" i="40" s="1"/>
  <c r="G56" i="40"/>
  <c r="I56" i="40" s="1"/>
  <c r="G52" i="40"/>
  <c r="I52" i="40" s="1"/>
  <c r="G48" i="40"/>
  <c r="I48" i="40" s="1"/>
  <c r="G44" i="40"/>
  <c r="I44" i="40" s="1"/>
  <c r="G40" i="40"/>
  <c r="I40" i="40" s="1"/>
  <c r="G36" i="40"/>
  <c r="I36" i="40" s="1"/>
  <c r="G32" i="40"/>
  <c r="I32" i="40" s="1"/>
  <c r="G28" i="40"/>
  <c r="I28" i="40" s="1"/>
  <c r="G97" i="40"/>
  <c r="I97" i="40" s="1"/>
  <c r="G93" i="40"/>
  <c r="I93" i="40" s="1"/>
  <c r="G89" i="40"/>
  <c r="I89" i="40" s="1"/>
  <c r="G85" i="40"/>
  <c r="I85" i="40" s="1"/>
  <c r="G81" i="40"/>
  <c r="I81" i="40" s="1"/>
  <c r="G77" i="40"/>
  <c r="I77" i="40" s="1"/>
  <c r="G73" i="40"/>
  <c r="I73" i="40" s="1"/>
  <c r="G69" i="40"/>
  <c r="I69" i="40" s="1"/>
  <c r="G7" i="16" s="1"/>
  <c r="G65" i="40"/>
  <c r="I65" i="40" s="1"/>
  <c r="G61" i="40"/>
  <c r="I61" i="40" s="1"/>
  <c r="G57" i="40"/>
  <c r="I57" i="40" s="1"/>
  <c r="G53" i="40"/>
  <c r="I53" i="40" s="1"/>
  <c r="G49" i="40"/>
  <c r="I49" i="40" s="1"/>
  <c r="G45" i="40"/>
  <c r="I45" i="40" s="1"/>
  <c r="G41" i="40"/>
  <c r="I41" i="40" s="1"/>
  <c r="G37" i="40"/>
  <c r="I37" i="40" s="1"/>
  <c r="G33" i="40"/>
  <c r="I33" i="40" s="1"/>
  <c r="G29" i="40"/>
  <c r="I29" i="40" s="1"/>
  <c r="A1" i="37"/>
  <c r="A1" i="7"/>
  <c r="A1" i="12"/>
  <c r="A1" i="19"/>
  <c r="G9" i="12" l="1"/>
  <c r="G10" i="16"/>
  <c r="E22" i="19"/>
  <c r="E23" i="19" s="1"/>
  <c r="AN40" i="13"/>
  <c r="AM40" i="13"/>
  <c r="V30" i="13"/>
  <c r="W30" i="13"/>
  <c r="S30" i="13"/>
  <c r="U30" i="13"/>
  <c r="T30" i="13"/>
  <c r="G9" i="16"/>
  <c r="C49" i="17"/>
  <c r="J50" i="12"/>
  <c r="J53" i="12"/>
  <c r="J49" i="12"/>
  <c r="G64" i="17"/>
  <c r="P63" i="17"/>
  <c r="G61" i="17"/>
  <c r="G65" i="17"/>
  <c r="G63" i="17"/>
  <c r="G62" i="17"/>
  <c r="J52" i="12"/>
  <c r="G6" i="16"/>
  <c r="G8" i="16"/>
  <c r="Q35" i="17"/>
  <c r="P35" i="17"/>
  <c r="S35" i="17"/>
  <c r="R35" i="17"/>
  <c r="C77" i="12"/>
  <c r="C76" i="12"/>
  <c r="C97" i="12"/>
  <c r="C40" i="12" s="1"/>
  <c r="G7" i="12" s="1"/>
  <c r="C98" i="12"/>
  <c r="C41" i="12" s="1"/>
  <c r="G8" i="12" s="1"/>
  <c r="J51" i="12"/>
  <c r="H40" i="13"/>
  <c r="O35" i="17"/>
  <c r="E40" i="13"/>
  <c r="W39" i="13"/>
  <c r="U39" i="13"/>
  <c r="T39" i="13"/>
  <c r="V39" i="13"/>
  <c r="S39" i="13"/>
  <c r="I7" i="13"/>
  <c r="G66" i="17" l="1"/>
  <c r="AG32" i="13"/>
  <c r="AX22" i="13"/>
  <c r="AG35" i="13"/>
  <c r="AG30" i="13"/>
  <c r="AX36" i="13"/>
  <c r="AX29" i="13"/>
  <c r="AX38" i="13"/>
  <c r="AG37" i="13"/>
  <c r="AG39" i="13"/>
  <c r="AG36" i="13"/>
  <c r="AG23" i="13"/>
  <c r="AG22" i="13"/>
  <c r="AX28" i="13"/>
  <c r="AG28" i="13"/>
  <c r="AX33" i="13"/>
  <c r="AG29" i="13"/>
  <c r="AG31" i="13"/>
  <c r="AX37" i="13"/>
  <c r="AX35" i="13"/>
  <c r="AX39" i="13"/>
  <c r="AG34" i="13"/>
  <c r="AG33" i="13"/>
  <c r="AX31" i="13"/>
  <c r="AG38" i="13"/>
  <c r="AX30" i="13"/>
  <c r="AX34" i="13"/>
  <c r="AX23" i="13"/>
  <c r="AX32" i="13"/>
  <c r="I40" i="13"/>
  <c r="H7" i="12"/>
  <c r="E17" i="7" s="1"/>
  <c r="H47" i="17" s="1"/>
  <c r="D7" i="23" s="1"/>
  <c r="H10" i="12"/>
  <c r="H9" i="12"/>
  <c r="H6" i="12"/>
  <c r="H8" i="12"/>
  <c r="F17" i="7" s="1"/>
  <c r="G47" i="17" s="1"/>
  <c r="E7" i="23" s="1"/>
  <c r="Q37" i="17"/>
  <c r="Q38" i="17" s="1"/>
  <c r="G10" i="17"/>
  <c r="G22" i="17" s="1"/>
  <c r="H10" i="17"/>
  <c r="H22" i="17" s="1"/>
  <c r="R37" i="17"/>
  <c r="R38" i="17" s="1"/>
  <c r="P69" i="17"/>
  <c r="R63" i="17"/>
  <c r="Q66" i="17"/>
  <c r="R66" i="17" s="1"/>
  <c r="Q65" i="17"/>
  <c r="Q69" i="17" s="1"/>
  <c r="I10" i="17"/>
  <c r="I22" i="17" s="1"/>
  <c r="S37" i="17"/>
  <c r="S38" i="17" s="1"/>
  <c r="G11" i="16"/>
  <c r="H8" i="16" s="1"/>
  <c r="F22" i="7" s="1"/>
  <c r="D10" i="17"/>
  <c r="D22" i="17" s="1"/>
  <c r="O37" i="17"/>
  <c r="O38" i="17" s="1"/>
  <c r="E10" i="17"/>
  <c r="E22" i="17" s="1"/>
  <c r="P37" i="17"/>
  <c r="P38" i="17" s="1"/>
  <c r="H6" i="16" l="1"/>
  <c r="H48" i="17"/>
  <c r="G17" i="7"/>
  <c r="E48" i="17" s="1"/>
  <c r="K48" i="17" s="1"/>
  <c r="R69" i="17"/>
  <c r="G48" i="17"/>
  <c r="L48" i="17" s="1"/>
  <c r="S39" i="17"/>
  <c r="E47" i="17"/>
  <c r="F7" i="23" s="1"/>
  <c r="C17" i="7"/>
  <c r="D17" i="7"/>
  <c r="I30" i="17"/>
  <c r="I23" i="17"/>
  <c r="I24" i="17" s="1"/>
  <c r="M10" i="13"/>
  <c r="T10" i="13" s="1"/>
  <c r="AA10" i="13" s="1"/>
  <c r="M14" i="13"/>
  <c r="T14" i="13" s="1"/>
  <c r="AA14" i="13" s="1"/>
  <c r="M18" i="13"/>
  <c r="T18" i="13" s="1"/>
  <c r="AA18" i="13" s="1"/>
  <c r="M26" i="13"/>
  <c r="T26" i="13" s="1"/>
  <c r="AA26" i="13" s="1"/>
  <c r="M11" i="13"/>
  <c r="T11" i="13" s="1"/>
  <c r="AA11" i="13" s="1"/>
  <c r="M15" i="13"/>
  <c r="T15" i="13" s="1"/>
  <c r="AA15" i="13" s="1"/>
  <c r="M19" i="13"/>
  <c r="T19" i="13" s="1"/>
  <c r="AA19" i="13" s="1"/>
  <c r="M27" i="13"/>
  <c r="T27" i="13" s="1"/>
  <c r="AA27" i="13" s="1"/>
  <c r="M7" i="13"/>
  <c r="T7" i="13" s="1"/>
  <c r="M8" i="13"/>
  <c r="T8" i="13" s="1"/>
  <c r="AA8" i="13" s="1"/>
  <c r="M12" i="13"/>
  <c r="T12" i="13" s="1"/>
  <c r="AA12" i="13" s="1"/>
  <c r="M16" i="13"/>
  <c r="T16" i="13" s="1"/>
  <c r="AA16" i="13" s="1"/>
  <c r="M20" i="13"/>
  <c r="T20" i="13" s="1"/>
  <c r="AA20" i="13" s="1"/>
  <c r="M24" i="13"/>
  <c r="T24" i="13" s="1"/>
  <c r="AA24" i="13" s="1"/>
  <c r="M13" i="13"/>
  <c r="T13" i="13" s="1"/>
  <c r="AA13" i="13" s="1"/>
  <c r="M17" i="13"/>
  <c r="T17" i="13" s="1"/>
  <c r="AA17" i="13" s="1"/>
  <c r="M25" i="13"/>
  <c r="T25" i="13" s="1"/>
  <c r="AA25" i="13" s="1"/>
  <c r="M9" i="13"/>
  <c r="T9" i="13" s="1"/>
  <c r="AA9" i="13" s="1"/>
  <c r="M21" i="13"/>
  <c r="T21" i="13" s="1"/>
  <c r="AA21" i="13" s="1"/>
  <c r="E30" i="17"/>
  <c r="E23" i="17"/>
  <c r="E24" i="17" s="1"/>
  <c r="D30" i="17"/>
  <c r="D23" i="17"/>
  <c r="D24" i="17" s="1"/>
  <c r="D22" i="7"/>
  <c r="C22" i="7"/>
  <c r="Q68" i="17"/>
  <c r="R68" i="17" s="1"/>
  <c r="J75" i="17" s="1"/>
  <c r="P75" i="17" s="1"/>
  <c r="P77" i="17" s="1"/>
  <c r="R65" i="17"/>
  <c r="G30" i="17"/>
  <c r="G23" i="17"/>
  <c r="G24" i="17" s="1"/>
  <c r="F6" i="23"/>
  <c r="D6" i="23"/>
  <c r="M48" i="17"/>
  <c r="E6" i="23"/>
  <c r="I11" i="16"/>
  <c r="H9" i="16"/>
  <c r="H7" i="16"/>
  <c r="E22" i="7" s="1"/>
  <c r="H10" i="16"/>
  <c r="H30" i="17"/>
  <c r="H23" i="17"/>
  <c r="H24" i="17" s="1"/>
  <c r="H11" i="16" l="1"/>
  <c r="C47" i="17"/>
  <c r="K47" i="17" s="1"/>
  <c r="I47" i="17"/>
  <c r="C7" i="23" s="1"/>
  <c r="I48" i="17"/>
  <c r="J47" i="17"/>
  <c r="B6" i="23" s="1"/>
  <c r="J48" i="17"/>
  <c r="AR26" i="13"/>
  <c r="AY26" i="13" s="1"/>
  <c r="AH26" i="13"/>
  <c r="AR21" i="13"/>
  <c r="AY21" i="13" s="1"/>
  <c r="AH21" i="13"/>
  <c r="AA48" i="13"/>
  <c r="AR13" i="13"/>
  <c r="AY13" i="13" s="1"/>
  <c r="AH13" i="13"/>
  <c r="AH12" i="13"/>
  <c r="AR12" i="13"/>
  <c r="AY12" i="13" s="1"/>
  <c r="AH19" i="13"/>
  <c r="AR19" i="13"/>
  <c r="AY19" i="13" s="1"/>
  <c r="AR18" i="13"/>
  <c r="AY18" i="13" s="1"/>
  <c r="AH18" i="13"/>
  <c r="O24" i="13"/>
  <c r="O25" i="13"/>
  <c r="O26" i="13"/>
  <c r="O27" i="13"/>
  <c r="O7" i="13"/>
  <c r="O8" i="13"/>
  <c r="O9" i="13"/>
  <c r="O10" i="13"/>
  <c r="O11" i="13"/>
  <c r="O12" i="13"/>
  <c r="O13" i="13"/>
  <c r="O14" i="13"/>
  <c r="O15" i="13"/>
  <c r="O16" i="13"/>
  <c r="O17" i="13"/>
  <c r="O18" i="13"/>
  <c r="O19" i="13"/>
  <c r="O20" i="13"/>
  <c r="O21" i="13"/>
  <c r="AR16" i="13"/>
  <c r="AY16" i="13" s="1"/>
  <c r="AH16" i="13"/>
  <c r="AH9" i="13"/>
  <c r="AR9" i="13"/>
  <c r="AY9" i="13" s="1"/>
  <c r="AR8" i="13"/>
  <c r="AY8" i="13" s="1"/>
  <c r="AH8" i="13"/>
  <c r="AR15" i="13"/>
  <c r="AY15" i="13" s="1"/>
  <c r="AH15" i="13"/>
  <c r="AR14" i="13"/>
  <c r="AY14" i="13" s="1"/>
  <c r="AH14" i="13"/>
  <c r="AR17" i="13"/>
  <c r="AY17" i="13" s="1"/>
  <c r="AH17" i="13"/>
  <c r="AR27" i="13"/>
  <c r="AY27" i="13" s="1"/>
  <c r="AH27" i="13"/>
  <c r="N14" i="13"/>
  <c r="U14" i="13" s="1"/>
  <c r="AB14" i="13" s="1"/>
  <c r="N19" i="13"/>
  <c r="U19" i="13" s="1"/>
  <c r="AB19" i="13" s="1"/>
  <c r="N12" i="13"/>
  <c r="U12" i="13" s="1"/>
  <c r="AB12" i="13" s="1"/>
  <c r="N25" i="13"/>
  <c r="U25" i="13" s="1"/>
  <c r="AB25" i="13" s="1"/>
  <c r="N13" i="13"/>
  <c r="U13" i="13" s="1"/>
  <c r="AB13" i="13" s="1"/>
  <c r="N11" i="13"/>
  <c r="U11" i="13" s="1"/>
  <c r="AB11" i="13" s="1"/>
  <c r="N10" i="13"/>
  <c r="U10" i="13" s="1"/>
  <c r="AB10" i="13" s="1"/>
  <c r="N18" i="13"/>
  <c r="U18" i="13" s="1"/>
  <c r="AB18" i="13" s="1"/>
  <c r="N17" i="13"/>
  <c r="U17" i="13" s="1"/>
  <c r="AB17" i="13" s="1"/>
  <c r="N20" i="13"/>
  <c r="U20" i="13" s="1"/>
  <c r="AB20" i="13" s="1"/>
  <c r="N7" i="13"/>
  <c r="U7" i="13" s="1"/>
  <c r="N16" i="13"/>
  <c r="U16" i="13" s="1"/>
  <c r="AB16" i="13" s="1"/>
  <c r="N27" i="13"/>
  <c r="U27" i="13" s="1"/>
  <c r="AB27" i="13" s="1"/>
  <c r="N15" i="13"/>
  <c r="U15" i="13" s="1"/>
  <c r="AB15" i="13" s="1"/>
  <c r="N9" i="13"/>
  <c r="U9" i="13" s="1"/>
  <c r="AB9" i="13" s="1"/>
  <c r="N26" i="13"/>
  <c r="U26" i="13" s="1"/>
  <c r="AB26" i="13" s="1"/>
  <c r="N24" i="13"/>
  <c r="U24" i="13" s="1"/>
  <c r="AB24" i="13" s="1"/>
  <c r="N21" i="13"/>
  <c r="U21" i="13" s="1"/>
  <c r="AB21" i="13" s="1"/>
  <c r="N8" i="13"/>
  <c r="U8" i="13" s="1"/>
  <c r="AB8" i="13" s="1"/>
  <c r="M47" i="17"/>
  <c r="O47" i="17"/>
  <c r="L47" i="17"/>
  <c r="N47" i="17"/>
  <c r="G22" i="7"/>
  <c r="H22" i="7" s="1"/>
  <c r="AR24" i="13"/>
  <c r="AY24" i="13" s="1"/>
  <c r="AH24" i="13"/>
  <c r="P24" i="13"/>
  <c r="P25" i="13"/>
  <c r="P26" i="13"/>
  <c r="P27" i="13"/>
  <c r="P7" i="13"/>
  <c r="P8" i="13"/>
  <c r="P9" i="13"/>
  <c r="P10" i="13"/>
  <c r="P11" i="13"/>
  <c r="P12" i="13"/>
  <c r="P16" i="13"/>
  <c r="P20" i="13"/>
  <c r="P13" i="13"/>
  <c r="P17" i="13"/>
  <c r="P21" i="13"/>
  <c r="P14" i="13"/>
  <c r="P18" i="13"/>
  <c r="P15" i="13"/>
  <c r="P19" i="13"/>
  <c r="AH25" i="13"/>
  <c r="AR25" i="13"/>
  <c r="AY25" i="13" s="1"/>
  <c r="AR20" i="13"/>
  <c r="AY20" i="13" s="1"/>
  <c r="AH20" i="13"/>
  <c r="AA7" i="13"/>
  <c r="T40" i="13"/>
  <c r="AR11" i="13"/>
  <c r="AY11" i="13" s="1"/>
  <c r="AH11" i="13"/>
  <c r="AR10" i="13"/>
  <c r="AY10" i="13" s="1"/>
  <c r="AH10" i="13"/>
  <c r="C51" i="17" l="1"/>
  <c r="B7" i="23"/>
  <c r="O48" i="17"/>
  <c r="C6" i="23"/>
  <c r="N48" i="17"/>
  <c r="W7" i="13"/>
  <c r="AD7" i="13" s="1"/>
  <c r="AS20" i="13"/>
  <c r="AZ20" i="13" s="1"/>
  <c r="AI20" i="13"/>
  <c r="V21" i="13"/>
  <c r="AC21" i="13" s="1"/>
  <c r="V9" i="13"/>
  <c r="AC9" i="13" s="1"/>
  <c r="W20" i="13"/>
  <c r="AD20" i="13" s="1"/>
  <c r="AU20" i="13" s="1"/>
  <c r="AS24" i="13"/>
  <c r="AZ24" i="13" s="1"/>
  <c r="AI24" i="13"/>
  <c r="AS27" i="13"/>
  <c r="AZ27" i="13" s="1"/>
  <c r="AI27" i="13"/>
  <c r="AS17" i="13"/>
  <c r="AZ17" i="13" s="1"/>
  <c r="AI17" i="13"/>
  <c r="AB48" i="13"/>
  <c r="AI13" i="13"/>
  <c r="AS13" i="13"/>
  <c r="AZ13" i="13" s="1"/>
  <c r="AS14" i="13"/>
  <c r="AZ14" i="13" s="1"/>
  <c r="AI14" i="13"/>
  <c r="V20" i="13"/>
  <c r="AC20" i="13" s="1"/>
  <c r="V16" i="13"/>
  <c r="AC16" i="13" s="1"/>
  <c r="V12" i="13"/>
  <c r="AC12" i="13" s="1"/>
  <c r="V8" i="13"/>
  <c r="AC8" i="13" s="1"/>
  <c r="V25" i="13"/>
  <c r="AC25" i="13" s="1"/>
  <c r="AS21" i="13"/>
  <c r="AZ21" i="13" s="1"/>
  <c r="AI21" i="13"/>
  <c r="AS19" i="13"/>
  <c r="AZ19" i="13" s="1"/>
  <c r="AI19" i="13"/>
  <c r="W10" i="13"/>
  <c r="AD10" i="13" s="1"/>
  <c r="AU10" i="13" s="1"/>
  <c r="AS26" i="13"/>
  <c r="AZ26" i="13" s="1"/>
  <c r="AI26" i="13"/>
  <c r="AS16" i="13"/>
  <c r="AZ16" i="13" s="1"/>
  <c r="AI16" i="13"/>
  <c r="AS18" i="13"/>
  <c r="AZ18" i="13" s="1"/>
  <c r="AI18" i="13"/>
  <c r="AS25" i="13"/>
  <c r="AZ25" i="13" s="1"/>
  <c r="AI25" i="13"/>
  <c r="V19" i="13"/>
  <c r="AC19" i="13" s="1"/>
  <c r="V15" i="13"/>
  <c r="AC15" i="13" s="1"/>
  <c r="V11" i="13"/>
  <c r="AC11" i="13" s="1"/>
  <c r="V7" i="13"/>
  <c r="AC7" i="13" s="1"/>
  <c r="V24" i="13"/>
  <c r="AC24" i="13" s="1"/>
  <c r="AA47" i="13"/>
  <c r="AA49" i="13" s="1"/>
  <c r="E10" i="23" s="1"/>
  <c r="AR7" i="13"/>
  <c r="AH7" i="13"/>
  <c r="AH41" i="13" s="1"/>
  <c r="AA41" i="13"/>
  <c r="W14" i="13"/>
  <c r="AD14" i="13" s="1"/>
  <c r="AU14" i="13" s="1"/>
  <c r="W11" i="13"/>
  <c r="AD11" i="13" s="1"/>
  <c r="AU11" i="13" s="1"/>
  <c r="W24" i="13"/>
  <c r="AD24" i="13" s="1"/>
  <c r="AU24" i="13" s="1"/>
  <c r="AS15" i="13"/>
  <c r="AZ15" i="13" s="1"/>
  <c r="AI15" i="13"/>
  <c r="AS11" i="13"/>
  <c r="AZ11" i="13" s="1"/>
  <c r="AI11" i="13"/>
  <c r="V17" i="13"/>
  <c r="AC17" i="13" s="1"/>
  <c r="V13" i="13"/>
  <c r="AC13" i="13" s="1"/>
  <c r="V26" i="13"/>
  <c r="AC26" i="13" s="1"/>
  <c r="W19" i="13"/>
  <c r="AD19" i="13" s="1"/>
  <c r="AU19" i="13" s="1"/>
  <c r="W21" i="13"/>
  <c r="AD21" i="13" s="1"/>
  <c r="AU21" i="13" s="1"/>
  <c r="W27" i="13"/>
  <c r="AD27" i="13" s="1"/>
  <c r="AU27" i="13" s="1"/>
  <c r="W15" i="13"/>
  <c r="AD15" i="13" s="1"/>
  <c r="AU15" i="13" s="1"/>
  <c r="W17" i="13"/>
  <c r="AD17" i="13" s="1"/>
  <c r="AU17" i="13" s="1"/>
  <c r="W16" i="13"/>
  <c r="AD16" i="13" s="1"/>
  <c r="AU16" i="13" s="1"/>
  <c r="W9" i="13"/>
  <c r="AD9" i="13" s="1"/>
  <c r="AU9" i="13" s="1"/>
  <c r="W26" i="13"/>
  <c r="AD26" i="13" s="1"/>
  <c r="AU26" i="13" s="1"/>
  <c r="W18" i="13"/>
  <c r="AD18" i="13" s="1"/>
  <c r="AU18" i="13" s="1"/>
  <c r="W13" i="13"/>
  <c r="AD13" i="13" s="1"/>
  <c r="W12" i="13"/>
  <c r="AD12" i="13" s="1"/>
  <c r="AU12" i="13" s="1"/>
  <c r="W8" i="13"/>
  <c r="AD8" i="13" s="1"/>
  <c r="AU8" i="13" s="1"/>
  <c r="W25" i="13"/>
  <c r="AD25" i="13" s="1"/>
  <c r="AU25" i="13" s="1"/>
  <c r="L15" i="13"/>
  <c r="S15" i="13" s="1"/>
  <c r="Z15" i="13" s="1"/>
  <c r="L10" i="13"/>
  <c r="S10" i="13" s="1"/>
  <c r="Z10" i="13" s="1"/>
  <c r="L8" i="13"/>
  <c r="S8" i="13" s="1"/>
  <c r="Z8" i="13" s="1"/>
  <c r="L11" i="13"/>
  <c r="S11" i="13" s="1"/>
  <c r="Z11" i="13" s="1"/>
  <c r="L14" i="13"/>
  <c r="S14" i="13" s="1"/>
  <c r="Z14" i="13" s="1"/>
  <c r="L18" i="13"/>
  <c r="S18" i="13" s="1"/>
  <c r="Z18" i="13" s="1"/>
  <c r="L20" i="13"/>
  <c r="S20" i="13" s="1"/>
  <c r="Z20" i="13" s="1"/>
  <c r="L17" i="13"/>
  <c r="S17" i="13" s="1"/>
  <c r="Z17" i="13" s="1"/>
  <c r="L24" i="13"/>
  <c r="S24" i="13" s="1"/>
  <c r="Z24" i="13" s="1"/>
  <c r="L13" i="13"/>
  <c r="S13" i="13" s="1"/>
  <c r="Z13" i="13" s="1"/>
  <c r="L16" i="13"/>
  <c r="S16" i="13" s="1"/>
  <c r="Z16" i="13" s="1"/>
  <c r="L21" i="13"/>
  <c r="S21" i="13" s="1"/>
  <c r="Z21" i="13" s="1"/>
  <c r="L27" i="13"/>
  <c r="S27" i="13" s="1"/>
  <c r="Z27" i="13" s="1"/>
  <c r="L9" i="13"/>
  <c r="S9" i="13" s="1"/>
  <c r="Z9" i="13" s="1"/>
  <c r="L12" i="13"/>
  <c r="S12" i="13" s="1"/>
  <c r="Z12" i="13" s="1"/>
  <c r="L7" i="13"/>
  <c r="S7" i="13" s="1"/>
  <c r="L26" i="13"/>
  <c r="S26" i="13" s="1"/>
  <c r="Z26" i="13" s="1"/>
  <c r="L19" i="13"/>
  <c r="S19" i="13" s="1"/>
  <c r="Z19" i="13" s="1"/>
  <c r="L25" i="13"/>
  <c r="S25" i="13" s="1"/>
  <c r="Z25" i="13" s="1"/>
  <c r="AS8" i="13"/>
  <c r="AZ8" i="13" s="1"/>
  <c r="AI8" i="13"/>
  <c r="AI9" i="13"/>
  <c r="AS9" i="13"/>
  <c r="AZ9" i="13" s="1"/>
  <c r="U40" i="13"/>
  <c r="AB7" i="13"/>
  <c r="AS10" i="13"/>
  <c r="AZ10" i="13" s="1"/>
  <c r="AI10" i="13"/>
  <c r="AS12" i="13"/>
  <c r="AZ12" i="13" s="1"/>
  <c r="AI12" i="13"/>
  <c r="V18" i="13"/>
  <c r="AC18" i="13" s="1"/>
  <c r="V14" i="13"/>
  <c r="AC14" i="13" s="1"/>
  <c r="V10" i="13"/>
  <c r="AC10" i="13" s="1"/>
  <c r="V27" i="13"/>
  <c r="AC27" i="13" s="1"/>
  <c r="AT17" i="13" l="1"/>
  <c r="BA17" i="13" s="1"/>
  <c r="AJ17" i="13"/>
  <c r="AJ11" i="13"/>
  <c r="AT11" i="13"/>
  <c r="BA11" i="13" s="1"/>
  <c r="AT9" i="13"/>
  <c r="BA9" i="13" s="1"/>
  <c r="AJ9" i="13"/>
  <c r="AT26" i="13"/>
  <c r="BA26" i="13" s="1"/>
  <c r="AJ26" i="13"/>
  <c r="AT24" i="13"/>
  <c r="BA24" i="13" s="1"/>
  <c r="AJ24" i="13"/>
  <c r="AT18" i="13"/>
  <c r="BA18" i="13" s="1"/>
  <c r="AJ18" i="13"/>
  <c r="AT20" i="13"/>
  <c r="BA20" i="13" s="1"/>
  <c r="AJ20" i="13"/>
  <c r="AT10" i="13"/>
  <c r="BA10" i="13" s="1"/>
  <c r="AJ10" i="13"/>
  <c r="AJ19" i="13"/>
  <c r="AT19" i="13"/>
  <c r="BA19" i="13" s="1"/>
  <c r="AU7" i="13"/>
  <c r="AD41" i="13"/>
  <c r="AD47" i="13"/>
  <c r="AT27" i="13"/>
  <c r="BA27" i="13" s="1"/>
  <c r="AJ27" i="13"/>
  <c r="AQ24" i="13"/>
  <c r="AX24" i="13" s="1"/>
  <c r="AG24" i="13"/>
  <c r="AS7" i="13"/>
  <c r="AB41" i="13"/>
  <c r="AI7" i="13"/>
  <c r="AI41" i="13" s="1"/>
  <c r="AB47" i="13"/>
  <c r="AB49" i="13" s="1"/>
  <c r="D10" i="23" s="1"/>
  <c r="AQ19" i="13"/>
  <c r="AX19" i="13" s="1"/>
  <c r="AG19" i="13"/>
  <c r="AQ9" i="13"/>
  <c r="AX9" i="13" s="1"/>
  <c r="AG9" i="13"/>
  <c r="AG13" i="13"/>
  <c r="AQ13" i="13"/>
  <c r="AX13" i="13" s="1"/>
  <c r="Z48" i="13"/>
  <c r="AQ18" i="13"/>
  <c r="AX18" i="13" s="1"/>
  <c r="AG18" i="13"/>
  <c r="AQ10" i="13"/>
  <c r="AX10" i="13" s="1"/>
  <c r="AG10" i="13"/>
  <c r="AR41" i="13"/>
  <c r="AY7" i="13"/>
  <c r="AY41" i="13" s="1"/>
  <c r="V40" i="13"/>
  <c r="AG14" i="13"/>
  <c r="AQ14" i="13"/>
  <c r="AX14" i="13" s="1"/>
  <c r="AT16" i="13"/>
  <c r="BA16" i="13" s="1"/>
  <c r="AJ16" i="13"/>
  <c r="AT21" i="13"/>
  <c r="BA21" i="13" s="1"/>
  <c r="AJ21" i="13"/>
  <c r="AG17" i="13"/>
  <c r="AQ17" i="13"/>
  <c r="AX17" i="13" s="1"/>
  <c r="AJ25" i="13"/>
  <c r="AT25" i="13"/>
  <c r="BA25" i="13" s="1"/>
  <c r="AT12" i="13"/>
  <c r="BA12" i="13" s="1"/>
  <c r="AJ12" i="13"/>
  <c r="AT14" i="13"/>
  <c r="BA14" i="13" s="1"/>
  <c r="AJ14" i="13"/>
  <c r="AQ26" i="13"/>
  <c r="AX26" i="13" s="1"/>
  <c r="AG26" i="13"/>
  <c r="AQ27" i="13"/>
  <c r="AX27" i="13" s="1"/>
  <c r="AG27" i="13"/>
  <c r="AQ15" i="13"/>
  <c r="AX15" i="13" s="1"/>
  <c r="AG15" i="13"/>
  <c r="AU13" i="13"/>
  <c r="AD48" i="13"/>
  <c r="AD50" i="13" s="1"/>
  <c r="AC48" i="13"/>
  <c r="AT13" i="13"/>
  <c r="BA13" i="13" s="1"/>
  <c r="AJ13" i="13"/>
  <c r="AC47" i="13"/>
  <c r="AJ7" i="13"/>
  <c r="AT7" i="13"/>
  <c r="AC41" i="13"/>
  <c r="AT15" i="13"/>
  <c r="BA15" i="13" s="1"/>
  <c r="AJ15" i="13"/>
  <c r="AT8" i="13"/>
  <c r="BA8" i="13" s="1"/>
  <c r="AJ8" i="13"/>
  <c r="Z7" i="13"/>
  <c r="S40" i="13"/>
  <c r="AQ21" i="13"/>
  <c r="AX21" i="13" s="1"/>
  <c r="AG21" i="13"/>
  <c r="AQ11" i="13"/>
  <c r="AX11" i="13" s="1"/>
  <c r="AG11" i="13"/>
  <c r="AA50" i="13"/>
  <c r="AQ25" i="13"/>
  <c r="AX25" i="13" s="1"/>
  <c r="AG25" i="13"/>
  <c r="AQ12" i="13"/>
  <c r="AX12" i="13" s="1"/>
  <c r="AG12" i="13"/>
  <c r="AQ16" i="13"/>
  <c r="AX16" i="13" s="1"/>
  <c r="AG16" i="13"/>
  <c r="AQ20" i="13"/>
  <c r="AX20" i="13" s="1"/>
  <c r="AG20" i="13"/>
  <c r="AQ8" i="13"/>
  <c r="AX8" i="13" s="1"/>
  <c r="AG8" i="13"/>
  <c r="AB50" i="13" l="1"/>
  <c r="AU41" i="13"/>
  <c r="AC49" i="13"/>
  <c r="C10" i="23" s="1"/>
  <c r="AJ41" i="13"/>
  <c r="AC50" i="13"/>
  <c r="Z41" i="13"/>
  <c r="AQ7" i="13"/>
  <c r="AG7" i="13"/>
  <c r="AG41" i="13" s="1"/>
  <c r="Z47" i="13"/>
  <c r="Z49" i="13" s="1"/>
  <c r="F10" i="23" s="1"/>
  <c r="AS41" i="13"/>
  <c r="AZ7" i="13"/>
  <c r="AZ41" i="13" s="1"/>
  <c r="AT41" i="13"/>
  <c r="BA7" i="13"/>
  <c r="BA41" i="13" s="1"/>
  <c r="AD49" i="13"/>
  <c r="B10" i="23" s="1"/>
  <c r="Z50" i="13" l="1"/>
  <c r="Z40" i="13"/>
  <c r="Z42" i="13" s="1"/>
  <c r="AG40" i="13"/>
  <c r="AJ42" i="13" s="1"/>
  <c r="AQ41" i="13"/>
  <c r="AX7" i="13"/>
  <c r="AX41" i="13" s="1"/>
  <c r="AG42" i="13" l="1"/>
  <c r="AX40" i="13"/>
  <c r="AX42" i="13" s="1"/>
  <c r="AQ40" i="13"/>
  <c r="AQ42" i="13" s="1"/>
  <c r="E49" i="17" s="1"/>
  <c r="AA42" i="13"/>
  <c r="AD42" i="13"/>
  <c r="AB42" i="13"/>
  <c r="AC42" i="13"/>
  <c r="AH42" i="13"/>
  <c r="AI42" i="13"/>
  <c r="F5" i="23" l="1"/>
  <c r="K49" i="17"/>
  <c r="K51" i="17" s="1"/>
  <c r="AR42" i="13"/>
  <c r="G49" i="17" s="1"/>
  <c r="AU42" i="13"/>
  <c r="J49" i="17" s="1"/>
  <c r="AT42" i="13"/>
  <c r="I49" i="17" s="1"/>
  <c r="AS42" i="13"/>
  <c r="H49" i="17" s="1"/>
  <c r="AY42" i="13"/>
  <c r="BA42" i="13"/>
  <c r="AZ42" i="13"/>
  <c r="C5" i="23" l="1"/>
  <c r="N49" i="17"/>
  <c r="N51" i="17" s="1"/>
  <c r="B5" i="23"/>
  <c r="O49" i="17"/>
  <c r="O51" i="17" s="1"/>
  <c r="E5" i="23"/>
  <c r="L49" i="17"/>
  <c r="L51" i="17" s="1"/>
  <c r="D5" i="23"/>
  <c r="M49" i="17"/>
  <c r="M51" i="17" s="1"/>
  <c r="M52" i="17" l="1"/>
  <c r="H75" i="17" s="1"/>
  <c r="N75" i="17" s="1"/>
  <c r="N77" i="17" s="1"/>
  <c r="O52" i="17"/>
  <c r="B8" i="23" s="1"/>
  <c r="L52" i="17"/>
  <c r="E8" i="23" s="1"/>
  <c r="N52" i="17"/>
  <c r="C8" i="23" s="1"/>
  <c r="K52" i="17"/>
  <c r="G75" i="17" l="1"/>
  <c r="M75" i="17" s="1"/>
  <c r="M77" i="17" s="1"/>
  <c r="D8" i="23"/>
  <c r="F75" i="17"/>
  <c r="F8" i="23"/>
  <c r="I75" i="17"/>
  <c r="O75" i="17" s="1"/>
  <c r="O77" i="17" s="1"/>
  <c r="L75" i="17" l="1"/>
  <c r="L77" i="17" s="1"/>
  <c r="R77" i="17" s="1"/>
  <c r="P81" i="17" s="1"/>
  <c r="G9" i="23" s="1"/>
  <c r="D75" i="17"/>
  <c r="N81" i="17" l="1"/>
  <c r="D9" i="23" s="1"/>
  <c r="S81" i="17"/>
  <c r="B9" i="23" s="1"/>
  <c r="L81" i="17"/>
  <c r="M81" i="17"/>
  <c r="E9" i="23" s="1"/>
  <c r="O81" i="17"/>
  <c r="C9" i="23" s="1"/>
  <c r="F6" i="36" l="1"/>
  <c r="D6" i="36"/>
  <c r="E6" i="36"/>
  <c r="F9" i="23"/>
  <c r="R81" i="17"/>
  <c r="C6" i="36"/>
</calcChain>
</file>

<file path=xl/comments1.xml><?xml version="1.0" encoding="utf-8"?>
<comments xmlns="http://schemas.openxmlformats.org/spreadsheetml/2006/main">
  <authors>
    <author>George Moran</author>
  </authors>
  <commentList>
    <comment ref="E64" authorId="0">
      <text>
        <r>
          <rPr>
            <b/>
            <sz val="8"/>
            <color indexed="81"/>
            <rFont val="Tahoma"/>
            <family val="2"/>
          </rPr>
          <t>George Moran:</t>
        </r>
        <r>
          <rPr>
            <sz val="8"/>
            <color indexed="81"/>
            <rFont val="Tahoma"/>
            <family val="2"/>
          </rPr>
          <t xml:space="preserve">
assume same as Switch (PM)</t>
        </r>
      </text>
    </comment>
    <comment ref="E110" authorId="0">
      <text>
        <r>
          <rPr>
            <b/>
            <sz val="8"/>
            <color indexed="81"/>
            <rFont val="Tahoma"/>
            <family val="2"/>
          </rPr>
          <t>George Moran:</t>
        </r>
        <r>
          <rPr>
            <sz val="8"/>
            <color indexed="81"/>
            <rFont val="Tahoma"/>
            <family val="2"/>
          </rPr>
          <t xml:space="preserve">
assume same as CB</t>
        </r>
      </text>
    </comment>
    <comment ref="E117" authorId="0">
      <text>
        <r>
          <rPr>
            <b/>
            <sz val="8"/>
            <color indexed="81"/>
            <rFont val="Tahoma"/>
            <family val="2"/>
          </rPr>
          <t>George Moran:</t>
        </r>
        <r>
          <rPr>
            <sz val="8"/>
            <color indexed="81"/>
            <rFont val="Tahoma"/>
            <family val="2"/>
          </rPr>
          <t xml:space="preserve">
assume cost of HV/LV Tx</t>
        </r>
      </text>
    </comment>
    <comment ref="E141" authorId="0">
      <text>
        <r>
          <rPr>
            <b/>
            <sz val="8"/>
            <color indexed="81"/>
            <rFont val="Tahoma"/>
            <family val="2"/>
          </rPr>
          <t>George Moran:</t>
        </r>
        <r>
          <rPr>
            <sz val="8"/>
            <color indexed="81"/>
            <rFont val="Tahoma"/>
            <family val="2"/>
          </rPr>
          <t xml:space="preserve">
assume same as CB</t>
        </r>
      </text>
    </comment>
    <comment ref="E145" authorId="0">
      <text>
        <r>
          <rPr>
            <b/>
            <sz val="8"/>
            <color indexed="81"/>
            <rFont val="Tahoma"/>
            <family val="2"/>
          </rPr>
          <t>George Moran:</t>
        </r>
        <r>
          <rPr>
            <sz val="8"/>
            <color indexed="81"/>
            <rFont val="Tahoma"/>
            <family val="2"/>
          </rPr>
          <t xml:space="preserve">
assume cost of HV/LV Tx</t>
        </r>
      </text>
    </comment>
    <comment ref="E149" authorId="0">
      <text>
        <r>
          <rPr>
            <b/>
            <sz val="8"/>
            <color indexed="81"/>
            <rFont val="Tahoma"/>
            <family val="2"/>
          </rPr>
          <t>George Moran:</t>
        </r>
        <r>
          <rPr>
            <sz val="8"/>
            <color indexed="81"/>
            <rFont val="Tahoma"/>
            <family val="2"/>
          </rPr>
          <t xml:space="preserve">
from Macro costs</t>
        </r>
      </text>
    </comment>
    <comment ref="E150" authorId="0">
      <text>
        <r>
          <rPr>
            <b/>
            <sz val="8"/>
            <color indexed="81"/>
            <rFont val="Tahoma"/>
            <family val="2"/>
          </rPr>
          <t>George Moran:</t>
        </r>
        <r>
          <rPr>
            <sz val="8"/>
            <color indexed="81"/>
            <rFont val="Tahoma"/>
            <family val="2"/>
          </rPr>
          <t xml:space="preserve">
from Macro costs</t>
        </r>
      </text>
    </comment>
    <comment ref="E153" authorId="0">
      <text>
        <r>
          <rPr>
            <b/>
            <sz val="8"/>
            <color indexed="81"/>
            <rFont val="Tahoma"/>
            <family val="2"/>
          </rPr>
          <t>George Moran:</t>
        </r>
        <r>
          <rPr>
            <sz val="8"/>
            <color indexed="81"/>
            <rFont val="Tahoma"/>
            <family val="2"/>
          </rPr>
          <t xml:space="preserve">
from Macro costs</t>
        </r>
      </text>
    </comment>
    <comment ref="E154" authorId="0">
      <text>
        <r>
          <rPr>
            <b/>
            <sz val="8"/>
            <color indexed="81"/>
            <rFont val="Tahoma"/>
            <family val="2"/>
          </rPr>
          <t>George Moran:</t>
        </r>
        <r>
          <rPr>
            <sz val="8"/>
            <color indexed="81"/>
            <rFont val="Tahoma"/>
            <family val="2"/>
          </rPr>
          <t xml:space="preserve">
from Macro costs</t>
        </r>
      </text>
    </comment>
  </commentList>
</comments>
</file>

<file path=xl/sharedStrings.xml><?xml version="1.0" encoding="utf-8"?>
<sst xmlns="http://schemas.openxmlformats.org/spreadsheetml/2006/main" count="4150" uniqueCount="1174">
  <si>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</si>
  <si>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</si>
  <si>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</si>
  <si>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</si>
  <si>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</si>
  <si>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</si>
  <si>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</si>
  <si>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</si>
  <si>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</si>
  <si>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</si>
  <si>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</si>
  <si>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</si>
  <si>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</si>
  <si>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</si>
  <si>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</si>
  <si>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</si>
  <si>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</si>
  <si>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</si>
  <si>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</si>
  <si>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</si>
  <si>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</si>
  <si>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</si>
  <si>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</si>
  <si>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</si>
  <si>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</si>
  <si>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</si>
  <si>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</si>
  <si>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</si>
  <si>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</si>
  <si>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</si>
  <si>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</si>
  <si>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</si>
  <si>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</si>
  <si>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</si>
  <si>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</si>
  <si>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</si>
  <si>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</si>
  <si>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</si>
  <si>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</si>
  <si>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</si>
  <si>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</si>
  <si>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</si>
  <si>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</si>
  <si>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</si>
  <si>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</si>
  <si>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</si>
  <si>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</si>
  <si>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</si>
  <si>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</si>
  <si>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</si>
  <si>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</si>
  <si>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</si>
  <si>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</si>
  <si>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</si>
  <si>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</si>
  <si>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</si>
  <si>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</si>
  <si>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</si>
  <si>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</si>
  <si>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</si>
  <si>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</si>
  <si>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</si>
  <si>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</si>
  <si>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</si>
  <si>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</si>
  <si>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</si>
  <si>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</si>
  <si>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</si>
  <si>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</si>
  <si>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</si>
  <si>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</si>
  <si>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</si>
  <si>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</si>
  <si>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</si>
  <si>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</si>
  <si>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</si>
  <si>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</si>
  <si>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</si>
  <si>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</si>
  <si>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</si>
  <si>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</si>
  <si>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</si>
  <si>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</si>
  <si>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</si>
  <si>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</si>
  <si>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</si>
  <si>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</si>
  <si>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</si>
  <si>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</si>
  <si>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</si>
  <si>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</si>
  <si>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</si>
  <si>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</si>
  <si>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</si>
  <si>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</si>
  <si>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</si>
  <si>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</si>
  <si>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</si>
  <si>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</si>
  <si>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</si>
  <si>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</si>
  <si>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</si>
  <si>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</si>
  <si>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</si>
  <si>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</si>
  <si>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</si>
  <si>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</si>
  <si>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</si>
  <si>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</si>
  <si>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</si>
  <si>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</si>
  <si>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</si>
  <si>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</si>
  <si>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</si>
  <si>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</si>
  <si>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</si>
  <si>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</si>
  <si>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</si>
  <si>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</si>
  <si>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</si>
  <si>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</si>
  <si>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</si>
  <si>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</si>
  <si>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</si>
  <si>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</si>
  <si>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</si>
  <si>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</si>
  <si>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</si>
  <si>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</si>
  <si>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</si>
  <si>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</si>
  <si>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</si>
  <si>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</si>
  <si>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</si>
  <si>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</si>
  <si>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</si>
  <si>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</si>
  <si>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</si>
  <si>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</si>
  <si>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</si>
  <si>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</si>
  <si>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</si>
  <si>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</si>
  <si>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</si>
  <si>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</si>
  <si>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</si>
  <si>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</si>
  <si>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</si>
  <si>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</si>
  <si>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</si>
  <si>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</si>
  <si>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</si>
  <si>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</si>
  <si>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</si>
  <si>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</si>
  <si>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</si>
  <si>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</si>
  <si>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</si>
  <si>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</si>
  <si>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</si>
  <si>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</si>
  <si>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</si>
  <si>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</si>
  <si>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</si>
  <si>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</si>
  <si>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</si>
  <si>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</si>
  <si>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</si>
  <si>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</si>
  <si>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</si>
  <si>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</si>
  <si>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</si>
  <si>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</si>
  <si>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</si>
  <si>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</si>
  <si>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</si>
  <si>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</si>
  <si>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</si>
  <si>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</si>
  <si>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</si>
  <si>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</si>
  <si>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</si>
  <si>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</si>
  <si>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</si>
  <si>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</si>
  <si>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</si>
  <si>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</si>
  <si>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</si>
  <si>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</si>
  <si>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</si>
  <si>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</si>
  <si>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</si>
  <si>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</si>
  <si>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</si>
  <si>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</si>
  <si>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</si>
  <si>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</si>
  <si>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</si>
  <si>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</si>
  <si>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</si>
  <si>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</si>
  <si>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</si>
  <si>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</si>
  <si>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</si>
  <si>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</si>
  <si>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</si>
  <si>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</si>
  <si>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</si>
  <si>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</si>
  <si>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</si>
  <si>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</si>
  <si>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</si>
  <si>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</si>
  <si>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</si>
  <si>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</si>
  <si>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</si>
  <si>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</si>
  <si>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</si>
  <si>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</si>
  <si>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</si>
  <si>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</si>
  <si>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</si>
  <si>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</si>
  <si>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</si>
  <si>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</si>
  <si>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</si>
  <si>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</si>
  <si>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</si>
  <si>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</si>
  <si>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</si>
  <si>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</si>
  <si>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</si>
  <si>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</si>
  <si>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</si>
  <si>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</si>
  <si>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</si>
  <si>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</si>
  <si>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</si>
  <si>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</si>
  <si>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</si>
  <si>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</si>
  <si>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</si>
  <si>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</si>
  <si>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</si>
  <si>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</si>
  <si>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</si>
  <si>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</si>
  <si>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</si>
  <si>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</si>
  <si>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</si>
  <si>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</si>
  <si>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</si>
  <si>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</si>
  <si>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</si>
  <si>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</si>
  <si>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</si>
  <si>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</si>
  <si>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</si>
  <si>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</si>
  <si>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</si>
  <si>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</si>
  <si>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</si>
  <si>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</si>
  <si>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</si>
  <si>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</si>
  <si>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</si>
  <si>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</si>
  <si>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</si>
  <si>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</si>
  <si>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</si>
  <si>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</si>
  <si>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</si>
  <si>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</si>
  <si>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</si>
  <si>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</si>
  <si>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</si>
  <si>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</si>
  <si>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</si>
  <si>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</si>
  <si>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</si>
  <si>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</si>
  <si>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</si>
  <si>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</si>
  <si>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</si>
  <si>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</si>
  <si>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</si>
  <si>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</si>
  <si>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</si>
  <si>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</si>
  <si>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</si>
  <si>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</si>
  <si>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</si>
  <si>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</si>
  <si>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</si>
  <si>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</si>
  <si>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</si>
  <si>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</si>
  <si>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</si>
  <si>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</si>
  <si>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</si>
  <si>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</si>
  <si>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</si>
  <si>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</si>
  <si>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</si>
  <si>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</si>
  <si>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</si>
  <si>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</si>
  <si>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</si>
  <si>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</si>
  <si>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</si>
  <si>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</si>
  <si>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</si>
  <si>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</si>
  <si>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</si>
  <si>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</si>
  <si>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</si>
  <si>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</si>
  <si>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</si>
  <si>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</si>
  <si>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</si>
  <si>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</si>
  <si>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</si>
  <si>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</si>
  <si>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</si>
  <si>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</si>
  <si>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</si>
  <si>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</si>
  <si>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</si>
  <si>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</si>
  <si>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</si>
  <si>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</si>
  <si>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</si>
  <si>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</si>
  <si>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</si>
  <si>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</si>
  <si>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</si>
  <si>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</si>
  <si>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</si>
  <si>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</si>
  <si>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</si>
  <si>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</si>
  <si>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</si>
  <si>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</si>
  <si>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</si>
  <si>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</si>
  <si>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</si>
  <si>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</si>
  <si>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</si>
  <si>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</si>
  <si>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</si>
  <si>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</si>
  <si>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</si>
  <si>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</si>
  <si>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</si>
  <si>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</si>
  <si>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</si>
  <si>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</si>
  <si>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</si>
  <si>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</si>
  <si>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</si>
  <si>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</si>
  <si>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</si>
  <si>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</si>
  <si>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</si>
  <si>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</si>
  <si>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</si>
  <si>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</si>
  <si>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</si>
  <si>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</si>
  <si>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</si>
  <si>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</si>
  <si>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</si>
  <si>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</si>
  <si>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</si>
  <si>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</si>
  <si>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</si>
  <si>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</si>
  <si>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</si>
  <si>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</si>
  <si>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</si>
  <si>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</si>
  <si>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</si>
  <si>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</si>
  <si>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</si>
  <si>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</si>
  <si>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</si>
  <si>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</si>
  <si>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</si>
  <si>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</si>
  <si>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</si>
  <si>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</si>
  <si>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</si>
  <si>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</si>
  <si>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</si>
  <si>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</si>
  <si>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</si>
  <si>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</si>
  <si>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</si>
  <si>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</si>
  <si>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</si>
  <si>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</si>
  <si>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</si>
  <si>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 of Total</t>
  </si>
  <si>
    <t>Net Capex</t>
  </si>
  <si>
    <t>Opex only on p/kWh throughput</t>
  </si>
  <si>
    <t>HV/LV</t>
  </si>
  <si>
    <t>Cash typical costs (excluding disallowed related party margins)</t>
  </si>
  <si>
    <t>Memorandum Information - Scottish DNOs 132kV</t>
  </si>
  <si>
    <t>NET CAPEX SPLIT FROM "CALC -NET CAPEX" SHEET</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</si>
  <si>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</si>
  <si>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</si>
  <si>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</si>
  <si>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</si>
  <si>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</si>
  <si>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</si>
  <si>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</si>
  <si>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</si>
  <si>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</si>
  <si>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</si>
  <si>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</si>
  <si>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</si>
  <si>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</si>
  <si>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</si>
  <si>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</si>
  <si>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</si>
  <si>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</si>
  <si>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</si>
  <si>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</si>
  <si>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</si>
  <si>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</si>
  <si>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</si>
  <si>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</si>
  <si>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</si>
  <si>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</si>
  <si>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</si>
  <si>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</si>
  <si>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</si>
  <si>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</si>
  <si>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</si>
  <si>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</si>
  <si>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</si>
  <si>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</si>
  <si>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</si>
  <si>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</si>
  <si>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</si>
  <si>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</si>
  <si>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</si>
  <si>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</si>
  <si>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</si>
  <si>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</si>
  <si>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</si>
  <si>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</si>
  <si>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</si>
  <si>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</si>
  <si>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</si>
  <si>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</si>
  <si>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</si>
  <si>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</si>
  <si>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</si>
  <si>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</si>
  <si>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</si>
  <si>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</si>
  <si>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</si>
  <si>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</si>
  <si>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</si>
  <si>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</si>
  <si>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</si>
  <si>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</si>
  <si>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</si>
  <si>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</si>
  <si>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</si>
  <si>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</si>
  <si>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</si>
  <si>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</si>
  <si>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</si>
  <si>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</si>
  <si>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</si>
  <si>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</si>
  <si>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</si>
  <si>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</si>
  <si>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</si>
  <si>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</si>
  <si>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</si>
  <si>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</si>
  <si>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</si>
  <si>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</si>
  <si>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</si>
  <si>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</si>
  <si>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</si>
  <si>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</si>
  <si>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</si>
  <si>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</si>
  <si>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</si>
  <si>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</si>
  <si>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</si>
  <si>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</si>
  <si>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</si>
  <si>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</si>
  <si>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</si>
  <si>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</si>
  <si>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</si>
  <si>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</si>
  <si>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</si>
  <si>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</si>
  <si>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</si>
  <si>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</si>
  <si>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</si>
  <si>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</si>
  <si>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</si>
  <si>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</si>
  <si>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</si>
  <si>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</si>
  <si>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</si>
  <si>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</si>
  <si>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</si>
  <si>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</si>
  <si>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</si>
  <si>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</si>
  <si>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</si>
  <si>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</si>
  <si>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</si>
  <si>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</si>
  <si>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</si>
  <si>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</si>
  <si>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</si>
  <si>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</si>
  <si>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</si>
  <si>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</si>
  <si>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</si>
  <si>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</si>
  <si>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</si>
  <si>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</si>
  <si>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</si>
  <si>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</si>
  <si>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</si>
  <si>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</si>
  <si>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</si>
  <si>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</si>
  <si>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</si>
  <si>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</si>
  <si>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</si>
  <si>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</si>
  <si>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</si>
  <si>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</si>
  <si>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</si>
  <si>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</si>
  <si>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</si>
  <si>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</si>
  <si>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</si>
  <si>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</si>
  <si>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</si>
  <si>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</si>
  <si>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</si>
  <si>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</si>
  <si>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</si>
  <si>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</si>
  <si>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</si>
  <si>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</si>
  <si>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</si>
  <si>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</si>
  <si>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</si>
  <si>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</si>
  <si>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</si>
  <si>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</si>
  <si>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</si>
  <si>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</si>
  <si>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</si>
  <si>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</si>
  <si>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</si>
  <si>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</si>
  <si>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</si>
  <si>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</si>
  <si>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</si>
  <si>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</si>
  <si>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</si>
  <si>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</si>
  <si>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</si>
  <si>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</si>
  <si>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</si>
  <si>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</si>
  <si>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</si>
  <si>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</si>
  <si>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</si>
  <si>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</si>
  <si>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</si>
  <si>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</si>
  <si>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</si>
  <si>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</si>
  <si>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</si>
  <si>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</si>
  <si>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</si>
  <si>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</si>
  <si>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</si>
  <si>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</si>
  <si>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</si>
  <si>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</si>
  <si>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</si>
  <si>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</si>
  <si>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</si>
  <si>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</si>
  <si>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</si>
  <si>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</si>
  <si>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</si>
  <si>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</si>
  <si>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</si>
  <si>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</si>
  <si>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</si>
  <si>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</si>
  <si>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</si>
  <si>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</si>
  <si>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</si>
  <si>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</si>
  <si>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</si>
  <si>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</si>
  <si>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</si>
  <si>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</si>
  <si>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</si>
  <si>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</si>
  <si>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</si>
  <si>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</si>
  <si>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</si>
  <si>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</si>
  <si>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</si>
  <si>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</si>
  <si>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</si>
  <si>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</si>
  <si>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</si>
  <si>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</si>
  <si>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</si>
  <si>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</si>
  <si>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</si>
  <si>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</si>
  <si>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</si>
  <si>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</si>
  <si>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</si>
  <si>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</si>
  <si>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</si>
  <si>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</si>
  <si>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</si>
  <si>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</si>
  <si>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</si>
  <si>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</si>
  <si>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</si>
  <si>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</si>
  <si>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</si>
  <si>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</si>
  <si>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</si>
  <si>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</si>
  <si>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</si>
  <si>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</si>
  <si>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</si>
  <si>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</si>
  <si>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</si>
  <si>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</si>
  <si>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</si>
  <si>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</si>
  <si>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</si>
  <si>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</si>
  <si>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</si>
  <si>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</si>
  <si>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</si>
  <si>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</si>
  <si>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</si>
  <si>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</si>
  <si>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</si>
  <si>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</si>
  <si>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</si>
  <si>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</si>
  <si>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</si>
  <si>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</si>
  <si>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</si>
  <si>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</si>
  <si>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</si>
  <si>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</si>
  <si>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</si>
  <si>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</si>
  <si>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</si>
  <si>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</si>
  <si>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</si>
  <si>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</si>
  <si>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</si>
  <si>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</si>
  <si>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</si>
  <si>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</si>
  <si>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</si>
  <si>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</si>
  <si>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</si>
  <si>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</si>
  <si>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</si>
  <si>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</si>
  <si>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</si>
  <si>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</si>
  <si>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</si>
  <si>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</si>
  <si>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</si>
  <si>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</si>
  <si>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</si>
  <si>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</si>
  <si>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</si>
  <si>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</si>
  <si>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</si>
  <si>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</si>
  <si>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</si>
  <si>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</si>
  <si>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</si>
  <si>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</si>
  <si>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</si>
  <si>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</si>
  <si>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</si>
  <si>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</si>
  <si>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</si>
  <si>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</si>
  <si>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</si>
  <si>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</si>
  <si>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</si>
  <si>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</si>
  <si>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</si>
  <si>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</si>
  <si>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</si>
  <si>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</si>
  <si>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</si>
  <si>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</si>
  <si>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</si>
  <si>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</si>
  <si>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</si>
  <si>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</si>
  <si>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</si>
  <si>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</si>
  <si>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</si>
  <si>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</si>
  <si>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</si>
  <si>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</si>
  <si>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</si>
  <si>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</si>
  <si>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</si>
  <si>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</si>
  <si>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</si>
  <si>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</si>
  <si>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</si>
  <si>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</si>
  <si>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</si>
  <si>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</si>
  <si>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</si>
  <si>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</si>
  <si>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</si>
  <si>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</si>
  <si>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</si>
  <si>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</si>
  <si>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</si>
  <si>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</si>
  <si>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</si>
  <si>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</si>
  <si>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</si>
  <si>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</si>
  <si>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</si>
  <si>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</si>
  <si>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</si>
  <si>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</si>
  <si>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</si>
  <si>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</si>
  <si>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</si>
  <si>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</si>
  <si>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</si>
  <si>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</si>
  <si>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</si>
  <si>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</si>
  <si>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</si>
  <si>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</si>
  <si>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</si>
  <si>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</si>
  <si>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</si>
  <si>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</si>
  <si>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</si>
  <si>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</si>
  <si>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</si>
  <si>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</si>
  <si>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</si>
  <si>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</si>
  <si>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</si>
  <si>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</si>
  <si>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</si>
  <si>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</si>
  <si>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</si>
  <si>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</si>
  <si>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</si>
  <si>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</si>
  <si>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</si>
  <si>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</si>
  <si>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</si>
  <si>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</si>
  <si>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</si>
  <si>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</si>
  <si>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</si>
  <si>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</si>
  <si>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</si>
  <si>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</si>
  <si>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</si>
  <si>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</si>
  <si>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</si>
  <si>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</si>
  <si>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</si>
  <si>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</si>
  <si>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</si>
  <si>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</si>
  <si>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</si>
  <si>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</si>
  <si>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</si>
  <si>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</si>
  <si>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</si>
  <si>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</si>
  <si>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</si>
  <si>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</si>
  <si>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</si>
  <si>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</si>
  <si>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</si>
  <si>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</si>
  <si>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</si>
  <si>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</si>
  <si>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</si>
  <si>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</si>
  <si>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</si>
  <si>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</si>
  <si>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</si>
  <si>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</si>
  <si>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</si>
  <si>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</si>
  <si>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</si>
  <si>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</si>
  <si>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</si>
  <si>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</si>
  <si>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</si>
  <si>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</si>
  <si>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</si>
  <si>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</si>
  <si>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</si>
  <si>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</si>
  <si>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</si>
  <si>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</si>
  <si>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</si>
  <si>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</si>
  <si>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</si>
  <si>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</si>
  <si>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</si>
  <si>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</si>
  <si>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</si>
  <si>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</si>
  <si>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</si>
  <si>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</si>
  <si>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</si>
  <si>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</si>
  <si>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</si>
  <si>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</si>
  <si>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</si>
  <si>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</si>
  <si>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</si>
  <si>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</si>
  <si>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</si>
  <si>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</si>
  <si>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</si>
  <si>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</si>
  <si>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</si>
  <si>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</si>
  <si>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</si>
  <si>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</si>
  <si>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</si>
  <si>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</si>
  <si>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</si>
  <si>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</si>
  <si>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</si>
  <si>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</si>
  <si>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</si>
  <si>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</si>
  <si>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</si>
  <si>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</si>
  <si>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</si>
  <si>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</si>
  <si>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</si>
  <si>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</si>
  <si>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</si>
  <si>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</si>
  <si>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</si>
  <si>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</si>
  <si>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</si>
  <si>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</si>
  <si>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</si>
  <si>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</si>
  <si>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</si>
  <si>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</si>
  <si>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</si>
  <si>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</si>
  <si>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</si>
  <si>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</si>
  <si>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</si>
  <si>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</si>
  <si>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</si>
  <si>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</si>
  <si>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</si>
  <si>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</si>
  <si>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</si>
  <si>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</si>
  <si>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</si>
  <si>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</si>
  <si>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</si>
  <si>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</si>
  <si>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</si>
  <si>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</si>
  <si>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</si>
  <si>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</si>
  <si>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</si>
  <si>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</si>
  <si>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</si>
  <si>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</si>
  <si>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</si>
  <si>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</si>
  <si>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</si>
  <si>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</si>
  <si>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</si>
  <si>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</si>
  <si>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</si>
  <si>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</si>
  <si>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</si>
  <si>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</si>
  <si>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</si>
  <si>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</si>
  <si>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</si>
  <si>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</si>
  <si>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</si>
  <si>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</si>
  <si>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</si>
  <si>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</si>
  <si>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</si>
  <si>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</si>
  <si>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</si>
  <si>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</si>
  <si>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</si>
  <si>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</si>
  <si>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</si>
  <si>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</si>
  <si>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</si>
  <si>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</si>
  <si>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</si>
  <si>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</si>
  <si>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</si>
  <si>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</si>
  <si>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</si>
  <si>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</si>
  <si>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</si>
  <si>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</si>
  <si>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</si>
  <si>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</si>
  <si>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</si>
  <si>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</si>
  <si>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</si>
  <si>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</si>
  <si>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</si>
  <si>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</si>
  <si>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</si>
  <si>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</si>
  <si>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</si>
  <si>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</si>
  <si>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</si>
  <si>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</si>
  <si>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</si>
  <si>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</si>
  <si>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</si>
  <si>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</si>
  <si>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</si>
  <si>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</si>
  <si>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</si>
  <si>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</si>
  <si>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</si>
  <si>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</si>
  <si>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</si>
  <si>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</si>
  <si>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</si>
  <si>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</si>
  <si>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</si>
  <si>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</si>
  <si>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</si>
  <si>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</si>
  <si>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</si>
  <si>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</si>
  <si>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</si>
  <si>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</si>
  <si>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</si>
  <si>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</si>
  <si>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</si>
  <si>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</si>
  <si>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</si>
  <si>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</si>
  <si>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</si>
  <si>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</si>
  <si>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</si>
  <si>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</si>
  <si>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Inputs</t>
  </si>
  <si>
    <t>Description / instructions</t>
  </si>
  <si>
    <t>Use copy-paste to replace the entire contents of this sheet with your input data</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</si>
  <si>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</si>
  <si>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</si>
  <si>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</si>
  <si>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</si>
  <si>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</si>
  <si>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Do not change anything in this calculation sheet</t>
  </si>
  <si>
    <t>IP Appendix 6 Table 5 Reductions to EHV</t>
  </si>
  <si>
    <t>IP Appendix 7 Reductions to EHV</t>
  </si>
  <si>
    <t>Appendix 6 Table 5 EHV &amp; 132</t>
  </si>
  <si>
    <t>Appendix 7 Table 18</t>
  </si>
  <si>
    <t>Reductions to net capex</t>
  </si>
  <si>
    <t>Use copy-paste to replace the entire contents of this sheet with your input data (rows 61 to 63 were introduced by DCP 118)</t>
  </si>
  <si>
    <t>Data-MEAV</t>
  </si>
  <si>
    <t>Choice of LR1 data source</t>
  </si>
  <si>
    <t>Calculation sheet</t>
  </si>
  <si>
    <t>Input data sheet</t>
  </si>
  <si>
    <t>Do not change anything in this calculation sheet; use the results to populate table 1037 in the CDCM tariff model</t>
  </si>
  <si>
    <t>You can use the buttons below to select a LR1 data source.</t>
  </si>
  <si>
    <t>Alternatively, use the cell below to make your selection, using the following coding: 1 for LR1, or 2 for LR1 opt 3.</t>
  </si>
  <si>
    <t>Use copy-paste to replace the entire contents of this sheet with your input data if applicable (data were in Calc-Net capex before January 2014)</t>
  </si>
  <si>
    <t>WPD East Midlands</t>
  </si>
  <si>
    <t>Indicative</t>
  </si>
  <si>
    <t>2015/16</t>
  </si>
  <si>
    <t>-</t>
  </si>
  <si>
    <t>Index</t>
  </si>
  <si>
    <t/>
  </si>
  <si>
    <t>0</t>
  </si>
  <si>
    <t>Annesley - Hucknall 33kV</t>
  </si>
  <si>
    <t>33kV</t>
  </si>
  <si>
    <t>b</t>
  </si>
  <si>
    <t>Uprating 33kV double circuit line to 40MVA and interconnection of cables via Linby (approx 10km of cable)</t>
  </si>
  <si>
    <t>Bainton - new GSP</t>
  </si>
  <si>
    <t>a</t>
  </si>
  <si>
    <t>Reconfiguration of the 132kV circuit between Bourne and Stamford</t>
  </si>
  <si>
    <t>Berkswell - Coventry South / Coventry West 132kV</t>
  </si>
  <si>
    <t>Installation of a third circuit from Berkswell.  Alternatively for SCO only, re-energisation of Coventry South - Whitley 132kV circuits</t>
  </si>
  <si>
    <t>Billingborough 33/11kV Substation</t>
  </si>
  <si>
    <t>c</t>
  </si>
  <si>
    <t>Installation of new 10km circuit from Great Hale to Billingborough and additional transformer at Billingborough</t>
  </si>
  <si>
    <t>Bourne 33/11kV Transformer Replacement</t>
  </si>
  <si>
    <t>Uprating of 2 x 10/14.5MVA 33/11kV transformers with 12/24MVA units</t>
  </si>
  <si>
    <t>Brackley - Banbury group P2/6 SCO security</t>
  </si>
  <si>
    <t>Installation of a third 132kV circuit. Costs split evenly across East and West. Wayleaves only in DPCR5, construction in DPCR6.</t>
  </si>
  <si>
    <t>Brackley Town 33/11kV reinforcement</t>
  </si>
  <si>
    <t>Installation of Brackley local primary or strapping 33kV OHL circuits from Brackley Grid together. Installation of a new 33kV circuit (3km), uprating the existing transformers with 2 x 20/40MVA units and installation of a 2000A switchboard</t>
  </si>
  <si>
    <t>Bradwell Abbey 132/33kV reinforcement</t>
  </si>
  <si>
    <t>Installation of a third grid transformer and third section of switchboard</t>
  </si>
  <si>
    <t>Braunstone, Jupiter &amp; Groby Road 33/11kV reinforcement</t>
  </si>
  <si>
    <t>Installation of new 40MVA 33/11kV primary on Hinckley Rd reserve site. Modification of 11kV circuits to enable load transfers.</t>
  </si>
  <si>
    <t>Burton 132/33kV transformer change</t>
  </si>
  <si>
    <t>Uprating the existing 132/33kV transformers with 2 x 90MVA units.</t>
  </si>
  <si>
    <t>Cannon Street 33/11kV reinforcement</t>
  </si>
  <si>
    <t xml:space="preserve">Installation of a 132/11kV primary at Wellingborough Grid to transfer demand off Cannon Street.  </t>
  </si>
  <si>
    <t>Caythorpe 33/11kV</t>
  </si>
  <si>
    <t>Uprating transformer T1 (10.85MVA) with 24MVA transformer</t>
  </si>
  <si>
    <t xml:space="preserve">Clifton 33/11kV reinforcement </t>
  </si>
  <si>
    <t>Installation of a third 33kV circuit and a third 33/11kV 24MVA transformer</t>
  </si>
  <si>
    <t>Coalville 33/11kV transformer change</t>
  </si>
  <si>
    <t>Uprating transformers for larger units.</t>
  </si>
  <si>
    <t>Colwick 33/11kV reinforcement</t>
  </si>
  <si>
    <t>Installation of a third 33kV circuit from Notts East and a third 33/11kV 40MVA transformer. Reconfiguration of Cotgrave 33kV interconnection.</t>
  </si>
  <si>
    <t>Copsewood 33/11kv reinforcement</t>
  </si>
  <si>
    <t>Installation of 40MVA 33kV circuits, transformers and switchgear or installation of a 33/11kV 24MVA primary at Binley.</t>
  </si>
  <si>
    <t xml:space="preserve">Coventry - Rugby 132kV cct reinforcement </t>
  </si>
  <si>
    <t>Transfer of Hinckley to Enderby GSP using the disconnected CA line. Refurbishment of CA1&amp;2.</t>
  </si>
  <si>
    <t>Coventry South 33/11kV Reinforcement</t>
  </si>
  <si>
    <t>Uprating transformers with 20/40 33/11kV units or 30MVA 132/11kV units.</t>
  </si>
  <si>
    <t>Dillotford Avenue 33/11kV Reinforcement</t>
  </si>
  <si>
    <t>Uprating 33kV circuits with 40MVA rated cables and uprating transformers</t>
  </si>
  <si>
    <t>Farndon Road 33kV switchgear reconfiguration</t>
  </si>
  <si>
    <t>g</t>
  </si>
  <si>
    <t>Switchgear reconfiguration</t>
  </si>
  <si>
    <t>Field Street T3 overload</t>
  </si>
  <si>
    <t>Installation of auto opening scheme on the T2-T3 bus section for the loss of T1 or T2, or transfer load to Kettering North at 11kV or Uprate transformer T3.</t>
  </si>
  <si>
    <t>Fiskerton 33/11kV reinforcement</t>
  </si>
  <si>
    <t xml:space="preserve">Uprating existing transformers with 2 x 12/24 MVA units. </t>
  </si>
  <si>
    <t>Gresley - Moira - Ashby - Woodville - Willesley ccts</t>
  </si>
  <si>
    <t>Installation of additional circuits from Gresley &amp; splitting existing circuits.</t>
  </si>
  <si>
    <t>Hatton 33/11kV reinforcement</t>
  </si>
  <si>
    <t>Uprating the existing 2 x 24MVA transformers with 40MVA units and changing the 11kV switchboard.</t>
  </si>
  <si>
    <t>Hawton SCO Reinforcement and BSP reinforcement</t>
  </si>
  <si>
    <t>Replacement of circuit breakers at Staythorpe, additional transformer capacity and 132kV busbars.</t>
  </si>
  <si>
    <t>Heanor 33/11kV  reinforcement</t>
  </si>
  <si>
    <t>Uprating of existing transformers with 20/40 33/11kV units and replacement of circuits 2 x 85m</t>
  </si>
  <si>
    <t>Heanor BSP reinforcement</t>
  </si>
  <si>
    <t>Uprating existing 132/33kV transformer with 120MVA units at Heanor. Looping the 132kV circuit (3km) into Stanton with two new CBs.</t>
  </si>
  <si>
    <t>Kenilworth 33/11kV Reinforcement</t>
  </si>
  <si>
    <t>Installation of a new 33/11kV primary (North Kenilworth) to offload Kenilworth.</t>
  </si>
  <si>
    <t>Kibworth 33/11kV transformer replacement</t>
  </si>
  <si>
    <t>Uprating 33/11kV transformers with 24MVA units.</t>
  </si>
  <si>
    <t>Leicester East - Salutation - Thurmaston 33kV circuit</t>
  </si>
  <si>
    <t>Installation of third and fourth circuits to remove tee-off radial circuits.</t>
  </si>
  <si>
    <t>Lincoln 132/33kV reinforcement</t>
  </si>
  <si>
    <t>Installation of new third 132/33kV 90MVA transformer</t>
  </si>
  <si>
    <t>Lincoln BSP</t>
  </si>
  <si>
    <t>Creation of 132kV cross bay</t>
  </si>
  <si>
    <t>Mackworth 33/11kV reinforcement</t>
  </si>
  <si>
    <t>Installation of a third 33kV circuit (3.5km) and a third transformer (12/24MVA).</t>
  </si>
  <si>
    <t>Middlefield/Barwell 33kV circuit reinforcement</t>
  </si>
  <si>
    <t>Overlaying short lower rated sections of 33kV circuits increasing the rating to 40MVA.</t>
  </si>
  <si>
    <t>Millclose transformer and switchboard replacement</t>
  </si>
  <si>
    <t>Uprating 33/11kV transformer and 11kV switchboard</t>
  </si>
  <si>
    <t>Milton Keynes additional BSP - acquire site and 132kV route</t>
  </si>
  <si>
    <t>Phase 1 - Acquisition of a reserved BSP site on the north eastern edge of the city and a route to an appropriate GSP.</t>
  </si>
  <si>
    <t>Mountsorrel / Syston 33kV ccts</t>
  </si>
  <si>
    <t>Extension of Syston - Mountsorrel 33kV circuit into mid point at Mountsorrel and Syston, installation of RMU and changeover scheme at each end</t>
  </si>
  <si>
    <t>Normanton 33/11kV reinforcement</t>
  </si>
  <si>
    <t>Uprating 33/11kV transformers with 40MVA units.</t>
  </si>
  <si>
    <t>Northampton 132kV reinforcement</t>
  </si>
  <si>
    <t>Installation of fourth 132kV circuit from Grendon to Northampton. Reconfiguration of 132kV running arrangement.</t>
  </si>
  <si>
    <t>Northampton West - Kingsthorpe 33kV circuit reinforcement</t>
  </si>
  <si>
    <t>Installation of 33kV and 11kV switchgear to accommodate all the potential 33kV circuit outages</t>
  </si>
  <si>
    <t>Nottingham North BSP</t>
  </si>
  <si>
    <t>Installation of new 33/11kV substation in vicinity of BSP site (5km double circuit 33kV cable assumed)</t>
  </si>
  <si>
    <t>Nott'm East - Colwick 33kV cct</t>
  </si>
  <si>
    <t>Installation of two new 40MVA cable circuits to tee point to create two direct circuits to Colwick (3km)</t>
  </si>
  <si>
    <t>Olney 33/11kV reinforcement</t>
  </si>
  <si>
    <t>Uprating the existing 33/11kV transformer with 24MVA units and reinforcement of 33kV circuits</t>
  </si>
  <si>
    <t>Raunds 33/11kV reinforcement</t>
  </si>
  <si>
    <t>Installation of a new 40MVA 33kV circuit from Irthlingborough Grid. Uprate transformer with a 12/24MVA unit and install a 2nd 12/24MVA unit.</t>
  </si>
  <si>
    <t>Raynesway 33/11kV Substation</t>
  </si>
  <si>
    <t>Installation of a new 33/11kV primary substation</t>
  </si>
  <si>
    <t>Ripley 33/11kV reinforcement</t>
  </si>
  <si>
    <t>Installation of a third 33kV circuit (6.4km) and a third transformer (12/24MVA).</t>
  </si>
  <si>
    <t>Rugby - Harbury 132kV circuit (Warwick &amp; Harbury Security)</t>
  </si>
  <si>
    <t>Installation of a 132kV interconnector between Harbury and Rugby.</t>
  </si>
  <si>
    <t>Rugby 132/33kV reinforcement</t>
  </si>
  <si>
    <t>Installation of a third 132/33kV transformer or alternatively a 132/11kV double wound transformer at Rugby BSP.</t>
  </si>
  <si>
    <t>Rushden 33/11kV reinforcement</t>
  </si>
  <si>
    <t>Installation of 2 x 40MVA 33kV circuits from Irthlingborough Grid to Rushden and 2 x 20/40MVA 33/11kV transformers at Rushden OR Installation of a 40MVA 33kV cable circuit from Wellingborough - Little Irchester to pick up existing Little Irchester - Rushden 33kV line and uprating Little Irchester.</t>
  </si>
  <si>
    <t>Salutation 33/6.6kV reinforcement</t>
  </si>
  <si>
    <t>Uprating 6.6kV network to 11kV to reduce demand on Salutation s/s.</t>
  </si>
  <si>
    <t>Spondon - Stanton - Heanor - Annesley 132kV reinforcement</t>
  </si>
  <si>
    <t>j</t>
  </si>
  <si>
    <t>Looping 132kV circuit through Heanor, installation of 2 x 132kV circuit breakers at Heanor</t>
  </si>
  <si>
    <t>Spondon 33/11kV reinforcement</t>
  </si>
  <si>
    <t>Installation of a third transformer (20/40MVA).  Co-ordination with 11kV and 33kV switchgear replacements.</t>
  </si>
  <si>
    <t>Stamford 132/33/11kV reinforcement</t>
  </si>
  <si>
    <t>Uprating 33/11kV transformers with 40MVA units</t>
  </si>
  <si>
    <t xml:space="preserve">Stoke Bardolph - New GSP </t>
  </si>
  <si>
    <t>Installation of new GSP to support Ratcliffe picking up Nottingham East on new 132kV cable and new OHL for new BSP to pick up Notts North.</t>
  </si>
  <si>
    <t>Stony Stratford - Buckingham - Wicken - Towcester circuit reinforcement</t>
  </si>
  <si>
    <t>Reinforcement/rebuild/reconfiguration of the network required to increase the thermal rating.</t>
  </si>
  <si>
    <t>Stony Stratford - Shenley Wood - Eldergate circuit reinforcement</t>
  </si>
  <si>
    <t>Installation of a new 40 MVA circuit from Stony Stratford to split the Shenley Wood / Eldergate circuits</t>
  </si>
  <si>
    <t>Syston 33/11kV reinforcement</t>
  </si>
  <si>
    <t>f</t>
  </si>
  <si>
    <t>Installation of capacitors</t>
  </si>
  <si>
    <t>Talbot Street 33/11kV reinforcement</t>
  </si>
  <si>
    <t>Installation of third 33/11kV 24MVA transformer and new 33kV circuit to Nottingham (4km) BSP</t>
  </si>
  <si>
    <t>Tamworth Grid 132/33kV Tamworth Town 132/33kV reinforcement</t>
  </si>
  <si>
    <t>Extension of 40MVA interconnector to be selectable to both sections of the 33kV switchboard at Tamworth Grid, connection to spare CB.</t>
  </si>
  <si>
    <t>Walton 33/11kV</t>
  </si>
  <si>
    <t>C</t>
  </si>
  <si>
    <t>Installation of additional 33/11kV 10MVA transformer and associated switchgear</t>
  </si>
  <si>
    <t>Warwick - Campion Hills - Tee Princethorpe 33kV circuit Reinforcement</t>
  </si>
  <si>
    <t>Increasing 11kV interconnection and application of sequence scheme to transfer demand away.</t>
  </si>
  <si>
    <t>Watnall / Kimberley New Primary Substation</t>
  </si>
  <si>
    <t>Installation of new 33/11kV substation and 33kV circuits</t>
  </si>
  <si>
    <t>Wellesbourne 33/11kV New Primary Substation</t>
  </si>
  <si>
    <t>Following installation of Warwick West, decommissioning Banbury Rd and extending existing dual 33kV circuits to a reserve site at Wellesbourne.</t>
  </si>
  <si>
    <t>West Burton - Lincoln 132kV DC OHL</t>
  </si>
  <si>
    <t>Uprating 132kV overhead line</t>
  </si>
  <si>
    <t xml:space="preserve">West Burton GSP - 3rd SGT </t>
  </si>
  <si>
    <t>Installation of a third SGT and a bus-section at West Burton GSP.</t>
  </si>
  <si>
    <t>Westville 33/11kV</t>
  </si>
  <si>
    <t>Installation of a new 33/11kV substation and 33kV single circuit to Hucknall (3km)</t>
  </si>
  <si>
    <t>Wigston Magna 33/11kV reinforcement</t>
  </si>
  <si>
    <t>Installation of a third 33kV circuit and third 33/11kV 40MVA transformer.</t>
  </si>
  <si>
    <t>Willington - Winster - Uttoxeter 132kV reinforcement</t>
  </si>
  <si>
    <t>Unstitching tee (by cabling to Willington GSP) and refurbishment of both circuits (23km Uttoxeter &amp; 35km Winster).</t>
  </si>
  <si>
    <t>Winster - Longcliffe</t>
  </si>
  <si>
    <t>Installation of new single 40MVA, 33kV circuit (4km ohl)</t>
  </si>
  <si>
    <t>CAUTION - THIS PACK DOES NOT BALANCE</t>
  </si>
  <si>
    <t>Network</t>
  </si>
  <si>
    <t>Land and Building</t>
  </si>
  <si>
    <t>Sale of various small elements of surplus Land &amp; Buildings on sites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</si>
</sst>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82">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2"/>
      <name val="Arial"/>
      <family val="2"/>
    </font>
    <font>
      <b/>
      <sz val="11"/>
      <color indexed="8"/>
      <name val="CG Omega"/>
      <family val="2"/>
    </font>
    <font>
      <b/>
      <sz val="8"/>
      <color indexed="81"/>
      <name val="Tahoma"/>
      <family val="2"/>
    </font>
    <font>
      <sz val="8"/>
      <color indexed="81"/>
      <name val="Tahoma"/>
      <family val="2"/>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
      <patternFill patternType="solid">
        <fgColor rgb="FFC5FFFF"/>
        <bgColor indexed="64"/>
      </patternFill>
    </fill>
    <fill>
      <patternFill patternType="solid">
        <fgColor theme="6" tint="0.59999389629810485"/>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77">
    <xf numFmtId="0" fontId="0" fillId="0" borderId="0"/>
    <xf numFmtId="0" fontId="8" fillId="0" borderId="0"/>
    <xf numFmtId="0" fontId="44" fillId="0" borderId="0"/>
    <xf numFmtId="0" fontId="44" fillId="0" borderId="0">
      <alignment vertical="center"/>
    </xf>
    <xf numFmtId="0" fontId="8" fillId="0" borderId="0"/>
    <xf numFmtId="0" fontId="44"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17" fillId="0" borderId="0" applyNumberFormat="0" applyFill="0" applyBorder="0" applyAlignment="0" applyProtection="0">
      <alignment vertical="top"/>
      <protection locked="0"/>
    </xf>
    <xf numFmtId="0" fontId="3" fillId="0" borderId="0"/>
    <xf numFmtId="0" fontId="8" fillId="0" borderId="0"/>
    <xf numFmtId="0" fontId="44" fillId="0" borderId="0"/>
    <xf numFmtId="0" fontId="44" fillId="0" borderId="0"/>
    <xf numFmtId="0" fontId="5" fillId="0" borderId="0"/>
    <xf numFmtId="0" fontId="44" fillId="0" borderId="0"/>
    <xf numFmtId="0" fontId="44" fillId="0" borderId="0"/>
    <xf numFmtId="0" fontId="44" fillId="0" borderId="0"/>
    <xf numFmtId="0" fontId="45" fillId="0" borderId="0"/>
    <xf numFmtId="0" fontId="44"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4" fillId="0" borderId="0"/>
    <xf numFmtId="0" fontId="45"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cellStyleXfs>
  <cellXfs count="2267">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0" fontId="0" fillId="0" borderId="0" xfId="0" applyFill="1" applyBorder="1"/>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1" fillId="0" borderId="9" xfId="33" applyNumberFormat="1" applyFont="1" applyBorder="1" applyAlignment="1" applyProtection="1">
      <alignment horizontal="center" vertical="center" wrapText="1"/>
    </xf>
    <xf numFmtId="167" fontId="11" fillId="0" borderId="0" xfId="32" applyNumberFormat="1" applyFont="1" applyBorder="1" applyAlignment="1" applyProtection="1">
      <alignment horizontal="center" vertical="center" wrapText="1"/>
    </xf>
    <xf numFmtId="167" fontId="11"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1" fillId="0" borderId="9" xfId="33" applyNumberFormat="1" applyFont="1" applyFill="1" applyBorder="1" applyAlignment="1" applyProtection="1">
      <alignment horizontal="center" vertical="center" wrapText="1"/>
    </xf>
    <xf numFmtId="167" fontId="11"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1" fillId="0" borderId="2" xfId="32" applyFont="1" applyBorder="1" applyAlignment="1">
      <alignment horizontal="left" vertical="center" wrapText="1"/>
    </xf>
    <xf numFmtId="164" fontId="11" fillId="0" borderId="9" xfId="33" applyNumberFormat="1" applyFont="1" applyBorder="1" applyAlignment="1">
      <alignment horizontal="center" vertical="center" wrapText="1"/>
    </xf>
    <xf numFmtId="0" fontId="11" fillId="0" borderId="1" xfId="32" applyFont="1" applyBorder="1" applyAlignment="1">
      <alignment horizontal="left" vertical="center" wrapText="1"/>
    </xf>
    <xf numFmtId="0" fontId="11" fillId="0" borderId="3" xfId="32" applyFont="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167" fontId="20" fillId="0" borderId="0" xfId="32" applyNumberFormat="1" applyFont="1" applyFill="1" applyBorder="1" applyAlignment="1" applyProtection="1">
      <alignment horizontal="left" vertical="center" wrapText="1"/>
    </xf>
    <xf numFmtId="164" fontId="20" fillId="0" borderId="0" xfId="33" applyNumberFormat="1" applyFont="1" applyFill="1" applyBorder="1" applyAlignment="1" applyProtection="1">
      <alignment horizontal="center" vertical="center" wrapText="1"/>
    </xf>
    <xf numFmtId="167" fontId="20" fillId="0" borderId="0" xfId="32" applyNumberFormat="1" applyFont="1" applyFill="1" applyBorder="1" applyAlignment="1" applyProtection="1">
      <alignment horizontal="center" vertical="center" wrapText="1"/>
    </xf>
    <xf numFmtId="167" fontId="19" fillId="0" borderId="0" xfId="0" applyNumberFormat="1" applyFont="1" applyFill="1" applyBorder="1" applyAlignment="1"/>
    <xf numFmtId="9" fontId="19" fillId="0" borderId="0" xfId="33" applyFont="1" applyFill="1" applyBorder="1" applyAlignment="1"/>
    <xf numFmtId="166" fontId="19" fillId="0" borderId="0" xfId="0" applyNumberFormat="1" applyFont="1" applyFill="1" applyBorder="1" applyAlignment="1"/>
    <xf numFmtId="1" fontId="19" fillId="0" borderId="0" xfId="0" applyNumberFormat="1" applyFont="1" applyFill="1" applyBorder="1" applyAlignment="1">
      <alignment horizontal="center"/>
    </xf>
    <xf numFmtId="0" fontId="19"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0" fillId="0" borderId="0" xfId="0" applyFont="1" applyFill="1" applyBorder="1" applyAlignment="1">
      <alignment horizontal="center" vertical="top" wrapText="1"/>
    </xf>
    <xf numFmtId="0" fontId="0" fillId="0" borderId="9" xfId="0" applyBorder="1" applyAlignment="1">
      <alignment wrapText="1"/>
    </xf>
    <xf numFmtId="0" fontId="11" fillId="0" borderId="6" xfId="32" applyFont="1" applyBorder="1" applyAlignment="1">
      <alignment horizontal="center" vertical="center" wrapText="1"/>
    </xf>
    <xf numFmtId="0" fontId="11" fillId="0" borderId="9" xfId="32" applyFont="1" applyBorder="1" applyAlignment="1">
      <alignment horizontal="center" vertical="center" wrapText="1"/>
    </xf>
    <xf numFmtId="167" fontId="11" fillId="0" borderId="1" xfId="32" applyNumberFormat="1" applyFont="1" applyBorder="1" applyAlignment="1" applyProtection="1">
      <alignment horizontal="left" vertical="center" wrapText="1"/>
    </xf>
    <xf numFmtId="167" fontId="11" fillId="0" borderId="2" xfId="32" applyNumberFormat="1" applyFont="1" applyBorder="1" applyAlignment="1" applyProtection="1">
      <alignment horizontal="left" vertical="center" wrapText="1"/>
    </xf>
    <xf numFmtId="167" fontId="11" fillId="0" borderId="2" xfId="32" applyNumberFormat="1" applyFont="1" applyFill="1" applyBorder="1" applyAlignment="1" applyProtection="1">
      <alignment horizontal="left" vertical="center" wrapText="1"/>
    </xf>
    <xf numFmtId="0" fontId="12" fillId="0" borderId="4" xfId="32" applyFont="1" applyBorder="1" applyAlignment="1">
      <alignment horizontal="left" vertical="center" wrapText="1"/>
    </xf>
    <xf numFmtId="167" fontId="11" fillId="0" borderId="2" xfId="32" applyNumberFormat="1" applyFont="1" applyBorder="1" applyAlignment="1" applyProtection="1">
      <alignment horizontal="center" vertical="center" wrapText="1"/>
    </xf>
    <xf numFmtId="167" fontId="11" fillId="0" borderId="1" xfId="32" applyNumberFormat="1" applyFont="1" applyBorder="1" applyAlignment="1" applyProtection="1">
      <alignment horizontal="center" vertical="center" wrapText="1"/>
    </xf>
    <xf numFmtId="167" fontId="11" fillId="0" borderId="2" xfId="32" applyNumberFormat="1" applyFont="1" applyFill="1" applyBorder="1" applyAlignment="1" applyProtection="1">
      <alignment horizontal="center" vertical="center" wrapText="1"/>
    </xf>
    <xf numFmtId="167" fontId="11" fillId="0" borderId="1" xfId="32" applyNumberFormat="1" applyFont="1" applyBorder="1" applyAlignment="1">
      <alignment horizontal="center" vertical="center" wrapText="1"/>
    </xf>
    <xf numFmtId="167" fontId="11" fillId="0" borderId="2" xfId="32" applyNumberFormat="1" applyFont="1" applyBorder="1" applyAlignment="1">
      <alignment horizontal="center" vertical="center" wrapText="1"/>
    </xf>
    <xf numFmtId="167" fontId="11" fillId="0" borderId="3" xfId="32" applyNumberFormat="1" applyFont="1" applyBorder="1" applyAlignment="1">
      <alignment horizontal="center" vertical="center" wrapText="1"/>
    </xf>
    <xf numFmtId="167" fontId="12" fillId="0" borderId="4" xfId="32" applyNumberFormat="1" applyFont="1" applyBorder="1" applyAlignment="1">
      <alignment horizontal="center" vertical="center" wrapText="1"/>
    </xf>
    <xf numFmtId="167" fontId="12" fillId="0" borderId="1" xfId="32" applyNumberFormat="1" applyFont="1" applyBorder="1" applyAlignment="1">
      <alignment horizontal="center" vertical="center" wrapText="1"/>
    </xf>
    <xf numFmtId="0" fontId="7" fillId="0" borderId="3" xfId="0" applyFont="1" applyBorder="1" applyAlignment="1">
      <alignment vertical="top"/>
    </xf>
    <xf numFmtId="167" fontId="11" fillId="0" borderId="0" xfId="32" applyNumberFormat="1" applyFont="1" applyBorder="1" applyAlignment="1">
      <alignment horizontal="center" vertical="center" wrapText="1"/>
    </xf>
    <xf numFmtId="167" fontId="11"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1"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1"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2" fillId="0" borderId="0" xfId="32" applyFont="1" applyBorder="1" applyAlignment="1">
      <alignment horizontal="left" vertical="center" wrapText="1"/>
    </xf>
    <xf numFmtId="167" fontId="12" fillId="0" borderId="0" xfId="32" applyNumberFormat="1" applyFont="1" applyBorder="1" applyAlignment="1">
      <alignment horizontal="center" vertical="center" wrapText="1"/>
    </xf>
    <xf numFmtId="9" fontId="11"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4" fillId="0" borderId="0" xfId="0" applyFont="1"/>
    <xf numFmtId="169" fontId="4" fillId="7" borderId="0" xfId="0" applyNumberFormat="1" applyFont="1" applyFill="1" applyAlignment="1">
      <alignment vertical="center" wrapText="1"/>
    </xf>
    <xf numFmtId="0" fontId="9" fillId="3" borderId="0" xfId="0" applyFont="1" applyFill="1"/>
    <xf numFmtId="0" fontId="15" fillId="3" borderId="0" xfId="0" applyFont="1" applyFill="1"/>
    <xf numFmtId="171" fontId="0" fillId="0" borderId="0" xfId="0" applyNumberFormat="1" applyFill="1" applyAlignment="1"/>
    <xf numFmtId="3" fontId="0" fillId="0" borderId="0" xfId="0" applyNumberFormat="1" applyFill="1" applyAlignment="1"/>
    <xf numFmtId="167" fontId="12"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3" fillId="8" borderId="0" xfId="0" applyFont="1" applyFill="1"/>
    <xf numFmtId="167" fontId="13" fillId="8" borderId="0" xfId="0" applyNumberFormat="1" applyFont="1" applyFill="1"/>
    <xf numFmtId="167" fontId="5" fillId="8" borderId="0" xfId="0" applyNumberFormat="1" applyFont="1" applyFill="1"/>
    <xf numFmtId="164" fontId="0" fillId="0" borderId="0" xfId="33" applyNumberFormat="1" applyFont="1" applyAlignment="1"/>
    <xf numFmtId="10" fontId="13"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1" fillId="0" borderId="3" xfId="32" applyNumberFormat="1" applyFont="1" applyBorder="1" applyAlignment="1" applyProtection="1">
      <alignment horizontal="left" vertical="center" wrapText="1"/>
    </xf>
    <xf numFmtId="9" fontId="11" fillId="0" borderId="1" xfId="33" applyFont="1" applyBorder="1" applyAlignment="1" applyProtection="1">
      <alignment horizontal="center" vertical="center" wrapText="1"/>
    </xf>
    <xf numFmtId="9" fontId="11"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1" fillId="0" borderId="11" xfId="33" applyNumberFormat="1" applyFont="1" applyBorder="1" applyAlignment="1" applyProtection="1">
      <alignment horizontal="center" vertical="center" wrapText="1"/>
    </xf>
    <xf numFmtId="167" fontId="11"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1" fillId="0" borderId="8" xfId="32" applyNumberFormat="1" applyFont="1" applyBorder="1" applyAlignment="1" applyProtection="1">
      <alignment horizontal="center" vertical="center" wrapText="1"/>
    </xf>
    <xf numFmtId="0" fontId="18" fillId="0" borderId="0" xfId="0" applyFont="1" applyBorder="1" applyAlignment="1">
      <alignment vertical="top" wrapText="1"/>
    </xf>
    <xf numFmtId="0" fontId="12"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1" fillId="0" borderId="6" xfId="33" applyNumberFormat="1" applyFont="1" applyFill="1" applyBorder="1" applyAlignment="1" applyProtection="1">
      <alignment horizontal="center" vertical="center" wrapText="1"/>
    </xf>
    <xf numFmtId="164" fontId="11"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19" fillId="0" borderId="0" xfId="0" applyFont="1" applyFill="1" applyBorder="1" applyAlignment="1">
      <alignment vertical="top" wrapText="1"/>
    </xf>
    <xf numFmtId="0" fontId="4" fillId="10" borderId="0" xfId="0" applyFont="1" applyFill="1"/>
    <xf numFmtId="0" fontId="21" fillId="0" borderId="0" xfId="0" applyFont="1" applyFill="1" applyAlignment="1"/>
    <xf numFmtId="0" fontId="21" fillId="0" borderId="0" xfId="0" applyFont="1" applyFill="1"/>
    <xf numFmtId="167" fontId="21" fillId="0" borderId="0" xfId="0" applyNumberFormat="1" applyFont="1" applyFill="1"/>
    <xf numFmtId="0" fontId="21" fillId="10" borderId="0" xfId="0" applyFont="1" applyFill="1" applyAlignment="1"/>
    <xf numFmtId="0" fontId="21" fillId="10" borderId="0" xfId="0" applyFont="1" applyFill="1"/>
    <xf numFmtId="167" fontId="21" fillId="10" borderId="0" xfId="0" applyNumberFormat="1" applyFont="1" applyFill="1"/>
    <xf numFmtId="9" fontId="19" fillId="9" borderId="22" xfId="33" applyFont="1" applyFill="1" applyBorder="1" applyAlignment="1"/>
    <xf numFmtId="0" fontId="3" fillId="5" borderId="17" xfId="0" applyFont="1" applyFill="1" applyBorder="1" applyAlignment="1"/>
    <xf numFmtId="0" fontId="19" fillId="0" borderId="0" xfId="0" applyFont="1" applyAlignment="1"/>
    <xf numFmtId="0" fontId="13" fillId="0" borderId="0" xfId="0" applyFont="1" applyFill="1" applyBorder="1" applyAlignment="1"/>
    <xf numFmtId="167" fontId="13"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3"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3" fillId="0" borderId="0" xfId="0" applyFont="1"/>
    <xf numFmtId="164" fontId="0" fillId="0" borderId="0" xfId="33" applyNumberFormat="1" applyFont="1"/>
    <xf numFmtId="0" fontId="22" fillId="0" borderId="0" xfId="0" applyFont="1"/>
    <xf numFmtId="0" fontId="17"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2" fillId="0" borderId="20" xfId="25" applyNumberFormat="1" applyFont="1" applyBorder="1" applyProtection="1"/>
    <xf numFmtId="1" fontId="12" fillId="0" borderId="21" xfId="25" applyNumberFormat="1" applyFont="1" applyBorder="1" applyProtection="1"/>
    <xf numFmtId="1" fontId="11" fillId="0" borderId="17" xfId="25" applyNumberFormat="1" applyFont="1" applyFill="1" applyBorder="1" applyProtection="1"/>
    <xf numFmtId="0" fontId="12" fillId="0" borderId="0" xfId="25" applyFont="1" applyBorder="1" applyAlignment="1" applyProtection="1"/>
    <xf numFmtId="0" fontId="11" fillId="0" borderId="0" xfId="25" applyFont="1" applyBorder="1" applyProtection="1"/>
    <xf numFmtId="1" fontId="11" fillId="0" borderId="32" xfId="25" applyNumberFormat="1" applyFont="1" applyFill="1" applyBorder="1" applyAlignment="1" applyProtection="1">
      <alignment horizontal="center"/>
    </xf>
    <xf numFmtId="1" fontId="11" fillId="0" borderId="34" xfId="25" applyNumberFormat="1" applyFont="1" applyFill="1" applyBorder="1" applyAlignment="1" applyProtection="1">
      <alignment horizontal="center"/>
    </xf>
    <xf numFmtId="1" fontId="11" fillId="0" borderId="35" xfId="25" applyNumberFormat="1" applyFont="1" applyFill="1" applyBorder="1" applyAlignment="1" applyProtection="1">
      <alignment horizontal="center"/>
    </xf>
    <xf numFmtId="1" fontId="11" fillId="0" borderId="36" xfId="25" applyNumberFormat="1" applyFont="1" applyFill="1" applyBorder="1" applyAlignment="1" applyProtection="1">
      <alignment horizontal="center"/>
    </xf>
    <xf numFmtId="0" fontId="12" fillId="0" borderId="0" xfId="25" applyFont="1" applyBorder="1" applyProtection="1"/>
    <xf numFmtId="1" fontId="11" fillId="0" borderId="33" xfId="25" applyNumberFormat="1" applyFont="1" applyFill="1" applyBorder="1" applyAlignment="1" applyProtection="1">
      <alignment horizontal="center"/>
    </xf>
    <xf numFmtId="1" fontId="11" fillId="0" borderId="37" xfId="25" applyNumberFormat="1" applyFont="1" applyFill="1" applyBorder="1" applyAlignment="1" applyProtection="1">
      <alignment horizontal="center"/>
    </xf>
    <xf numFmtId="1" fontId="11" fillId="0" borderId="2" xfId="25" applyNumberFormat="1" applyFont="1" applyFill="1" applyBorder="1" applyAlignment="1" applyProtection="1">
      <alignment horizontal="center"/>
    </xf>
    <xf numFmtId="1"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xf>
    <xf numFmtId="0" fontId="11" fillId="0" borderId="17" xfId="25" applyFont="1" applyBorder="1" applyProtection="1"/>
    <xf numFmtId="168" fontId="12" fillId="10" borderId="38" xfId="25" applyNumberFormat="1" applyFont="1" applyFill="1" applyBorder="1" applyAlignment="1" applyProtection="1">
      <alignment horizontal="center"/>
    </xf>
    <xf numFmtId="168" fontId="11" fillId="0" borderId="27" xfId="25" applyNumberFormat="1" applyFont="1" applyFill="1" applyBorder="1" applyAlignment="1" applyProtection="1">
      <alignment horizontal="center"/>
    </xf>
    <xf numFmtId="168" fontId="11" fillId="0" borderId="4" xfId="25" applyNumberFormat="1" applyFont="1" applyFill="1" applyBorder="1" applyAlignment="1" applyProtection="1">
      <alignment horizontal="center"/>
    </xf>
    <xf numFmtId="167" fontId="23" fillId="9" borderId="38" xfId="25" applyNumberFormat="1" applyFont="1" applyFill="1" applyBorder="1" applyAlignment="1" applyProtection="1">
      <alignment horizontal="center"/>
      <protection locked="0"/>
    </xf>
    <xf numFmtId="168" fontId="11" fillId="0" borderId="7" xfId="25" applyNumberFormat="1" applyFont="1" applyFill="1" applyBorder="1" applyAlignment="1" applyProtection="1">
      <alignment horizontal="center"/>
    </xf>
    <xf numFmtId="168" fontId="12" fillId="0" borderId="33" xfId="25" applyNumberFormat="1" applyFont="1" applyFill="1" applyBorder="1" applyAlignment="1" applyProtection="1">
      <alignment horizontal="center"/>
    </xf>
    <xf numFmtId="168" fontId="11" fillId="0" borderId="37" xfId="25" applyNumberFormat="1" applyFont="1" applyFill="1" applyBorder="1" applyAlignment="1" applyProtection="1">
      <alignment horizontal="center"/>
    </xf>
    <xf numFmtId="168" fontId="11" fillId="0" borderId="2" xfId="25" applyNumberFormat="1" applyFont="1" applyFill="1" applyBorder="1" applyAlignment="1" applyProtection="1">
      <alignment horizontal="center"/>
    </xf>
    <xf numFmtId="168"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protection locked="0"/>
    </xf>
    <xf numFmtId="168" fontId="23" fillId="0" borderId="39" xfId="25" applyNumberFormat="1" applyFont="1" applyFill="1" applyBorder="1" applyAlignment="1" applyProtection="1">
      <alignment horizontal="center"/>
    </xf>
    <xf numFmtId="168" fontId="11" fillId="0" borderId="40" xfId="25" applyNumberFormat="1" applyFont="1" applyFill="1" applyBorder="1" applyAlignment="1" applyProtection="1">
      <alignment horizontal="center"/>
    </xf>
    <xf numFmtId="168" fontId="11" fillId="0" borderId="41" xfId="25" applyNumberFormat="1" applyFont="1" applyFill="1" applyBorder="1" applyAlignment="1" applyProtection="1">
      <alignment horizontal="center"/>
    </xf>
    <xf numFmtId="168" fontId="11" fillId="0" borderId="42" xfId="25" applyNumberFormat="1" applyFont="1" applyFill="1" applyBorder="1" applyAlignment="1" applyProtection="1">
      <alignment horizontal="center"/>
    </xf>
    <xf numFmtId="168" fontId="11" fillId="0" borderId="39" xfId="25" applyNumberFormat="1" applyFont="1" applyFill="1" applyBorder="1" applyAlignment="1" applyProtection="1">
      <alignment horizontal="center"/>
    </xf>
    <xf numFmtId="167" fontId="23" fillId="0" borderId="39" xfId="25" applyNumberFormat="1" applyFont="1" applyFill="1" applyBorder="1" applyAlignment="1" applyProtection="1">
      <alignment horizontal="center"/>
      <protection locked="0"/>
    </xf>
    <xf numFmtId="0" fontId="11" fillId="0" borderId="13" xfId="25" applyFont="1" applyBorder="1" applyProtection="1"/>
    <xf numFmtId="0" fontId="12" fillId="0" borderId="14" xfId="25" applyFont="1" applyBorder="1" applyAlignment="1" applyProtection="1"/>
    <xf numFmtId="0" fontId="11" fillId="0" borderId="0" xfId="22" applyFont="1" applyAlignment="1" applyProtection="1"/>
    <xf numFmtId="168" fontId="12" fillId="0" borderId="32" xfId="25" applyNumberFormat="1" applyFont="1" applyFill="1" applyBorder="1" applyAlignment="1" applyProtection="1">
      <alignment horizontal="center"/>
    </xf>
    <xf numFmtId="168" fontId="11" fillId="0" borderId="34" xfId="25" applyNumberFormat="1" applyFont="1" applyFill="1" applyBorder="1" applyAlignment="1" applyProtection="1">
      <alignment horizontal="center"/>
    </xf>
    <xf numFmtId="168" fontId="11" fillId="0" borderId="35" xfId="25" applyNumberFormat="1" applyFont="1" applyFill="1" applyBorder="1" applyAlignment="1" applyProtection="1">
      <alignment horizontal="center"/>
    </xf>
    <xf numFmtId="168" fontId="11" fillId="0" borderId="36" xfId="25" applyNumberFormat="1" applyFont="1" applyFill="1" applyBorder="1" applyAlignment="1" applyProtection="1">
      <alignment horizontal="center"/>
    </xf>
    <xf numFmtId="167" fontId="11" fillId="0" borderId="32" xfId="25" applyNumberFormat="1" applyFont="1" applyFill="1" applyBorder="1" applyAlignment="1" applyProtection="1">
      <alignment horizontal="center"/>
      <protection locked="0"/>
    </xf>
    <xf numFmtId="167" fontId="23" fillId="0" borderId="39" xfId="25" applyNumberFormat="1" applyFont="1" applyFill="1" applyBorder="1" applyAlignment="1" applyProtection="1">
      <alignment horizontal="center"/>
    </xf>
    <xf numFmtId="167" fontId="24" fillId="9" borderId="27" xfId="16" applyNumberFormat="1" applyFont="1" applyFill="1" applyBorder="1" applyAlignment="1" applyProtection="1">
      <alignment horizontal="center" vertical="center"/>
      <protection locked="0"/>
    </xf>
    <xf numFmtId="167" fontId="24" fillId="9" borderId="5" xfId="16" applyNumberFormat="1" applyFont="1" applyFill="1" applyBorder="1" applyAlignment="1" applyProtection="1">
      <alignment horizontal="center" vertical="center"/>
      <protection locked="0"/>
    </xf>
    <xf numFmtId="167" fontId="24" fillId="9" borderId="28" xfId="16" applyNumberFormat="1" applyFont="1" applyFill="1" applyBorder="1" applyAlignment="1" applyProtection="1">
      <alignment horizontal="center" vertical="center"/>
      <protection locked="0"/>
    </xf>
    <xf numFmtId="167" fontId="24" fillId="9" borderId="4" xfId="16" applyNumberFormat="1" applyFont="1" applyFill="1" applyBorder="1" applyAlignment="1" applyProtection="1">
      <alignment horizontal="center" vertical="center"/>
      <protection locked="0"/>
    </xf>
    <xf numFmtId="167" fontId="24" fillId="11" borderId="27" xfId="16" applyNumberFormat="1" applyFont="1" applyFill="1" applyBorder="1" applyAlignment="1" applyProtection="1">
      <alignment horizontal="center" vertical="center"/>
    </xf>
    <xf numFmtId="167" fontId="24" fillId="11" borderId="5" xfId="16" applyNumberFormat="1" applyFont="1" applyFill="1" applyBorder="1" applyAlignment="1" applyProtection="1">
      <alignment horizontal="center" vertical="center"/>
    </xf>
    <xf numFmtId="167" fontId="24" fillId="11" borderId="29" xfId="16" applyNumberFormat="1" applyFont="1" applyFill="1" applyBorder="1" applyAlignment="1" applyProtection="1">
      <alignment horizontal="center" vertical="center"/>
    </xf>
    <xf numFmtId="167" fontId="24" fillId="11" borderId="45" xfId="16" applyNumberFormat="1" applyFont="1" applyFill="1" applyBorder="1" applyAlignment="1" applyProtection="1">
      <alignment horizontal="center" vertical="center"/>
    </xf>
    <xf numFmtId="167" fontId="24" fillId="9" borderId="45" xfId="16" applyNumberFormat="1" applyFont="1" applyFill="1" applyBorder="1" applyAlignment="1" applyProtection="1">
      <alignment horizontal="center" vertical="center"/>
      <protection locked="0"/>
    </xf>
    <xf numFmtId="167" fontId="24" fillId="9" borderId="31" xfId="16" applyNumberFormat="1" applyFont="1" applyFill="1" applyBorder="1" applyAlignment="1" applyProtection="1">
      <alignment horizontal="center" vertical="center"/>
      <protection locked="0"/>
    </xf>
    <xf numFmtId="167" fontId="24"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0" fillId="0" borderId="0" xfId="0" applyFont="1"/>
    <xf numFmtId="0" fontId="25" fillId="0" borderId="0" xfId="0" applyFont="1" applyFill="1" applyBorder="1"/>
    <xf numFmtId="0" fontId="9" fillId="0" borderId="0" xfId="0" applyFont="1"/>
    <xf numFmtId="0" fontId="26"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18"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4" fillId="9" borderId="4" xfId="16" applyFont="1" applyFill="1" applyBorder="1" applyAlignment="1" applyProtection="1">
      <alignment horizontal="center" vertical="center"/>
      <protection locked="0"/>
    </xf>
    <xf numFmtId="0" fontId="24" fillId="9" borderId="7" xfId="16" applyFont="1" applyFill="1" applyBorder="1" applyAlignment="1" applyProtection="1">
      <alignment horizontal="center" vertical="center"/>
      <protection locked="0"/>
    </xf>
    <xf numFmtId="166" fontId="24" fillId="9" borderId="27" xfId="16" applyNumberFormat="1" applyFont="1" applyFill="1" applyBorder="1" applyAlignment="1" applyProtection="1">
      <alignment horizontal="center" vertical="center"/>
      <protection locked="0"/>
    </xf>
    <xf numFmtId="166" fontId="24" fillId="9" borderId="5" xfId="16" applyNumberFormat="1" applyFont="1" applyFill="1" applyBorder="1" applyAlignment="1" applyProtection="1">
      <alignment horizontal="center" vertical="center"/>
      <protection locked="0"/>
    </xf>
    <xf numFmtId="166" fontId="24" fillId="9" borderId="28" xfId="16" applyNumberFormat="1" applyFont="1" applyFill="1" applyBorder="1" applyAlignment="1" applyProtection="1">
      <alignment horizontal="center" vertical="center"/>
      <protection locked="0"/>
    </xf>
    <xf numFmtId="166" fontId="24" fillId="9" borderId="4" xfId="16" applyNumberFormat="1" applyFont="1" applyFill="1" applyBorder="1" applyAlignment="1" applyProtection="1">
      <alignment horizontal="center" vertical="center"/>
      <protection locked="0"/>
    </xf>
    <xf numFmtId="0" fontId="24" fillId="9" borderId="1" xfId="16" applyFont="1" applyFill="1" applyBorder="1" applyAlignment="1" applyProtection="1">
      <alignment horizontal="center" vertical="center"/>
      <protection locked="0"/>
    </xf>
    <xf numFmtId="0" fontId="24" fillId="9" borderId="6" xfId="16" applyFont="1" applyFill="1" applyBorder="1" applyAlignment="1" applyProtection="1">
      <alignment horizontal="center" vertical="center"/>
      <protection locked="0"/>
    </xf>
    <xf numFmtId="166" fontId="24" fillId="9" borderId="8" xfId="16" applyNumberFormat="1" applyFont="1" applyFill="1" applyBorder="1" applyAlignment="1" applyProtection="1">
      <alignment horizontal="center" vertical="center"/>
      <protection locked="0"/>
    </xf>
    <xf numFmtId="166" fontId="24" fillId="9" borderId="56" xfId="16" applyNumberFormat="1" applyFont="1" applyFill="1" applyBorder="1" applyAlignment="1" applyProtection="1">
      <alignment horizontal="center" vertical="center"/>
      <protection locked="0"/>
    </xf>
    <xf numFmtId="166" fontId="24"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4" fillId="9" borderId="49" xfId="13" applyNumberFormat="1" applyFont="1" applyFill="1" applyBorder="1" applyAlignment="1" applyProtection="1">
      <alignment horizontal="center"/>
      <protection locked="0"/>
    </xf>
    <xf numFmtId="1" fontId="24" fillId="9" borderId="12" xfId="13" applyNumberFormat="1" applyFont="1" applyFill="1" applyBorder="1" applyAlignment="1" applyProtection="1">
      <alignment horizontal="center"/>
      <protection locked="0"/>
    </xf>
    <xf numFmtId="1" fontId="24" fillId="9" borderId="57" xfId="13" applyNumberFormat="1" applyFont="1" applyFill="1" applyBorder="1" applyAlignment="1" applyProtection="1">
      <alignment horizontal="center"/>
      <protection locked="0"/>
    </xf>
    <xf numFmtId="1" fontId="24" fillId="9" borderId="27" xfId="13" applyNumberFormat="1" applyFont="1" applyFill="1" applyBorder="1" applyAlignment="1" applyProtection="1">
      <alignment horizontal="center"/>
      <protection locked="0"/>
    </xf>
    <xf numFmtId="1" fontId="24" fillId="9" borderId="5" xfId="13" applyNumberFormat="1" applyFont="1" applyFill="1" applyBorder="1" applyAlignment="1" applyProtection="1">
      <alignment horizontal="center"/>
      <protection locked="0"/>
    </xf>
    <xf numFmtId="1" fontId="24" fillId="9" borderId="44" xfId="13" applyNumberFormat="1" applyFont="1" applyFill="1" applyBorder="1" applyAlignment="1" applyProtection="1">
      <alignment horizontal="center"/>
      <protection locked="0"/>
    </xf>
    <xf numFmtId="1" fontId="24" fillId="9" borderId="29" xfId="13" applyNumberFormat="1" applyFont="1" applyFill="1" applyBorder="1" applyAlignment="1" applyProtection="1">
      <alignment horizontal="center"/>
      <protection locked="0"/>
    </xf>
    <xf numFmtId="1" fontId="24" fillId="9" borderId="31" xfId="13" applyNumberFormat="1" applyFont="1" applyFill="1" applyBorder="1" applyAlignment="1" applyProtection="1">
      <alignment horizontal="center"/>
      <protection locked="0"/>
    </xf>
    <xf numFmtId="1" fontId="24" fillId="9" borderId="28" xfId="13" applyNumberFormat="1" applyFont="1" applyFill="1" applyBorder="1" applyAlignment="1" applyProtection="1">
      <alignment horizontal="center"/>
      <protection locked="0"/>
    </xf>
    <xf numFmtId="1" fontId="24" fillId="9" borderId="45" xfId="13" applyNumberFormat="1" applyFont="1" applyFill="1" applyBorder="1" applyAlignment="1" applyProtection="1">
      <alignment horizontal="center"/>
      <protection locked="0"/>
    </xf>
    <xf numFmtId="0" fontId="27" fillId="0" borderId="0" xfId="0" applyFont="1" applyProtection="1"/>
    <xf numFmtId="0" fontId="27" fillId="0" borderId="0" xfId="0" applyFont="1" applyBorder="1" applyProtection="1"/>
    <xf numFmtId="0" fontId="28" fillId="0" borderId="0" xfId="0" applyFont="1" applyProtection="1"/>
    <xf numFmtId="0" fontId="8" fillId="0" borderId="0" xfId="28" applyFont="1" applyFill="1" applyBorder="1" applyAlignment="1" applyProtection="1">
      <alignment horizontal="left" vertical="center"/>
    </xf>
    <xf numFmtId="0" fontId="27" fillId="0" borderId="47" xfId="0" applyFont="1" applyBorder="1" applyAlignment="1" applyProtection="1">
      <alignment horizontal="centerContinuous"/>
    </xf>
    <xf numFmtId="2" fontId="24" fillId="9" borderId="37" xfId="0" applyNumberFormat="1" applyFont="1" applyFill="1" applyBorder="1" applyAlignment="1" applyProtection="1">
      <alignment horizontal="center" vertical="center"/>
      <protection locked="0"/>
    </xf>
    <xf numFmtId="2" fontId="24" fillId="9" borderId="50" xfId="0" applyNumberFormat="1" applyFont="1" applyFill="1" applyBorder="1" applyAlignment="1" applyProtection="1">
      <alignment horizontal="center" vertical="center"/>
      <protection locked="0"/>
    </xf>
    <xf numFmtId="168" fontId="24" fillId="0" borderId="58" xfId="26" applyNumberFormat="1" applyFont="1" applyFill="1" applyBorder="1" applyProtection="1"/>
    <xf numFmtId="2" fontId="24" fillId="0" borderId="37" xfId="0" applyNumberFormat="1" applyFont="1" applyFill="1" applyBorder="1" applyAlignment="1" applyProtection="1">
      <alignment horizontal="center" vertical="center"/>
    </xf>
    <xf numFmtId="2" fontId="24" fillId="0" borderId="50" xfId="0" applyNumberFormat="1" applyFont="1" applyFill="1" applyBorder="1" applyAlignment="1" applyProtection="1">
      <alignment horizontal="center" vertical="center"/>
    </xf>
    <xf numFmtId="2" fontId="24" fillId="9" borderId="40" xfId="0" applyNumberFormat="1" applyFont="1" applyFill="1" applyBorder="1" applyAlignment="1" applyProtection="1">
      <alignment horizontal="center" vertical="center"/>
      <protection locked="0"/>
    </xf>
    <xf numFmtId="2" fontId="24" fillId="9" borderId="58" xfId="0" applyNumberFormat="1" applyFont="1" applyFill="1" applyBorder="1" applyAlignment="1" applyProtection="1">
      <alignment horizontal="center" vertical="center"/>
      <protection locked="0"/>
    </xf>
    <xf numFmtId="0" fontId="12" fillId="0" borderId="15" xfId="32" applyFont="1" applyBorder="1"/>
    <xf numFmtId="0" fontId="11" fillId="0" borderId="15" xfId="32" applyFont="1" applyBorder="1"/>
    <xf numFmtId="0" fontId="11" fillId="0" borderId="8" xfId="32" applyFont="1" applyBorder="1"/>
    <xf numFmtId="0" fontId="12" fillId="0" borderId="0" xfId="32" applyFont="1" applyBorder="1"/>
    <xf numFmtId="0" fontId="11" fillId="0" borderId="0" xfId="32" applyFont="1" applyBorder="1"/>
    <xf numFmtId="0" fontId="11" fillId="0" borderId="10" xfId="32" applyFont="1" applyBorder="1"/>
    <xf numFmtId="0" fontId="12" fillId="0" borderId="10" xfId="32" applyFont="1" applyBorder="1" applyAlignment="1">
      <alignment horizontal="center" textRotation="90" wrapText="1"/>
    </xf>
    <xf numFmtId="0" fontId="11" fillId="0" borderId="4" xfId="32" applyFont="1" applyBorder="1"/>
    <xf numFmtId="0" fontId="11" fillId="0" borderId="4" xfId="32" applyFont="1" applyBorder="1" applyAlignment="1">
      <alignment horizontal="center"/>
    </xf>
    <xf numFmtId="0" fontId="11" fillId="0" borderId="1" xfId="32" applyFont="1" applyBorder="1"/>
    <xf numFmtId="0" fontId="11" fillId="0" borderId="1" xfId="32" applyFont="1" applyBorder="1" applyAlignment="1">
      <alignment horizontal="center"/>
    </xf>
    <xf numFmtId="0" fontId="11" fillId="0" borderId="2" xfId="32" applyFont="1" applyBorder="1"/>
    <xf numFmtId="176" fontId="11" fillId="0" borderId="2" xfId="32" applyNumberFormat="1" applyFont="1" applyBorder="1"/>
    <xf numFmtId="37" fontId="11" fillId="0" borderId="10" xfId="32" applyNumberFormat="1" applyFont="1" applyBorder="1"/>
    <xf numFmtId="177" fontId="11" fillId="12" borderId="3" xfId="32" applyNumberFormat="1" applyFont="1" applyFill="1" applyBorder="1"/>
    <xf numFmtId="177" fontId="11" fillId="0" borderId="3" xfId="32" applyNumberFormat="1" applyFont="1" applyBorder="1"/>
    <xf numFmtId="176" fontId="11" fillId="0" borderId="10" xfId="32" applyNumberFormat="1" applyFont="1" applyBorder="1"/>
    <xf numFmtId="0" fontId="11" fillId="0" borderId="3" xfId="32" applyFont="1" applyBorder="1"/>
    <xf numFmtId="176" fontId="11" fillId="0" borderId="3" xfId="32" applyNumberFormat="1" applyFont="1" applyBorder="1"/>
    <xf numFmtId="176" fontId="11" fillId="0" borderId="0" xfId="32" applyNumberFormat="1" applyFont="1" applyBorder="1"/>
    <xf numFmtId="0" fontId="11" fillId="0" borderId="0" xfId="0" applyFont="1" applyBorder="1" applyAlignment="1" applyProtection="1"/>
    <xf numFmtId="0" fontId="12" fillId="0" borderId="0" xfId="0" applyFont="1" applyBorder="1" applyAlignment="1">
      <alignment horizontal="right"/>
    </xf>
    <xf numFmtId="37" fontId="12" fillId="0" borderId="0" xfId="0" applyNumberFormat="1" applyFont="1" applyFill="1" applyBorder="1" applyAlignment="1"/>
    <xf numFmtId="0" fontId="20" fillId="0" borderId="0" xfId="0" applyFont="1" applyBorder="1" applyAlignment="1" applyProtection="1">
      <alignment horizontal="center"/>
    </xf>
    <xf numFmtId="0" fontId="11" fillId="0" borderId="18" xfId="32" applyFont="1" applyBorder="1"/>
    <xf numFmtId="176" fontId="11" fillId="0" borderId="18" xfId="32" applyNumberFormat="1" applyFont="1" applyBorder="1"/>
    <xf numFmtId="37" fontId="11" fillId="0" borderId="12" xfId="32" applyNumberFormat="1" applyFont="1" applyBorder="1"/>
    <xf numFmtId="0" fontId="30" fillId="0" borderId="0" xfId="0" applyFont="1"/>
    <xf numFmtId="0" fontId="31" fillId="0" borderId="4" xfId="32" applyFont="1" applyBorder="1" applyAlignment="1">
      <alignment wrapText="1"/>
    </xf>
    <xf numFmtId="167" fontId="31" fillId="0" borderId="4" xfId="32" applyNumberFormat="1" applyFont="1" applyBorder="1" applyAlignment="1" applyProtection="1">
      <alignment horizontal="center" textRotation="90" wrapText="1"/>
    </xf>
    <xf numFmtId="167" fontId="31" fillId="0" borderId="3" xfId="32" applyNumberFormat="1" applyFont="1" applyBorder="1" applyAlignment="1" applyProtection="1">
      <alignment horizontal="center" textRotation="90" wrapText="1"/>
    </xf>
    <xf numFmtId="0" fontId="32" fillId="0" borderId="10" xfId="32" applyFont="1" applyBorder="1" applyAlignment="1">
      <alignment horizontal="center" textRotation="90" wrapText="1"/>
    </xf>
    <xf numFmtId="0" fontId="34"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5" fillId="0" borderId="0" xfId="0" applyFont="1" applyBorder="1" applyAlignment="1">
      <alignment horizontal="left" vertical="center"/>
    </xf>
    <xf numFmtId="0" fontId="10"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0"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0" fillId="5" borderId="61" xfId="0" applyFont="1" applyFill="1" applyBorder="1" applyAlignment="1" applyProtection="1">
      <alignment horizontal="center" textRotation="90"/>
    </xf>
    <xf numFmtId="0" fontId="10" fillId="0" borderId="71" xfId="0" applyFont="1" applyBorder="1" applyAlignment="1">
      <alignment horizontal="center"/>
    </xf>
    <xf numFmtId="0" fontId="10" fillId="0" borderId="35" xfId="0" applyFont="1" applyBorder="1" applyAlignment="1">
      <alignment horizontal="center"/>
    </xf>
    <xf numFmtId="0" fontId="10" fillId="0" borderId="14" xfId="0" applyFont="1" applyBorder="1" applyAlignment="1">
      <alignment horizontal="center"/>
    </xf>
    <xf numFmtId="0" fontId="10" fillId="0" borderId="32" xfId="0" applyFont="1" applyBorder="1" applyAlignment="1">
      <alignment horizontal="center"/>
    </xf>
    <xf numFmtId="0" fontId="10" fillId="11" borderId="10" xfId="0" applyFont="1" applyFill="1" applyBorder="1" applyAlignment="1">
      <alignment horizontal="center"/>
    </xf>
    <xf numFmtId="0" fontId="10" fillId="11" borderId="2" xfId="0" applyFont="1" applyFill="1" applyBorder="1" applyAlignment="1">
      <alignment horizontal="center"/>
    </xf>
    <xf numFmtId="0" fontId="10" fillId="11" borderId="0" xfId="0" applyFont="1" applyFill="1" applyBorder="1" applyAlignment="1">
      <alignment horizontal="center"/>
    </xf>
    <xf numFmtId="0" fontId="8" fillId="11" borderId="38" xfId="0" applyFont="1" applyFill="1" applyBorder="1" applyAlignment="1"/>
    <xf numFmtId="174" fontId="16" fillId="11" borderId="4" xfId="0" applyNumberFormat="1" applyFont="1" applyFill="1" applyBorder="1" applyAlignment="1" applyProtection="1"/>
    <xf numFmtId="174" fontId="16" fillId="11" borderId="7" xfId="0" applyNumberFormat="1" applyFont="1" applyFill="1" applyBorder="1" applyAlignment="1" applyProtection="1"/>
    <xf numFmtId="174" fontId="16" fillId="11" borderId="7" xfId="0" applyNumberFormat="1" applyFont="1" applyFill="1" applyBorder="1" applyAlignment="1"/>
    <xf numFmtId="174" fontId="8" fillId="2" borderId="38" xfId="0" applyNumberFormat="1" applyFont="1" applyFill="1" applyBorder="1" applyAlignment="1"/>
    <xf numFmtId="174" fontId="10" fillId="11" borderId="10" xfId="0" applyNumberFormat="1" applyFont="1" applyFill="1" applyBorder="1" applyAlignment="1">
      <alignment horizontal="center"/>
    </xf>
    <xf numFmtId="174" fontId="10" fillId="11" borderId="2" xfId="0" applyNumberFormat="1" applyFont="1" applyFill="1" applyBorder="1" applyAlignment="1">
      <alignment horizontal="center"/>
    </xf>
    <xf numFmtId="174" fontId="8" fillId="11" borderId="38" xfId="0" applyNumberFormat="1" applyFont="1" applyFill="1" applyBorder="1" applyAlignment="1"/>
    <xf numFmtId="174" fontId="16" fillId="11" borderId="5" xfId="0" applyNumberFormat="1" applyFont="1" applyFill="1" applyBorder="1" applyAlignment="1" applyProtection="1"/>
    <xf numFmtId="174" fontId="16" fillId="11" borderId="5" xfId="0" applyNumberFormat="1" applyFont="1" applyFill="1" applyBorder="1" applyAlignment="1"/>
    <xf numFmtId="174" fontId="16" fillId="11" borderId="4" xfId="0" applyNumberFormat="1" applyFont="1" applyFill="1" applyBorder="1" applyAlignment="1"/>
    <xf numFmtId="174" fontId="10" fillId="2" borderId="5" xfId="0" applyNumberFormat="1" applyFont="1" applyFill="1" applyBorder="1" applyAlignment="1"/>
    <xf numFmtId="174" fontId="10" fillId="2" borderId="16" xfId="0" applyNumberFormat="1" applyFont="1" applyFill="1" applyBorder="1" applyAlignment="1"/>
    <xf numFmtId="174" fontId="10" fillId="2" borderId="38" xfId="0" applyNumberFormat="1" applyFont="1" applyFill="1" applyBorder="1" applyAlignment="1"/>
    <xf numFmtId="0" fontId="36" fillId="0" borderId="0" xfId="0" quotePrefix="1" applyFont="1" applyAlignment="1" applyProtection="1"/>
    <xf numFmtId="174" fontId="10" fillId="2" borderId="4" xfId="0" applyNumberFormat="1" applyFont="1" applyFill="1" applyBorder="1" applyAlignment="1"/>
    <xf numFmtId="174" fontId="10" fillId="2" borderId="7" xfId="0" applyNumberFormat="1" applyFont="1" applyFill="1" applyBorder="1" applyAlignment="1"/>
    <xf numFmtId="0" fontId="8" fillId="0" borderId="0" xfId="0" quotePrefix="1" applyFont="1" applyAlignment="1" applyProtection="1"/>
    <xf numFmtId="174" fontId="16" fillId="11" borderId="1" xfId="0" applyNumberFormat="1" applyFont="1" applyFill="1" applyBorder="1" applyAlignment="1"/>
    <xf numFmtId="174" fontId="8" fillId="11" borderId="1" xfId="0" applyNumberFormat="1" applyFont="1" applyFill="1" applyBorder="1" applyAlignment="1"/>
    <xf numFmtId="174" fontId="10" fillId="2" borderId="66" xfId="0" applyNumberFormat="1" applyFont="1" applyFill="1" applyBorder="1" applyAlignment="1"/>
    <xf numFmtId="0" fontId="36" fillId="0" borderId="0" xfId="0" applyFont="1" applyAlignment="1" applyProtection="1"/>
    <xf numFmtId="174" fontId="10" fillId="2" borderId="74" xfId="0" applyNumberFormat="1" applyFont="1" applyFill="1" applyBorder="1" applyAlignment="1"/>
    <xf numFmtId="174" fontId="10" fillId="2" borderId="72" xfId="0" applyNumberFormat="1" applyFont="1" applyFill="1" applyBorder="1" applyAlignment="1"/>
    <xf numFmtId="174" fontId="10" fillId="2" borderId="75" xfId="0" applyNumberFormat="1" applyFont="1" applyFill="1" applyBorder="1" applyAlignment="1"/>
    <xf numFmtId="174" fontId="10" fillId="2" borderId="61" xfId="0" applyNumberFormat="1" applyFont="1" applyFill="1" applyBorder="1" applyAlignment="1"/>
    <xf numFmtId="0" fontId="10" fillId="0" borderId="0" xfId="0" applyFont="1" applyBorder="1" applyAlignment="1">
      <alignment horizontal="center" vertical="center"/>
    </xf>
    <xf numFmtId="0" fontId="16" fillId="0" borderId="0" xfId="0" applyFont="1" applyFill="1" applyBorder="1" applyAlignment="1"/>
    <xf numFmtId="0" fontId="36" fillId="0" borderId="0" xfId="0" applyFont="1" applyBorder="1" applyAlignment="1">
      <alignment horizontal="center"/>
    </xf>
    <xf numFmtId="0" fontId="10" fillId="8" borderId="25" xfId="0" applyFont="1" applyFill="1" applyBorder="1" applyAlignment="1" applyProtection="1">
      <alignment vertical="center" wrapText="1"/>
    </xf>
    <xf numFmtId="0" fontId="10" fillId="8" borderId="26" xfId="0" applyFont="1" applyFill="1" applyBorder="1" applyAlignment="1" applyProtection="1">
      <alignment horizontal="center" vertical="center" wrapText="1"/>
    </xf>
    <xf numFmtId="0" fontId="10" fillId="8" borderId="33" xfId="0" applyFont="1" applyFill="1" applyBorder="1" applyAlignment="1" applyProtection="1">
      <alignment horizontal="center" vertical="center" wrapText="1"/>
    </xf>
    <xf numFmtId="0" fontId="10"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29" fillId="6" borderId="13" xfId="0" applyFont="1" applyFill="1" applyBorder="1" applyAlignment="1">
      <alignment vertical="center"/>
    </xf>
    <xf numFmtId="0" fontId="10"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0" fillId="0" borderId="13" xfId="28" applyFont="1" applyFill="1" applyBorder="1" applyAlignment="1" applyProtection="1">
      <alignment horizontal="center" vertical="center"/>
    </xf>
    <xf numFmtId="0" fontId="10"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6" fillId="9" borderId="4" xfId="28" applyFont="1" applyFill="1" applyBorder="1" applyAlignment="1" applyProtection="1">
      <alignment horizontal="center" vertical="center"/>
      <protection locked="0"/>
    </xf>
    <xf numFmtId="168" fontId="16" fillId="0" borderId="39" xfId="25" applyNumberFormat="1" applyFont="1" applyFill="1" applyBorder="1" applyProtection="1"/>
    <xf numFmtId="1" fontId="10" fillId="0" borderId="20" xfId="25" applyNumberFormat="1" applyFont="1" applyBorder="1" applyProtection="1"/>
    <xf numFmtId="1" fontId="10" fillId="0" borderId="21" xfId="25" applyNumberFormat="1" applyFont="1" applyBorder="1" applyProtection="1"/>
    <xf numFmtId="0" fontId="10"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2" fillId="0" borderId="17" xfId="0" applyFont="1" applyFill="1" applyBorder="1" applyAlignment="1" applyProtection="1"/>
    <xf numFmtId="168" fontId="11"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39" fillId="0" borderId="0" xfId="0" applyFont="1" applyBorder="1"/>
    <xf numFmtId="0" fontId="40" fillId="0" borderId="0" xfId="0" applyFont="1" applyBorder="1"/>
    <xf numFmtId="0" fontId="39" fillId="0" borderId="0" xfId="0" applyFont="1" applyFill="1" applyBorder="1" applyAlignment="1">
      <alignment vertical="top" wrapText="1"/>
    </xf>
    <xf numFmtId="0" fontId="40" fillId="0" borderId="0" xfId="0" applyFont="1" applyFill="1" applyBorder="1" applyAlignment="1">
      <alignment vertical="top" wrapText="1"/>
    </xf>
    <xf numFmtId="164" fontId="4" fillId="0" borderId="1" xfId="0" applyNumberFormat="1" applyFont="1" applyBorder="1" applyAlignment="1">
      <alignment horizontal="center"/>
    </xf>
    <xf numFmtId="0" fontId="41" fillId="0" borderId="0" xfId="0" applyFont="1"/>
    <xf numFmtId="0" fontId="1" fillId="0" borderId="0" xfId="0" applyFont="1"/>
    <xf numFmtId="0" fontId="42" fillId="0" borderId="0" xfId="11" applyFont="1" applyAlignment="1" applyProtection="1"/>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6"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4" fillId="12" borderId="0" xfId="19" applyFill="1" applyBorder="1" applyAlignment="1" applyProtection="1">
      <alignment horizontal="center" vertical="center"/>
    </xf>
    <xf numFmtId="0" fontId="47" fillId="12" borderId="0" xfId="19" applyFont="1" applyFill="1" applyBorder="1" applyAlignment="1" applyProtection="1">
      <alignment horizontal="center" vertical="center"/>
    </xf>
    <xf numFmtId="0" fontId="44" fillId="12" borderId="0" xfId="19" applyFill="1" applyBorder="1" applyAlignment="1" applyProtection="1"/>
    <xf numFmtId="0" fontId="6" fillId="12" borderId="0" xfId="31" applyFill="1" applyBorder="1" applyProtection="1"/>
    <xf numFmtId="0" fontId="48" fillId="12" borderId="0" xfId="19" applyFont="1" applyFill="1" applyBorder="1" applyAlignment="1" applyProtection="1">
      <alignment horizontal="left"/>
    </xf>
    <xf numFmtId="0" fontId="44" fillId="12" borderId="0" xfId="19" applyFill="1" applyBorder="1" applyAlignment="1" applyProtection="1">
      <alignment horizontal="center"/>
    </xf>
    <xf numFmtId="0" fontId="48" fillId="12" borderId="21" xfId="19" applyFont="1" applyFill="1" applyBorder="1" applyAlignment="1" applyProtection="1">
      <alignment horizontal="left"/>
    </xf>
    <xf numFmtId="0" fontId="44" fillId="12" borderId="21" xfId="19" applyFill="1" applyBorder="1" applyAlignment="1" applyProtection="1"/>
    <xf numFmtId="0" fontId="44" fillId="12" borderId="21" xfId="19" applyFill="1" applyBorder="1" applyAlignment="1" applyProtection="1">
      <alignment horizontal="center"/>
    </xf>
    <xf numFmtId="0" fontId="44" fillId="12" borderId="21" xfId="19" applyFill="1" applyBorder="1" applyAlignment="1" applyProtection="1">
      <alignment horizontal="center" vertical="center"/>
    </xf>
    <xf numFmtId="0" fontId="6" fillId="12" borderId="21" xfId="31" applyFill="1" applyBorder="1" applyProtection="1"/>
    <xf numFmtId="0" fontId="44" fillId="0" borderId="0" xfId="19" applyProtection="1"/>
    <xf numFmtId="0" fontId="44" fillId="0" borderId="0" xfId="19" applyAlignment="1" applyProtection="1">
      <alignment horizontal="center"/>
    </xf>
    <xf numFmtId="0" fontId="44" fillId="0" borderId="0" xfId="19" applyAlignment="1" applyProtection="1">
      <alignment horizontal="center" vertical="center"/>
    </xf>
    <xf numFmtId="0" fontId="6" fillId="0" borderId="0" xfId="31" applyProtection="1"/>
    <xf numFmtId="0" fontId="44" fillId="0" borderId="47" xfId="19" applyBorder="1" applyAlignment="1" applyProtection="1">
      <alignment horizontal="centerContinuous" vertical="center"/>
    </xf>
    <xf numFmtId="0" fontId="44" fillId="0" borderId="48" xfId="19" applyBorder="1" applyAlignment="1" applyProtection="1">
      <alignment horizontal="centerContinuous" vertical="center"/>
    </xf>
    <xf numFmtId="0" fontId="44" fillId="0" borderId="49" xfId="19" applyBorder="1" applyProtection="1"/>
    <xf numFmtId="0" fontId="44" fillId="0" borderId="17" xfId="19" applyBorder="1" applyProtection="1"/>
    <xf numFmtId="167" fontId="44" fillId="10" borderId="27" xfId="19" applyNumberFormat="1" applyFill="1" applyBorder="1" applyAlignment="1" applyProtection="1">
      <alignment horizontal="center" vertical="center"/>
    </xf>
    <xf numFmtId="167" fontId="44" fillId="10" borderId="4" xfId="19" applyNumberFormat="1" applyFill="1" applyBorder="1" applyAlignment="1" applyProtection="1">
      <alignment horizontal="center" vertical="center"/>
    </xf>
    <xf numFmtId="167" fontId="44" fillId="10" borderId="28" xfId="19" applyNumberFormat="1" applyFill="1" applyBorder="1" applyAlignment="1" applyProtection="1">
      <alignment horizontal="center" vertical="center"/>
    </xf>
    <xf numFmtId="0" fontId="44" fillId="0" borderId="17" xfId="19" applyFill="1" applyBorder="1" applyProtection="1"/>
    <xf numFmtId="167" fontId="24" fillId="9" borderId="27" xfId="19" applyNumberFormat="1" applyFont="1" applyFill="1" applyBorder="1" applyAlignment="1" applyProtection="1">
      <alignment horizontal="center" vertical="center"/>
      <protection locked="0"/>
    </xf>
    <xf numFmtId="0" fontId="44" fillId="0" borderId="20" xfId="19" applyBorder="1" applyProtection="1"/>
    <xf numFmtId="167" fontId="44" fillId="11" borderId="27" xfId="19" applyNumberFormat="1" applyFill="1" applyBorder="1" applyAlignment="1" applyProtection="1">
      <alignment horizontal="center" vertical="center"/>
    </xf>
    <xf numFmtId="167" fontId="44" fillId="11" borderId="4" xfId="19" applyNumberFormat="1" applyFill="1" applyBorder="1" applyAlignment="1" applyProtection="1">
      <alignment horizontal="center" vertical="center"/>
    </xf>
    <xf numFmtId="167" fontId="44" fillId="11" borderId="28" xfId="19" applyNumberFormat="1" applyFill="1" applyBorder="1" applyAlignment="1" applyProtection="1">
      <alignment horizontal="center" vertical="center"/>
    </xf>
    <xf numFmtId="167" fontId="24" fillId="9" borderId="5" xfId="19" applyNumberFormat="1" applyFont="1" applyFill="1" applyBorder="1" applyAlignment="1" applyProtection="1">
      <alignment horizontal="center" vertical="center"/>
      <protection locked="0"/>
    </xf>
    <xf numFmtId="167" fontId="24" fillId="9" borderId="28" xfId="19" applyNumberFormat="1" applyFont="1" applyFill="1" applyBorder="1" applyAlignment="1" applyProtection="1">
      <alignment horizontal="center" vertical="center"/>
      <protection locked="0"/>
    </xf>
    <xf numFmtId="167" fontId="24" fillId="9" borderId="4" xfId="19" applyNumberFormat="1" applyFont="1" applyFill="1" applyBorder="1" applyAlignment="1" applyProtection="1">
      <alignment horizontal="center" vertical="center"/>
      <protection locked="0"/>
    </xf>
    <xf numFmtId="167" fontId="44" fillId="10" borderId="29" xfId="19" applyNumberFormat="1" applyFill="1" applyBorder="1" applyAlignment="1" applyProtection="1">
      <alignment horizontal="center" vertical="center"/>
    </xf>
    <xf numFmtId="167" fontId="44" fillId="10" borderId="30" xfId="19" applyNumberFormat="1" applyFill="1" applyBorder="1" applyAlignment="1" applyProtection="1">
      <alignment horizontal="center" vertical="center"/>
    </xf>
    <xf numFmtId="167" fontId="44" fillId="10" borderId="31" xfId="19" applyNumberFormat="1" applyFill="1" applyBorder="1" applyAlignment="1" applyProtection="1">
      <alignment horizontal="center" vertical="center"/>
    </xf>
    <xf numFmtId="0" fontId="44" fillId="0" borderId="0" xfId="19" applyFill="1" applyAlignment="1" applyProtection="1">
      <alignment horizontal="center" vertical="center"/>
    </xf>
    <xf numFmtId="0" fontId="44" fillId="0" borderId="9" xfId="19" applyFill="1" applyBorder="1" applyAlignment="1" applyProtection="1">
      <alignment horizontal="center"/>
    </xf>
    <xf numFmtId="0" fontId="44" fillId="0" borderId="51" xfId="19" applyFill="1" applyBorder="1" applyAlignment="1" applyProtection="1">
      <alignment horizontal="center" vertical="center"/>
    </xf>
    <xf numFmtId="0" fontId="44" fillId="0" borderId="18" xfId="19" applyFill="1" applyBorder="1" applyAlignment="1" applyProtection="1">
      <alignment horizontal="center" vertical="center"/>
    </xf>
    <xf numFmtId="0" fontId="44" fillId="0" borderId="52" xfId="19" applyFill="1" applyBorder="1" applyAlignment="1" applyProtection="1">
      <alignment horizontal="center" vertical="center"/>
    </xf>
    <xf numFmtId="0" fontId="44" fillId="0" borderId="51" xfId="19" applyBorder="1" applyAlignment="1" applyProtection="1">
      <alignment horizontal="center" vertical="center"/>
    </xf>
    <xf numFmtId="0" fontId="44" fillId="0" borderId="18" xfId="19" applyBorder="1" applyAlignment="1" applyProtection="1">
      <alignment horizontal="center" vertical="center"/>
    </xf>
    <xf numFmtId="0" fontId="44" fillId="0" borderId="52" xfId="19" applyBorder="1" applyAlignment="1" applyProtection="1">
      <alignment horizontal="center" vertical="center"/>
    </xf>
    <xf numFmtId="0" fontId="44" fillId="0" borderId="17" xfId="19" applyFill="1" applyBorder="1" applyAlignment="1" applyProtection="1">
      <alignment horizontal="left" wrapText="1" indent="2"/>
    </xf>
    <xf numFmtId="167" fontId="44" fillId="10" borderId="5" xfId="19" applyNumberFormat="1" applyFill="1" applyBorder="1" applyAlignment="1" applyProtection="1">
      <alignment horizontal="center" vertical="center"/>
    </xf>
    <xf numFmtId="0" fontId="44" fillId="0" borderId="9" xfId="19" applyNumberFormat="1" applyBorder="1" applyAlignment="1" applyProtection="1">
      <alignment horizontal="center"/>
    </xf>
    <xf numFmtId="0" fontId="44" fillId="0" borderId="43" xfId="19" applyBorder="1" applyAlignment="1" applyProtection="1">
      <alignment horizontal="center" vertical="center"/>
    </xf>
    <xf numFmtId="0" fontId="44" fillId="0" borderId="16" xfId="19" applyBorder="1" applyAlignment="1" applyProtection="1">
      <alignment horizontal="center" vertical="center"/>
    </xf>
    <xf numFmtId="0" fontId="44" fillId="0" borderId="44" xfId="19" applyBorder="1" applyAlignment="1" applyProtection="1">
      <alignment horizontal="center" vertical="center"/>
    </xf>
    <xf numFmtId="0" fontId="44" fillId="0" borderId="43" xfId="19" applyFill="1" applyBorder="1" applyAlignment="1" applyProtection="1">
      <alignment horizontal="center" vertical="center"/>
    </xf>
    <xf numFmtId="167" fontId="44" fillId="10" borderId="45" xfId="19" applyNumberFormat="1" applyFill="1" applyBorder="1" applyAlignment="1" applyProtection="1">
      <alignment horizontal="center" vertical="center"/>
    </xf>
    <xf numFmtId="0" fontId="44" fillId="0" borderId="53" xfId="19" applyBorder="1" applyAlignment="1" applyProtection="1">
      <alignment horizontal="center" vertical="center"/>
    </xf>
    <xf numFmtId="0" fontId="44" fillId="0" borderId="15" xfId="19" applyBorder="1" applyAlignment="1" applyProtection="1">
      <alignment horizontal="center" vertical="center"/>
    </xf>
    <xf numFmtId="0" fontId="44" fillId="0" borderId="54" xfId="19" applyBorder="1" applyAlignment="1" applyProtection="1">
      <alignment horizontal="center" vertical="center"/>
    </xf>
    <xf numFmtId="0" fontId="6" fillId="0" borderId="0" xfId="31" applyBorder="1" applyProtection="1"/>
    <xf numFmtId="0" fontId="44" fillId="0" borderId="17" xfId="19" applyBorder="1" applyAlignment="1" applyProtection="1">
      <alignment horizontal="center" vertical="center"/>
    </xf>
    <xf numFmtId="0" fontId="44" fillId="0" borderId="0" xfId="19" applyBorder="1" applyAlignment="1" applyProtection="1">
      <alignment horizontal="center" vertical="center"/>
    </xf>
    <xf numFmtId="0" fontId="44" fillId="0" borderId="22" xfId="19" applyBorder="1" applyAlignment="1" applyProtection="1">
      <alignment horizontal="center" vertical="center"/>
    </xf>
    <xf numFmtId="1" fontId="24" fillId="11" borderId="27" xfId="19" applyNumberFormat="1" applyFont="1" applyFill="1" applyBorder="1" applyAlignment="1" applyProtection="1">
      <alignment horizontal="center" vertical="center"/>
      <protection locked="0"/>
    </xf>
    <xf numFmtId="1" fontId="24" fillId="11" borderId="5" xfId="19" applyNumberFormat="1" applyFont="1" applyFill="1" applyBorder="1" applyAlignment="1" applyProtection="1">
      <alignment horizontal="center" vertical="center"/>
      <protection locked="0"/>
    </xf>
    <xf numFmtId="1" fontId="24" fillId="11" borderId="28" xfId="19" applyNumberFormat="1" applyFont="1" applyFill="1" applyBorder="1" applyAlignment="1" applyProtection="1">
      <alignment horizontal="center" vertical="center"/>
      <protection locked="0"/>
    </xf>
    <xf numFmtId="1" fontId="44" fillId="0" borderId="17" xfId="19" applyNumberFormat="1" applyBorder="1" applyAlignment="1" applyProtection="1">
      <alignment horizontal="center" vertical="center"/>
    </xf>
    <xf numFmtId="1" fontId="44" fillId="0" borderId="0" xfId="19" applyNumberFormat="1" applyBorder="1" applyAlignment="1" applyProtection="1">
      <alignment horizontal="center" vertical="center"/>
    </xf>
    <xf numFmtId="1" fontId="44" fillId="0" borderId="22" xfId="19" applyNumberFormat="1" applyBorder="1" applyAlignment="1" applyProtection="1">
      <alignment horizontal="center" vertical="center"/>
    </xf>
    <xf numFmtId="0" fontId="18" fillId="0" borderId="0" xfId="31" applyFont="1" applyBorder="1" applyProtection="1"/>
    <xf numFmtId="0" fontId="6" fillId="0" borderId="0" xfId="31" applyAlignment="1" applyProtection="1">
      <alignment horizontal="center"/>
    </xf>
    <xf numFmtId="0" fontId="44" fillId="0" borderId="0" xfId="19" applyFill="1" applyProtection="1"/>
    <xf numFmtId="0" fontId="44" fillId="0" borderId="8" xfId="19" applyBorder="1" applyAlignment="1" applyProtection="1">
      <alignment horizontal="center" vertical="center"/>
    </xf>
    <xf numFmtId="0" fontId="44" fillId="0" borderId="10" xfId="19" applyBorder="1" applyAlignment="1" applyProtection="1">
      <alignment horizontal="center" vertical="center"/>
    </xf>
    <xf numFmtId="1" fontId="24" fillId="9" borderId="27" xfId="19" applyNumberFormat="1" applyFont="1" applyFill="1" applyBorder="1" applyAlignment="1" applyProtection="1">
      <alignment horizontal="center" vertical="center"/>
      <protection locked="0"/>
    </xf>
    <xf numFmtId="1" fontId="24" fillId="9" borderId="5" xfId="19" applyNumberFormat="1" applyFont="1" applyFill="1" applyBorder="1" applyAlignment="1" applyProtection="1">
      <alignment horizontal="center" vertical="center"/>
      <protection locked="0"/>
    </xf>
    <xf numFmtId="1" fontId="24" fillId="9" borderId="28" xfId="19" applyNumberFormat="1" applyFont="1" applyFill="1" applyBorder="1" applyAlignment="1" applyProtection="1">
      <alignment horizontal="center" vertical="center"/>
      <protection locked="0"/>
    </xf>
    <xf numFmtId="1" fontId="24" fillId="9" borderId="4" xfId="19" applyNumberFormat="1" applyFont="1" applyFill="1" applyBorder="1" applyAlignment="1" applyProtection="1">
      <alignment horizontal="center" vertical="center"/>
      <protection locked="0"/>
    </xf>
    <xf numFmtId="1" fontId="24" fillId="9" borderId="44" xfId="19" applyNumberFormat="1" applyFont="1" applyFill="1" applyBorder="1" applyAlignment="1" applyProtection="1">
      <alignment horizontal="center" vertical="center"/>
      <protection locked="0"/>
    </xf>
    <xf numFmtId="1" fontId="44" fillId="0" borderId="10" xfId="19" applyNumberFormat="1" applyBorder="1" applyAlignment="1" applyProtection="1">
      <alignment horizontal="center" vertical="center"/>
    </xf>
    <xf numFmtId="1" fontId="24" fillId="9" borderId="55" xfId="19" applyNumberFormat="1" applyFont="1" applyFill="1" applyBorder="1" applyAlignment="1" applyProtection="1">
      <alignment horizontal="center" vertical="center"/>
      <protection locked="0"/>
    </xf>
    <xf numFmtId="1" fontId="24" fillId="9" borderId="8" xfId="19" applyNumberFormat="1" applyFont="1" applyFill="1" applyBorder="1" applyAlignment="1" applyProtection="1">
      <alignment horizontal="center" vertical="center"/>
      <protection locked="0"/>
    </xf>
    <xf numFmtId="1" fontId="24" fillId="9" borderId="56" xfId="19" applyNumberFormat="1" applyFont="1" applyFill="1" applyBorder="1" applyAlignment="1" applyProtection="1">
      <alignment horizontal="center" vertical="center"/>
      <protection locked="0"/>
    </xf>
    <xf numFmtId="1" fontId="24" fillId="9" borderId="1" xfId="19" applyNumberFormat="1" applyFont="1" applyFill="1" applyBorder="1" applyAlignment="1" applyProtection="1">
      <alignment horizontal="center" vertical="center"/>
      <protection locked="0"/>
    </xf>
    <xf numFmtId="1" fontId="24" fillId="9" borderId="54" xfId="19" applyNumberFormat="1" applyFont="1" applyFill="1" applyBorder="1" applyAlignment="1" applyProtection="1">
      <alignment horizontal="center" vertical="center"/>
      <protection locked="0"/>
    </xf>
    <xf numFmtId="1" fontId="24" fillId="11" borderId="55" xfId="19" applyNumberFormat="1" applyFont="1" applyFill="1" applyBorder="1" applyAlignment="1" applyProtection="1">
      <alignment horizontal="center" vertical="center"/>
      <protection locked="0"/>
    </xf>
    <xf numFmtId="1" fontId="24" fillId="11" borderId="8" xfId="19" applyNumberFormat="1" applyFont="1" applyFill="1" applyBorder="1" applyAlignment="1" applyProtection="1">
      <alignment horizontal="center" vertical="center"/>
      <protection locked="0"/>
    </xf>
    <xf numFmtId="1" fontId="24" fillId="11" borderId="56" xfId="19" applyNumberFormat="1" applyFont="1" applyFill="1" applyBorder="1" applyAlignment="1" applyProtection="1">
      <alignment horizontal="center" vertical="center"/>
      <protection locked="0"/>
    </xf>
    <xf numFmtId="167" fontId="24" fillId="11" borderId="27" xfId="19" applyNumberFormat="1" applyFont="1" applyFill="1" applyBorder="1" applyAlignment="1" applyProtection="1">
      <alignment horizontal="center" vertical="center"/>
      <protection locked="0"/>
    </xf>
    <xf numFmtId="167" fontId="24" fillId="11" borderId="5" xfId="19" applyNumberFormat="1" applyFont="1" applyFill="1" applyBorder="1" applyAlignment="1" applyProtection="1">
      <alignment horizontal="center" vertical="center"/>
      <protection locked="0"/>
    </xf>
    <xf numFmtId="167" fontId="24" fillId="11" borderId="28" xfId="19" applyNumberFormat="1" applyFont="1" applyFill="1" applyBorder="1" applyAlignment="1" applyProtection="1">
      <alignment horizontal="center" vertical="center"/>
      <protection locked="0"/>
    </xf>
    <xf numFmtId="9" fontId="24" fillId="11" borderId="27" xfId="33" applyFont="1" applyFill="1" applyBorder="1" applyAlignment="1" applyProtection="1">
      <alignment horizontal="center" vertical="center"/>
      <protection locked="0"/>
    </xf>
    <xf numFmtId="9" fontId="24" fillId="11" borderId="5" xfId="33" applyFont="1" applyFill="1" applyBorder="1" applyAlignment="1" applyProtection="1">
      <alignment horizontal="center" vertical="center"/>
      <protection locked="0"/>
    </xf>
    <xf numFmtId="9" fontId="24" fillId="11" borderId="28" xfId="33" applyFont="1" applyFill="1" applyBorder="1" applyAlignment="1" applyProtection="1">
      <alignment horizontal="center" vertical="center"/>
      <protection locked="0"/>
    </xf>
    <xf numFmtId="9" fontId="24" fillId="9" borderId="5" xfId="33" applyFont="1" applyFill="1" applyBorder="1" applyAlignment="1" applyProtection="1">
      <alignment horizontal="center" vertical="center"/>
      <protection locked="0"/>
    </xf>
    <xf numFmtId="9" fontId="24" fillId="9" borderId="4" xfId="33" applyFont="1" applyFill="1" applyBorder="1" applyAlignment="1" applyProtection="1">
      <alignment horizontal="center" vertical="center"/>
      <protection locked="0"/>
    </xf>
    <xf numFmtId="9" fontId="24" fillId="9" borderId="28" xfId="33" applyFont="1" applyFill="1" applyBorder="1" applyAlignment="1" applyProtection="1">
      <alignment horizontal="center" vertical="center"/>
      <protection locked="0"/>
    </xf>
    <xf numFmtId="9" fontId="24" fillId="15" borderId="5" xfId="33" applyFont="1" applyFill="1" applyBorder="1" applyAlignment="1" applyProtection="1">
      <alignment horizontal="center" vertical="center"/>
      <protection locked="0"/>
    </xf>
    <xf numFmtId="9" fontId="24" fillId="15" borderId="4" xfId="33" applyFont="1" applyFill="1" applyBorder="1" applyAlignment="1" applyProtection="1">
      <alignment horizontal="center" vertical="center"/>
      <protection locked="0"/>
    </xf>
    <xf numFmtId="9" fontId="24" fillId="15" borderId="28" xfId="33" applyFont="1" applyFill="1" applyBorder="1" applyAlignment="1" applyProtection="1">
      <alignment horizontal="center" vertical="center"/>
      <protection locked="0"/>
    </xf>
    <xf numFmtId="167" fontId="24" fillId="11" borderId="27" xfId="33" applyNumberFormat="1" applyFont="1" applyFill="1" applyBorder="1" applyAlignment="1" applyProtection="1">
      <alignment horizontal="center" vertical="center"/>
      <protection locked="0"/>
    </xf>
    <xf numFmtId="167" fontId="24" fillId="11" borderId="5" xfId="33" applyNumberFormat="1" applyFont="1" applyFill="1" applyBorder="1" applyAlignment="1" applyProtection="1">
      <alignment horizontal="center" vertical="center"/>
      <protection locked="0"/>
    </xf>
    <xf numFmtId="167" fontId="24" fillId="11" borderId="28" xfId="33" applyNumberFormat="1" applyFont="1" applyFill="1" applyBorder="1" applyAlignment="1" applyProtection="1">
      <alignment horizontal="center" vertical="center"/>
      <protection locked="0"/>
    </xf>
    <xf numFmtId="167" fontId="24" fillId="9" borderId="5" xfId="33" applyNumberFormat="1" applyFont="1" applyFill="1" applyBorder="1" applyAlignment="1" applyProtection="1">
      <alignment horizontal="center" vertical="center"/>
      <protection locked="0"/>
    </xf>
    <xf numFmtId="167" fontId="24" fillId="9" borderId="4" xfId="33" applyNumberFormat="1" applyFont="1" applyFill="1" applyBorder="1" applyAlignment="1" applyProtection="1">
      <alignment horizontal="center" vertical="center"/>
      <protection locked="0"/>
    </xf>
    <xf numFmtId="167" fontId="24" fillId="9" borderId="28" xfId="33" applyNumberFormat="1" applyFont="1" applyFill="1" applyBorder="1" applyAlignment="1" applyProtection="1">
      <alignment horizontal="center" vertical="center"/>
      <protection locked="0"/>
    </xf>
    <xf numFmtId="167" fontId="24" fillId="9" borderId="55" xfId="19" applyNumberFormat="1" applyFont="1" applyFill="1" applyBorder="1" applyAlignment="1" applyProtection="1">
      <alignment horizontal="center" vertical="center"/>
      <protection locked="0"/>
    </xf>
    <xf numFmtId="167" fontId="24" fillId="9" borderId="8" xfId="19" applyNumberFormat="1" applyFont="1" applyFill="1" applyBorder="1" applyAlignment="1" applyProtection="1">
      <alignment horizontal="center" vertical="center"/>
      <protection locked="0"/>
    </xf>
    <xf numFmtId="167" fontId="24" fillId="9" borderId="56" xfId="19" applyNumberFormat="1" applyFont="1" applyFill="1" applyBorder="1" applyAlignment="1" applyProtection="1">
      <alignment horizontal="center" vertical="center"/>
      <protection locked="0"/>
    </xf>
    <xf numFmtId="167" fontId="44" fillId="10" borderId="8" xfId="19" applyNumberFormat="1" applyFill="1" applyBorder="1" applyAlignment="1" applyProtection="1">
      <alignment horizontal="center" vertical="center"/>
    </xf>
    <xf numFmtId="167" fontId="44" fillId="10" borderId="1" xfId="19" applyNumberFormat="1" applyFill="1" applyBorder="1" applyAlignment="1" applyProtection="1">
      <alignment horizontal="center" vertical="center"/>
    </xf>
    <xf numFmtId="167" fontId="44" fillId="10" borderId="56" xfId="19" applyNumberFormat="1" applyFill="1" applyBorder="1" applyAlignment="1" applyProtection="1">
      <alignment horizontal="center" vertical="center"/>
    </xf>
    <xf numFmtId="167" fontId="44" fillId="10" borderId="20" xfId="19" applyNumberFormat="1" applyFill="1" applyBorder="1" applyAlignment="1" applyProtection="1">
      <alignment horizontal="center" vertical="center"/>
    </xf>
    <xf numFmtId="0" fontId="44" fillId="0" borderId="27" xfId="19" applyBorder="1" applyAlignment="1" applyProtection="1">
      <alignment horizontal="center" vertical="center"/>
    </xf>
    <xf numFmtId="0" fontId="44" fillId="0" borderId="4" xfId="19" applyBorder="1" applyAlignment="1" applyProtection="1">
      <alignment horizontal="center" vertical="center"/>
    </xf>
    <xf numFmtId="0" fontId="44" fillId="0" borderId="28" xfId="19" applyBorder="1" applyAlignment="1" applyProtection="1">
      <alignment horizontal="center" vertical="center"/>
    </xf>
    <xf numFmtId="0" fontId="44" fillId="0" borderId="27" xfId="19" applyFill="1" applyBorder="1" applyAlignment="1" applyProtection="1">
      <alignment horizontal="center" vertical="center"/>
    </xf>
    <xf numFmtId="0" fontId="44" fillId="0" borderId="28" xfId="19" applyFill="1" applyBorder="1" applyAlignment="1" applyProtection="1">
      <alignment horizontal="center" vertical="center"/>
    </xf>
    <xf numFmtId="0" fontId="44" fillId="0" borderId="0" xfId="19" applyBorder="1" applyProtection="1"/>
    <xf numFmtId="0" fontId="44" fillId="0" borderId="0" xfId="19" applyBorder="1" applyAlignment="1" applyProtection="1">
      <alignment horizontal="center"/>
    </xf>
    <xf numFmtId="167" fontId="44" fillId="0" borderId="0" xfId="18" applyNumberFormat="1" applyAlignment="1" applyProtection="1">
      <alignment horizontal="center" vertical="center"/>
    </xf>
    <xf numFmtId="0" fontId="46" fillId="12" borderId="0" xfId="0" applyFont="1" applyFill="1" applyBorder="1" applyAlignment="1" applyProtection="1"/>
    <xf numFmtId="0" fontId="49" fillId="12" borderId="0" xfId="0" applyFont="1" applyFill="1" applyBorder="1" applyAlignment="1" applyProtection="1"/>
    <xf numFmtId="0" fontId="48" fillId="12" borderId="0" xfId="0" applyFont="1" applyFill="1" applyBorder="1" applyAlignment="1" applyProtection="1"/>
    <xf numFmtId="0" fontId="48" fillId="12" borderId="21" xfId="0" applyFont="1" applyFill="1" applyBorder="1" applyAlignment="1" applyProtection="1">
      <alignment horizontal="left"/>
    </xf>
    <xf numFmtId="0" fontId="49" fillId="12" borderId="21" xfId="0" applyFont="1" applyFill="1" applyBorder="1" applyAlignment="1" applyProtection="1"/>
    <xf numFmtId="0" fontId="27" fillId="0" borderId="0" xfId="0" applyFont="1" applyFill="1" applyBorder="1" applyAlignment="1" applyProtection="1"/>
    <xf numFmtId="0" fontId="27" fillId="0" borderId="0" xfId="28" applyFont="1" applyFill="1" applyBorder="1" applyAlignment="1" applyProtection="1">
      <alignment horizontal="center" vertical="center"/>
    </xf>
    <xf numFmtId="167" fontId="24" fillId="9" borderId="27" xfId="28" applyNumberFormat="1" applyFont="1" applyFill="1" applyBorder="1" applyAlignment="1" applyProtection="1">
      <alignment horizontal="center" vertical="center"/>
      <protection locked="0"/>
    </xf>
    <xf numFmtId="167" fontId="24" fillId="9" borderId="4" xfId="28" applyNumberFormat="1" applyFont="1" applyFill="1" applyBorder="1" applyAlignment="1" applyProtection="1">
      <alignment horizontal="center" vertical="center"/>
      <protection locked="0"/>
    </xf>
    <xf numFmtId="167" fontId="24" fillId="9" borderId="28" xfId="28" applyNumberFormat="1" applyFont="1" applyFill="1" applyBorder="1" applyAlignment="1" applyProtection="1">
      <alignment horizontal="center" vertical="center"/>
      <protection locked="0"/>
    </xf>
    <xf numFmtId="0" fontId="28" fillId="0" borderId="29" xfId="0" applyFont="1" applyBorder="1" applyAlignment="1" applyProtection="1">
      <alignment vertical="center"/>
    </xf>
    <xf numFmtId="167" fontId="24" fillId="9" borderId="29" xfId="28" applyNumberFormat="1" applyFont="1" applyFill="1" applyBorder="1" applyAlignment="1" applyProtection="1">
      <alignment horizontal="center" vertical="center"/>
      <protection locked="0"/>
    </xf>
    <xf numFmtId="167" fontId="24" fillId="9" borderId="30" xfId="28" applyNumberFormat="1" applyFont="1" applyFill="1" applyBorder="1" applyAlignment="1" applyProtection="1">
      <alignment horizontal="center" vertical="center"/>
      <protection locked="0"/>
    </xf>
    <xf numFmtId="167" fontId="24" fillId="9" borderId="31" xfId="28" applyNumberFormat="1" applyFont="1" applyFill="1" applyBorder="1" applyAlignment="1" applyProtection="1">
      <alignment horizontal="center" vertical="center"/>
      <protection locked="0"/>
    </xf>
    <xf numFmtId="0" fontId="46" fillId="12" borderId="0" xfId="24" applyFont="1" applyFill="1" applyBorder="1" applyAlignment="1" applyProtection="1"/>
    <xf numFmtId="0" fontId="48" fillId="12" borderId="0" xfId="15" applyFont="1" applyFill="1" applyBorder="1" applyAlignment="1" applyProtection="1"/>
    <xf numFmtId="0" fontId="51" fillId="12" borderId="0" xfId="15" applyFont="1" applyFill="1" applyBorder="1" applyAlignment="1" applyProtection="1"/>
    <xf numFmtId="0" fontId="48" fillId="12" borderId="0" xfId="15" applyFont="1" applyFill="1" applyBorder="1" applyAlignment="1" applyProtection="1">
      <alignment horizontal="left"/>
    </xf>
    <xf numFmtId="0" fontId="48" fillId="12" borderId="21" xfId="15" applyFont="1" applyFill="1" applyBorder="1" applyAlignment="1" applyProtection="1"/>
    <xf numFmtId="0" fontId="51" fillId="12" borderId="21" xfId="15" applyFont="1" applyFill="1" applyBorder="1" applyAlignment="1" applyProtection="1">
      <alignment horizontal="left"/>
    </xf>
    <xf numFmtId="167" fontId="27" fillId="0" borderId="43" xfId="29" applyNumberFormat="1" applyFont="1" applyFill="1" applyBorder="1" applyAlignment="1" applyProtection="1">
      <alignment horizontal="center" vertical="center"/>
    </xf>
    <xf numFmtId="167" fontId="27" fillId="0" borderId="16" xfId="29" applyNumberFormat="1" applyFont="1" applyFill="1" applyBorder="1" applyAlignment="1" applyProtection="1">
      <alignment horizontal="center" vertical="center"/>
    </xf>
    <xf numFmtId="167" fontId="27" fillId="0" borderId="44" xfId="29" applyNumberFormat="1" applyFont="1" applyFill="1" applyBorder="1" applyAlignment="1" applyProtection="1">
      <alignment horizontal="center" vertical="center"/>
    </xf>
    <xf numFmtId="167" fontId="27" fillId="0" borderId="27" xfId="29" applyNumberFormat="1" applyFont="1" applyFill="1" applyBorder="1" applyAlignment="1" applyProtection="1">
      <alignment horizontal="center" vertical="center"/>
    </xf>
    <xf numFmtId="167" fontId="27" fillId="0" borderId="5" xfId="29" applyNumberFormat="1" applyFont="1" applyFill="1" applyBorder="1" applyAlignment="1" applyProtection="1">
      <alignment horizontal="center" vertical="center"/>
    </xf>
    <xf numFmtId="167" fontId="27" fillId="0" borderId="4" xfId="29" applyNumberFormat="1" applyFont="1" applyFill="1" applyBorder="1" applyAlignment="1" applyProtection="1">
      <alignment horizontal="center" vertical="center"/>
    </xf>
    <xf numFmtId="167" fontId="27" fillId="0" borderId="28" xfId="29" applyNumberFormat="1" applyFont="1" applyFill="1" applyBorder="1" applyAlignment="1" applyProtection="1">
      <alignment horizontal="center" vertical="center"/>
    </xf>
    <xf numFmtId="167" fontId="24" fillId="9" borderId="5" xfId="29" applyNumberFormat="1" applyFont="1" applyFill="1" applyBorder="1" applyAlignment="1" applyProtection="1">
      <alignment horizontal="center" vertical="center"/>
      <protection locked="0"/>
    </xf>
    <xf numFmtId="167" fontId="24" fillId="9" borderId="44" xfId="29" applyNumberFormat="1" applyFont="1" applyFill="1" applyBorder="1" applyAlignment="1" applyProtection="1">
      <alignment horizontal="center" vertical="center"/>
      <protection locked="0"/>
    </xf>
    <xf numFmtId="167" fontId="24" fillId="9" borderId="27" xfId="29" applyNumberFormat="1" applyFont="1" applyFill="1" applyBorder="1" applyAlignment="1" applyProtection="1">
      <alignment horizontal="center" vertical="center"/>
      <protection locked="0"/>
    </xf>
    <xf numFmtId="167" fontId="24" fillId="9" borderId="4" xfId="29" applyNumberFormat="1" applyFont="1" applyFill="1" applyBorder="1" applyAlignment="1" applyProtection="1">
      <alignment horizontal="center" vertical="center"/>
      <protection locked="0"/>
    </xf>
    <xf numFmtId="167" fontId="24" fillId="9" borderId="28" xfId="29" applyNumberFormat="1" applyFont="1" applyFill="1" applyBorder="1" applyAlignment="1" applyProtection="1">
      <alignment horizontal="center" vertical="center"/>
      <protection locked="0"/>
    </xf>
    <xf numFmtId="167" fontId="24" fillId="9" borderId="8" xfId="29" applyNumberFormat="1" applyFont="1" applyFill="1" applyBorder="1" applyAlignment="1" applyProtection="1">
      <alignment horizontal="center" vertical="center"/>
      <protection locked="0"/>
    </xf>
    <xf numFmtId="167" fontId="24" fillId="9" borderId="15" xfId="29" applyNumberFormat="1" applyFont="1" applyFill="1" applyBorder="1" applyAlignment="1" applyProtection="1">
      <alignment horizontal="center" vertical="center"/>
      <protection locked="0"/>
    </xf>
    <xf numFmtId="167" fontId="24" fillId="9" borderId="55" xfId="29" applyNumberFormat="1" applyFont="1" applyFill="1" applyBorder="1" applyAlignment="1" applyProtection="1">
      <alignment horizontal="center" vertical="center"/>
      <protection locked="0"/>
    </xf>
    <xf numFmtId="167" fontId="24" fillId="9" borderId="1" xfId="29" applyNumberFormat="1" applyFont="1" applyFill="1" applyBorder="1" applyAlignment="1" applyProtection="1">
      <alignment horizontal="center" vertical="center"/>
      <protection locked="0"/>
    </xf>
    <xf numFmtId="167" fontId="24" fillId="9" borderId="56" xfId="29" applyNumberFormat="1" applyFont="1" applyFill="1" applyBorder="1" applyAlignment="1" applyProtection="1">
      <alignment horizontal="center" vertical="center"/>
      <protection locked="0"/>
    </xf>
    <xf numFmtId="167" fontId="24" fillId="9" borderId="5" xfId="29" applyNumberFormat="1" applyFont="1" applyFill="1" applyBorder="1" applyAlignment="1" applyProtection="1">
      <alignment vertical="center"/>
      <protection locked="0"/>
    </xf>
    <xf numFmtId="167" fontId="24" fillId="9" borderId="4" xfId="29" applyNumberFormat="1" applyFont="1" applyFill="1" applyBorder="1" applyAlignment="1" applyProtection="1">
      <alignment vertical="center"/>
      <protection locked="0"/>
    </xf>
    <xf numFmtId="1" fontId="24" fillId="9" borderId="4" xfId="29" applyNumberFormat="1" applyFont="1" applyFill="1" applyBorder="1" applyAlignment="1" applyProtection="1">
      <alignment horizontal="center" vertical="center"/>
      <protection locked="0"/>
    </xf>
    <xf numFmtId="1" fontId="24" fillId="9" borderId="5" xfId="29" applyNumberFormat="1" applyFont="1" applyFill="1" applyBorder="1" applyAlignment="1" applyProtection="1">
      <alignment horizontal="center" vertical="center"/>
      <protection locked="0"/>
    </xf>
    <xf numFmtId="1" fontId="24" fillId="9" borderId="28" xfId="29" applyNumberFormat="1" applyFont="1" applyFill="1" applyBorder="1" applyAlignment="1" applyProtection="1">
      <alignment horizontal="center" vertical="center"/>
      <protection locked="0"/>
    </xf>
    <xf numFmtId="1" fontId="24" fillId="9" borderId="12" xfId="29" applyNumberFormat="1" applyFont="1" applyFill="1" applyBorder="1" applyAlignment="1" applyProtection="1">
      <alignment horizontal="center" vertical="center"/>
      <protection locked="0"/>
    </xf>
    <xf numFmtId="1" fontId="24" fillId="9" borderId="3" xfId="29" applyNumberFormat="1" applyFont="1" applyFill="1" applyBorder="1" applyAlignment="1" applyProtection="1">
      <alignment horizontal="center" vertical="center"/>
      <protection locked="0"/>
    </xf>
    <xf numFmtId="1" fontId="24" fillId="9" borderId="57" xfId="29" applyNumberFormat="1" applyFont="1" applyFill="1" applyBorder="1" applyAlignment="1" applyProtection="1">
      <alignment horizontal="center" vertical="center"/>
      <protection locked="0"/>
    </xf>
    <xf numFmtId="1" fontId="24" fillId="9" borderId="49" xfId="29" applyNumberFormat="1" applyFont="1" applyFill="1" applyBorder="1" applyAlignment="1" applyProtection="1">
      <alignment horizontal="center" vertical="center"/>
      <protection locked="0"/>
    </xf>
    <xf numFmtId="0" fontId="24" fillId="11" borderId="3" xfId="29" applyFont="1" applyFill="1" applyBorder="1" applyAlignment="1" applyProtection="1">
      <alignment horizontal="center" vertical="center"/>
    </xf>
    <xf numFmtId="1" fontId="24" fillId="9" borderId="27" xfId="29" applyNumberFormat="1" applyFont="1" applyFill="1" applyBorder="1" applyAlignment="1" applyProtection="1">
      <alignment horizontal="center" vertical="center"/>
      <protection locked="0"/>
    </xf>
    <xf numFmtId="0" fontId="24" fillId="11" borderId="4" xfId="29" applyFont="1" applyFill="1" applyBorder="1" applyAlignment="1" applyProtection="1">
      <alignment horizontal="center" vertical="center"/>
    </xf>
    <xf numFmtId="167" fontId="24" fillId="9" borderId="12" xfId="29" applyNumberFormat="1" applyFont="1" applyFill="1" applyBorder="1" applyAlignment="1" applyProtection="1">
      <alignment horizontal="center" vertical="center"/>
      <protection locked="0"/>
    </xf>
    <xf numFmtId="0" fontId="24" fillId="11" borderId="28" xfId="29" applyFont="1" applyFill="1" applyBorder="1" applyAlignment="1" applyProtection="1">
      <alignment horizontal="center" vertical="center"/>
    </xf>
    <xf numFmtId="167" fontId="24" fillId="9" borderId="3" xfId="29" applyNumberFormat="1" applyFont="1" applyFill="1" applyBorder="1" applyAlignment="1" applyProtection="1">
      <alignment horizontal="center" vertical="center"/>
      <protection locked="0"/>
    </xf>
    <xf numFmtId="0" fontId="24" fillId="11" borderId="57" xfId="29" applyFont="1" applyFill="1" applyBorder="1" applyAlignment="1" applyProtection="1">
      <alignment horizontal="center" vertical="center"/>
    </xf>
    <xf numFmtId="0" fontId="24" fillId="11" borderId="82" xfId="29" applyFont="1" applyFill="1" applyBorder="1" applyAlignment="1" applyProtection="1">
      <alignment horizontal="center" vertical="center"/>
    </xf>
    <xf numFmtId="0" fontId="24"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4" fillId="12" borderId="0" xfId="0" applyFont="1" applyFill="1" applyBorder="1" applyAlignment="1" applyProtection="1"/>
    <xf numFmtId="0" fontId="8" fillId="12" borderId="0" xfId="16" applyFont="1" applyFill="1" applyBorder="1" applyAlignment="1" applyProtection="1"/>
    <xf numFmtId="0" fontId="47" fillId="12" borderId="0" xfId="16" applyFont="1" applyFill="1" applyBorder="1" applyAlignment="1" applyProtection="1"/>
    <xf numFmtId="0" fontId="48" fillId="12" borderId="0" xfId="16" applyFont="1" applyFill="1" applyBorder="1" applyAlignment="1" applyProtection="1">
      <alignment horizontal="left"/>
    </xf>
    <xf numFmtId="0" fontId="29" fillId="12" borderId="0" xfId="16" applyFont="1" applyFill="1" applyBorder="1" applyAlignment="1" applyProtection="1">
      <alignment horizontal="left"/>
    </xf>
    <xf numFmtId="0" fontId="48" fillId="12" borderId="21" xfId="16" applyFont="1" applyFill="1" applyBorder="1" applyAlignment="1" applyProtection="1"/>
    <xf numFmtId="0" fontId="5" fillId="12" borderId="21" xfId="16" applyFill="1" applyBorder="1" applyAlignment="1" applyProtection="1"/>
    <xf numFmtId="0" fontId="29" fillId="12" borderId="21" xfId="16" applyFont="1" applyFill="1" applyBorder="1" applyAlignment="1" applyProtection="1">
      <alignment horizontal="left"/>
    </xf>
    <xf numFmtId="0" fontId="5" fillId="0" borderId="0" xfId="16" applyFill="1" applyProtection="1"/>
    <xf numFmtId="0" fontId="12" fillId="0" borderId="1" xfId="28" applyFont="1" applyFill="1" applyBorder="1" applyAlignment="1" applyProtection="1">
      <alignment horizontal="center" vertical="center"/>
    </xf>
    <xf numFmtId="0" fontId="5" fillId="0" borderId="53" xfId="16" applyBorder="1" applyProtection="1">
      <protection locked="0"/>
    </xf>
    <xf numFmtId="166" fontId="24" fillId="9" borderId="67" xfId="16" applyNumberFormat="1" applyFont="1" applyFill="1" applyBorder="1" applyAlignment="1" applyProtection="1">
      <alignment horizontal="center" vertical="center"/>
      <protection locked="0"/>
    </xf>
    <xf numFmtId="166" fontId="24" fillId="9" borderId="81" xfId="16" applyNumberFormat="1" applyFont="1" applyFill="1" applyBorder="1" applyAlignment="1" applyProtection="1">
      <alignment horizontal="center" vertical="center"/>
      <protection locked="0"/>
    </xf>
    <xf numFmtId="166" fontId="24" fillId="9" borderId="82" xfId="16" applyNumberFormat="1" applyFont="1" applyFill="1" applyBorder="1" applyAlignment="1" applyProtection="1">
      <alignment horizontal="center" vertical="center"/>
      <protection locked="0"/>
    </xf>
    <xf numFmtId="166" fontId="24" fillId="9" borderId="16" xfId="16" applyNumberFormat="1" applyFont="1" applyFill="1" applyBorder="1" applyAlignment="1" applyProtection="1">
      <alignment horizontal="center" vertical="center"/>
      <protection locked="0"/>
    </xf>
    <xf numFmtId="166" fontId="24"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4" fillId="9" borderId="29" xfId="16" applyNumberFormat="1" applyFont="1" applyFill="1" applyBorder="1" applyAlignment="1" applyProtection="1">
      <alignment horizontal="center" vertical="center"/>
      <protection locked="0"/>
    </xf>
    <xf numFmtId="166" fontId="24" fillId="9" borderId="30" xfId="16" applyNumberFormat="1" applyFont="1" applyFill="1" applyBorder="1" applyAlignment="1" applyProtection="1">
      <alignment horizontal="center" vertical="center"/>
      <protection locked="0"/>
    </xf>
    <xf numFmtId="166" fontId="24"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3" fillId="0" borderId="0" xfId="0" applyNumberFormat="1" applyFont="1" applyFill="1" applyBorder="1" applyAlignment="1"/>
    <xf numFmtId="9" fontId="0" fillId="9" borderId="2" xfId="0" applyNumberFormat="1" applyFill="1" applyBorder="1" applyAlignment="1"/>
    <xf numFmtId="174" fontId="16" fillId="9" borderId="4" xfId="0" applyNumberFormat="1" applyFont="1" applyFill="1" applyBorder="1" applyAlignment="1" applyProtection="1">
      <protection locked="0"/>
    </xf>
    <xf numFmtId="2" fontId="0" fillId="0" borderId="0" xfId="0" applyNumberFormat="1"/>
    <xf numFmtId="167" fontId="54" fillId="0" borderId="49" xfId="28" applyNumberFormat="1" applyFont="1" applyFill="1" applyBorder="1" applyAlignment="1" applyProtection="1">
      <alignment horizontal="center" vertical="center"/>
    </xf>
    <xf numFmtId="167" fontId="54" fillId="0" borderId="3" xfId="28" applyNumberFormat="1" applyFont="1" applyFill="1" applyBorder="1" applyAlignment="1" applyProtection="1">
      <alignment horizontal="center" vertical="center"/>
    </xf>
    <xf numFmtId="167" fontId="54" fillId="0" borderId="57" xfId="28" applyNumberFormat="1" applyFont="1" applyFill="1" applyBorder="1" applyAlignment="1" applyProtection="1">
      <alignment horizontal="center" vertical="center"/>
    </xf>
    <xf numFmtId="167" fontId="54" fillId="0" borderId="27" xfId="28" applyNumberFormat="1" applyFont="1" applyFill="1" applyBorder="1" applyAlignment="1" applyProtection="1">
      <alignment horizontal="center" vertical="center"/>
    </xf>
    <xf numFmtId="167" fontId="54" fillId="0" borderId="4" xfId="28" applyNumberFormat="1" applyFont="1" applyFill="1" applyBorder="1" applyAlignment="1" applyProtection="1">
      <alignment horizontal="center" vertical="center"/>
    </xf>
    <xf numFmtId="167" fontId="54" fillId="0" borderId="28" xfId="28" applyNumberFormat="1" applyFont="1" applyFill="1" applyBorder="1" applyAlignment="1" applyProtection="1">
      <alignment horizontal="center" vertical="center"/>
    </xf>
    <xf numFmtId="167" fontId="16" fillId="9" borderId="12" xfId="28" applyNumberFormat="1" applyFont="1" applyFill="1" applyBorder="1" applyAlignment="1" applyProtection="1">
      <alignment horizontal="center" vertical="center"/>
      <protection locked="0"/>
    </xf>
    <xf numFmtId="167" fontId="16" fillId="9" borderId="52" xfId="28" applyNumberFormat="1" applyFont="1" applyFill="1" applyBorder="1" applyAlignment="1" applyProtection="1">
      <alignment horizontal="center" vertical="center"/>
      <protection locked="0"/>
    </xf>
    <xf numFmtId="167" fontId="16" fillId="9" borderId="49" xfId="28" applyNumberFormat="1" applyFont="1" applyFill="1" applyBorder="1" applyAlignment="1" applyProtection="1">
      <alignment horizontal="center" vertical="center"/>
      <protection locked="0"/>
    </xf>
    <xf numFmtId="167" fontId="16" fillId="9" borderId="3" xfId="28" applyNumberFormat="1" applyFont="1" applyFill="1" applyBorder="1" applyAlignment="1" applyProtection="1">
      <alignment horizontal="center" vertical="center"/>
      <protection locked="0"/>
    </xf>
    <xf numFmtId="167" fontId="16" fillId="9" borderId="57" xfId="28" applyNumberFormat="1" applyFont="1" applyFill="1" applyBorder="1" applyAlignment="1" applyProtection="1">
      <alignment horizontal="center" vertical="center"/>
      <protection locked="0"/>
    </xf>
    <xf numFmtId="167" fontId="16" fillId="9" borderId="5" xfId="28" applyNumberFormat="1" applyFont="1" applyFill="1" applyBorder="1" applyAlignment="1" applyProtection="1">
      <alignment horizontal="center" vertical="center"/>
      <protection locked="0"/>
    </xf>
    <xf numFmtId="167" fontId="16" fillId="9" borderId="44" xfId="28" applyNumberFormat="1" applyFont="1" applyFill="1" applyBorder="1" applyAlignment="1" applyProtection="1">
      <alignment horizontal="center" vertical="center"/>
      <protection locked="0"/>
    </xf>
    <xf numFmtId="167" fontId="16" fillId="9" borderId="27" xfId="28" applyNumberFormat="1" applyFont="1" applyFill="1" applyBorder="1" applyAlignment="1" applyProtection="1">
      <alignment horizontal="center" vertical="center"/>
      <protection locked="0"/>
    </xf>
    <xf numFmtId="167" fontId="16" fillId="9" borderId="4" xfId="28" applyNumberFormat="1" applyFont="1" applyFill="1" applyBorder="1" applyAlignment="1" applyProtection="1">
      <alignment horizontal="center" vertical="center"/>
      <protection locked="0"/>
    </xf>
    <xf numFmtId="167" fontId="16"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6" fillId="9" borderId="8" xfId="28" applyNumberFormat="1" applyFont="1" applyFill="1" applyBorder="1" applyAlignment="1" applyProtection="1">
      <alignment horizontal="center" vertical="center"/>
      <protection locked="0"/>
    </xf>
    <xf numFmtId="167" fontId="16" fillId="9" borderId="1" xfId="28" applyNumberFormat="1" applyFont="1" applyFill="1" applyBorder="1" applyAlignment="1" applyProtection="1">
      <alignment horizontal="center" vertical="center"/>
      <protection locked="0"/>
    </xf>
    <xf numFmtId="167" fontId="16" fillId="9" borderId="56" xfId="28" applyNumberFormat="1" applyFont="1" applyFill="1" applyBorder="1" applyAlignment="1" applyProtection="1">
      <alignment horizontal="center" vertical="center"/>
      <protection locked="0"/>
    </xf>
    <xf numFmtId="167" fontId="16"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4"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18"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18"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3"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18" fillId="0" borderId="0" xfId="0" applyFont="1" applyBorder="1" applyAlignment="1">
      <alignment vertical="center" wrapText="1"/>
    </xf>
    <xf numFmtId="0" fontId="10"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19"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2"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7"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2" fillId="0" borderId="6" xfId="32" applyNumberFormat="1" applyFont="1" applyBorder="1" applyAlignment="1">
      <alignment horizontal="center" vertical="center" wrapText="1"/>
    </xf>
    <xf numFmtId="167" fontId="12" fillId="0" borderId="15" xfId="32" applyNumberFormat="1" applyFont="1" applyBorder="1" applyAlignment="1" applyProtection="1">
      <alignment horizontal="center" vertical="center" wrapText="1"/>
    </xf>
    <xf numFmtId="170" fontId="0" fillId="19" borderId="0" xfId="0" applyNumberFormat="1" applyFill="1" applyProtection="1">
      <protection locked="0"/>
    </xf>
    <xf numFmtId="170" fontId="0" fillId="19" borderId="0" xfId="0" applyNumberFormat="1" applyFill="1"/>
    <xf numFmtId="172" fontId="0" fillId="19"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19" borderId="1" xfId="33" applyFont="1" applyFill="1" applyBorder="1"/>
    <xf numFmtId="9" fontId="1" fillId="19" borderId="2" xfId="33" applyFont="1" applyFill="1" applyBorder="1"/>
    <xf numFmtId="9" fontId="1" fillId="19" borderId="3" xfId="33" applyFont="1" applyFill="1" applyBorder="1"/>
    <xf numFmtId="0" fontId="0" fillId="18" borderId="0" xfId="0" applyFill="1"/>
    <xf numFmtId="167" fontId="0" fillId="18" borderId="0" xfId="0" applyNumberFormat="1" applyFill="1"/>
    <xf numFmtId="167" fontId="0" fillId="18" borderId="0" xfId="0" applyNumberFormat="1" applyFill="1" applyAlignment="1">
      <alignment horizontal="right"/>
    </xf>
    <xf numFmtId="0" fontId="4" fillId="18" borderId="0" xfId="0" applyFont="1" applyFill="1"/>
    <xf numFmtId="167" fontId="4" fillId="18" borderId="0" xfId="0" applyNumberFormat="1" applyFont="1" applyFill="1"/>
    <xf numFmtId="166" fontId="0" fillId="18" borderId="0" xfId="0" applyNumberFormat="1" applyFill="1"/>
    <xf numFmtId="0" fontId="1" fillId="0" borderId="0" xfId="0" applyFont="1" applyAlignment="1">
      <alignment vertical="center"/>
    </xf>
    <xf numFmtId="0" fontId="4" fillId="0" borderId="0" xfId="0" applyFont="1" applyAlignment="1">
      <alignment vertical="center"/>
    </xf>
    <xf numFmtId="0" fontId="56" fillId="0" borderId="0" xfId="0" quotePrefix="1" applyFont="1"/>
    <xf numFmtId="0" fontId="0" fillId="17" borderId="9" xfId="0" applyFill="1" applyBorder="1" applyAlignment="1"/>
    <xf numFmtId="0" fontId="0" fillId="17" borderId="0" xfId="0" applyFill="1" applyBorder="1" applyAlignment="1"/>
    <xf numFmtId="173" fontId="0" fillId="17" borderId="9" xfId="7" applyNumberFormat="1" applyFont="1" applyFill="1" applyBorder="1" applyAlignment="1"/>
    <xf numFmtId="173" fontId="0" fillId="17" borderId="0" xfId="7" applyNumberFormat="1" applyFont="1" applyFill="1" applyBorder="1" applyAlignment="1"/>
    <xf numFmtId="9" fontId="0" fillId="17" borderId="9" xfId="33" applyFont="1" applyFill="1" applyBorder="1" applyAlignment="1"/>
    <xf numFmtId="9" fontId="0" fillId="17" borderId="0" xfId="33" applyFont="1" applyFill="1" applyBorder="1" applyAlignment="1"/>
    <xf numFmtId="173" fontId="0" fillId="17" borderId="9" xfId="33" applyNumberFormat="1" applyFont="1" applyFill="1" applyBorder="1" applyAlignment="1"/>
    <xf numFmtId="173" fontId="0" fillId="17"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19" fillId="9" borderId="37" xfId="33" applyNumberFormat="1" applyFont="1" applyFill="1" applyBorder="1" applyAlignment="1">
      <alignment horizontal="center"/>
    </xf>
    <xf numFmtId="175" fontId="19" fillId="9" borderId="2" xfId="33" applyNumberFormat="1" applyFont="1" applyFill="1" applyBorder="1" applyAlignment="1">
      <alignment horizontal="center"/>
    </xf>
    <xf numFmtId="0" fontId="19" fillId="9" borderId="2" xfId="0" applyFont="1" applyFill="1" applyBorder="1" applyAlignment="1"/>
    <xf numFmtId="9" fontId="19"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7" borderId="0" xfId="0" applyFill="1" applyAlignment="1"/>
    <xf numFmtId="0" fontId="16"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3" fillId="8" borderId="0" xfId="0" applyNumberFormat="1" applyFont="1" applyFill="1" applyAlignment="1">
      <alignment horizontal="center" vertical="center"/>
    </xf>
    <xf numFmtId="0" fontId="5" fillId="8" borderId="0" xfId="0" applyFont="1" applyFill="1" applyAlignment="1">
      <alignment horizontal="center" vertical="center"/>
    </xf>
    <xf numFmtId="0" fontId="19" fillId="8" borderId="0" xfId="0" applyFont="1" applyFill="1" applyAlignment="1">
      <alignment horizontal="center" vertical="center"/>
    </xf>
    <xf numFmtId="4" fontId="19"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3"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7" borderId="4" xfId="33" applyFont="1" applyFill="1" applyBorder="1" applyAlignment="1">
      <alignment vertical="center"/>
    </xf>
    <xf numFmtId="9" fontId="4" fillId="17"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2" fillId="0" borderId="15" xfId="32" applyFont="1" applyBorder="1" applyAlignment="1">
      <alignment horizontal="left" vertical="center"/>
    </xf>
    <xf numFmtId="0" fontId="12" fillId="0" borderId="0" xfId="32" applyFont="1" applyBorder="1" applyAlignment="1">
      <alignment horizontal="left" vertical="center"/>
    </xf>
    <xf numFmtId="167" fontId="12" fillId="0" borderId="0" xfId="32" applyNumberFormat="1" applyFont="1" applyBorder="1" applyAlignment="1">
      <alignment horizontal="center" vertical="center"/>
    </xf>
    <xf numFmtId="167" fontId="11"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2"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13"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2" fillId="9" borderId="31" xfId="28"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27" fillId="0" borderId="0" xfId="0" applyFont="1" applyFill="1" applyBorder="1" applyAlignment="1" applyProtection="1">
      <alignment vertical="center"/>
    </xf>
    <xf numFmtId="0" fontId="27" fillId="0" borderId="0" xfId="0" applyFont="1" applyAlignment="1" applyProtection="1">
      <alignment vertical="center"/>
    </xf>
    <xf numFmtId="0" fontId="50" fillId="9" borderId="22" xfId="25" applyFont="1" applyFill="1" applyBorder="1" applyAlignment="1" applyProtection="1">
      <alignment horizontal="left" vertical="center"/>
    </xf>
    <xf numFmtId="0" fontId="27" fillId="0" borderId="0" xfId="0" applyFont="1" applyFill="1" applyAlignment="1" applyProtection="1">
      <alignment vertical="center"/>
    </xf>
    <xf numFmtId="0" fontId="50"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4" fillId="9" borderId="27" xfId="15" applyFont="1" applyFill="1" applyBorder="1" applyAlignment="1" applyProtection="1">
      <alignment horizontal="left" vertical="center" wrapText="1"/>
      <protection locked="0"/>
    </xf>
    <xf numFmtId="0" fontId="28"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17" fillId="0" borderId="0" xfId="11" applyAlignment="1" applyProtection="1">
      <alignment vertical="center"/>
    </xf>
    <xf numFmtId="0" fontId="35"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1" fillId="0" borderId="0" xfId="0" applyFont="1" applyAlignment="1">
      <alignment vertical="center"/>
    </xf>
    <xf numFmtId="0" fontId="12"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61" xfId="0" applyFont="1" applyBorder="1" applyAlignment="1" applyProtection="1">
      <alignment horizontal="center" vertical="center"/>
    </xf>
    <xf numFmtId="0" fontId="11" fillId="0" borderId="0" xfId="0" applyFont="1" applyBorder="1" applyAlignment="1" applyProtection="1">
      <alignment horizontal="center" vertical="center"/>
    </xf>
    <xf numFmtId="0" fontId="12" fillId="0" borderId="61" xfId="0" applyFont="1" applyFill="1" applyBorder="1" applyAlignment="1" applyProtection="1">
      <alignment horizontal="center" vertical="center" wrapText="1"/>
    </xf>
    <xf numFmtId="0" fontId="11" fillId="0" borderId="0" xfId="0" applyFont="1" applyAlignment="1" applyProtection="1">
      <alignment vertical="center"/>
    </xf>
    <xf numFmtId="0" fontId="8" fillId="0" borderId="0" xfId="0" applyFont="1" applyAlignment="1" applyProtection="1">
      <alignment vertical="center"/>
    </xf>
    <xf numFmtId="0" fontId="12" fillId="0" borderId="68" xfId="0" applyFont="1" applyBorder="1" applyAlignment="1" applyProtection="1">
      <alignment horizontal="center" vertical="center"/>
    </xf>
    <xf numFmtId="0" fontId="12" fillId="0" borderId="75" xfId="0" applyFont="1" applyBorder="1" applyAlignment="1" applyProtection="1">
      <alignment horizontal="center" vertical="center"/>
    </xf>
    <xf numFmtId="0" fontId="12" fillId="0" borderId="73" xfId="0" applyFont="1" applyBorder="1" applyAlignment="1" applyProtection="1">
      <alignment horizontal="center" vertical="center"/>
    </xf>
    <xf numFmtId="0" fontId="12" fillId="0" borderId="0" xfId="0" applyFont="1" applyAlignment="1">
      <alignment horizontal="center" vertical="center"/>
    </xf>
    <xf numFmtId="0" fontId="11" fillId="0" borderId="0" xfId="0" applyFont="1" applyBorder="1" applyAlignment="1">
      <alignment vertical="center"/>
    </xf>
    <xf numFmtId="0" fontId="12" fillId="0" borderId="32" xfId="0" applyFont="1" applyBorder="1" applyAlignment="1" applyProtection="1">
      <alignment horizontal="center" vertical="center"/>
    </xf>
    <xf numFmtId="0" fontId="12" fillId="0" borderId="67" xfId="0" applyFont="1" applyBorder="1" applyAlignment="1" applyProtection="1">
      <alignment horizontal="center" vertical="center"/>
    </xf>
    <xf numFmtId="0" fontId="12" fillId="0" borderId="76" xfId="0" applyFont="1" applyBorder="1" applyAlignment="1" applyProtection="1">
      <alignment horizontal="center" vertical="center"/>
    </xf>
    <xf numFmtId="0" fontId="12" fillId="0" borderId="62" xfId="0" applyFont="1" applyBorder="1" applyAlignment="1" applyProtection="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61" xfId="0" applyFont="1" applyBorder="1" applyAlignment="1">
      <alignment horizontal="center" vertical="center"/>
    </xf>
    <xf numFmtId="0" fontId="12" fillId="0" borderId="68" xfId="0" applyFont="1" applyBorder="1" applyAlignment="1">
      <alignment horizontal="center" vertical="center"/>
    </xf>
    <xf numFmtId="0" fontId="12" fillId="0" borderId="75" xfId="0" applyFont="1" applyBorder="1" applyAlignment="1">
      <alignment horizontal="center" vertical="center"/>
    </xf>
    <xf numFmtId="174" fontId="8" fillId="0" borderId="0" xfId="0" applyNumberFormat="1" applyFont="1" applyAlignment="1">
      <alignment horizontal="right" vertical="center"/>
    </xf>
    <xf numFmtId="174" fontId="16" fillId="9" borderId="62" xfId="0" applyNumberFormat="1" applyFont="1" applyFill="1" applyBorder="1" applyAlignment="1" applyProtection="1">
      <alignment horizontal="right" vertical="center"/>
      <protection locked="0"/>
    </xf>
    <xf numFmtId="174" fontId="16" fillId="9" borderId="38" xfId="0" applyNumberFormat="1" applyFont="1" applyFill="1" applyBorder="1" applyAlignment="1" applyProtection="1">
      <alignment horizontal="right" vertical="center"/>
      <protection locked="0"/>
    </xf>
    <xf numFmtId="174" fontId="16" fillId="9" borderId="64"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6"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6"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6"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6"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6" fillId="9" borderId="61" xfId="0" applyNumberFormat="1" applyFont="1" applyFill="1" applyBorder="1" applyAlignment="1" applyProtection="1">
      <alignment horizontal="right" vertical="center"/>
      <protection locked="0"/>
    </xf>
    <xf numFmtId="174" fontId="16" fillId="11" borderId="20" xfId="0" applyNumberFormat="1" applyFont="1" applyFill="1" applyBorder="1" applyAlignment="1">
      <alignment horizontal="right" vertical="center"/>
    </xf>
    <xf numFmtId="174" fontId="16"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8" fillId="0" borderId="0" xfId="0" applyNumberFormat="1" applyFont="1" applyFill="1" applyAlignment="1">
      <alignment horizontal="right" vertical="center"/>
    </xf>
    <xf numFmtId="0" fontId="8" fillId="0" borderId="0" xfId="0" applyFont="1" applyFill="1" applyAlignment="1" applyProtection="1">
      <alignment vertical="center"/>
    </xf>
    <xf numFmtId="174" fontId="16" fillId="11" borderId="24" xfId="0" applyNumberFormat="1" applyFont="1" applyFill="1" applyBorder="1" applyAlignment="1">
      <alignment horizontal="right" vertical="center"/>
    </xf>
    <xf numFmtId="174" fontId="16" fillId="11" borderId="25" xfId="0" applyNumberFormat="1" applyFont="1" applyFill="1" applyBorder="1" applyAlignment="1">
      <alignment horizontal="right" vertical="center"/>
    </xf>
    <xf numFmtId="174" fontId="16" fillId="11" borderId="61" xfId="0" applyNumberFormat="1" applyFont="1" applyFill="1" applyBorder="1" applyAlignment="1">
      <alignment horizontal="right" vertical="center"/>
    </xf>
    <xf numFmtId="174" fontId="16" fillId="11" borderId="39" xfId="0" applyNumberFormat="1" applyFont="1" applyFill="1" applyBorder="1" applyAlignment="1">
      <alignment horizontal="right" vertical="center"/>
    </xf>
    <xf numFmtId="0" fontId="10" fillId="0" borderId="0" xfId="0" applyFont="1" applyBorder="1" applyAlignment="1">
      <alignment vertical="center"/>
    </xf>
    <xf numFmtId="174" fontId="10" fillId="2" borderId="39" xfId="0" applyNumberFormat="1" applyFont="1" applyFill="1" applyBorder="1" applyAlignment="1">
      <alignment horizontal="right" vertical="center"/>
    </xf>
    <xf numFmtId="174" fontId="10" fillId="0" borderId="0" xfId="0" applyNumberFormat="1" applyFont="1" applyAlignment="1">
      <alignment horizontal="right" vertical="center"/>
    </xf>
    <xf numFmtId="0" fontId="10" fillId="0" borderId="0" xfId="0" applyFont="1" applyAlignment="1" applyProtection="1">
      <alignment vertical="center"/>
    </xf>
    <xf numFmtId="0" fontId="8" fillId="0" borderId="0" xfId="0" applyFont="1" applyBorder="1" applyAlignment="1" applyProtection="1">
      <alignment vertical="center"/>
    </xf>
    <xf numFmtId="0" fontId="36" fillId="0" borderId="0" xfId="0" applyFont="1" applyAlignment="1" applyProtection="1">
      <alignment horizontal="center" vertical="center"/>
    </xf>
    <xf numFmtId="0" fontId="10" fillId="0" borderId="0" xfId="0" applyFont="1" applyAlignment="1">
      <alignment vertical="center"/>
    </xf>
    <xf numFmtId="0" fontId="10" fillId="0" borderId="0" xfId="0" applyFont="1" applyFill="1" applyAlignment="1">
      <alignment vertical="center"/>
    </xf>
    <xf numFmtId="0" fontId="35" fillId="0" borderId="24" xfId="0" applyFont="1" applyFill="1" applyBorder="1" applyAlignment="1" applyProtection="1">
      <alignment vertical="center"/>
    </xf>
    <xf numFmtId="0" fontId="10" fillId="0" borderId="25" xfId="0" applyFont="1" applyBorder="1" applyAlignment="1" applyProtection="1">
      <alignment vertical="center"/>
    </xf>
    <xf numFmtId="0" fontId="10" fillId="0" borderId="61" xfId="0" applyFont="1" applyBorder="1" applyAlignment="1">
      <alignment horizontal="center" vertical="center"/>
    </xf>
    <xf numFmtId="0" fontId="10" fillId="0" borderId="6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1" fillId="0" borderId="0" xfId="0" applyFont="1" applyBorder="1" applyAlignment="1" applyProtection="1">
      <alignment vertical="center"/>
    </xf>
    <xf numFmtId="0" fontId="34" fillId="0" borderId="0" xfId="0" applyFont="1" applyBorder="1" applyAlignment="1" applyProtection="1">
      <alignment vertical="center"/>
    </xf>
    <xf numFmtId="0" fontId="8" fillId="0" borderId="0" xfId="0" applyFont="1" applyBorder="1" applyAlignment="1" applyProtection="1">
      <alignment vertical="center" wrapText="1"/>
    </xf>
    <xf numFmtId="0" fontId="10"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2" fillId="0" borderId="61" xfId="0" applyFont="1" applyBorder="1" applyAlignment="1" applyProtection="1">
      <alignment horizontal="center" vertical="center" wrapText="1"/>
    </xf>
    <xf numFmtId="0" fontId="10" fillId="0" borderId="61" xfId="0" applyFont="1" applyBorder="1" applyAlignment="1">
      <alignment horizontal="center" vertical="center" wrapText="1"/>
    </xf>
    <xf numFmtId="0" fontId="10"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0"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6" fillId="0" borderId="0" xfId="0" applyFont="1" applyAlignment="1" applyProtection="1">
      <alignment vertical="center"/>
    </xf>
    <xf numFmtId="0" fontId="12" fillId="8" borderId="61" xfId="0" applyFont="1" applyFill="1" applyBorder="1" applyAlignment="1" applyProtection="1">
      <alignment horizontal="center" vertical="center" wrapText="1"/>
    </xf>
    <xf numFmtId="0" fontId="11" fillId="0" borderId="17" xfId="0" applyFont="1" applyBorder="1" applyAlignment="1">
      <alignment vertical="center"/>
    </xf>
    <xf numFmtId="0" fontId="12" fillId="0" borderId="0" xfId="0" applyFont="1" applyBorder="1" applyAlignment="1" applyProtection="1">
      <alignment vertical="center" wrapText="1"/>
    </xf>
    <xf numFmtId="0" fontId="37" fillId="0" borderId="0" xfId="0" applyFont="1" applyFill="1" applyBorder="1" applyAlignment="1">
      <alignment vertical="center"/>
    </xf>
    <xf numFmtId="174" fontId="10" fillId="0" borderId="61" xfId="0" applyNumberFormat="1" applyFont="1" applyFill="1" applyBorder="1" applyAlignment="1">
      <alignment vertical="center"/>
    </xf>
    <xf numFmtId="174" fontId="8" fillId="0" borderId="38" xfId="0" applyNumberFormat="1" applyFont="1" applyFill="1" applyBorder="1" applyAlignment="1" applyProtection="1">
      <alignment vertical="center"/>
      <protection locked="0"/>
    </xf>
    <xf numFmtId="0" fontId="10" fillId="6" borderId="25" xfId="0" applyFont="1" applyFill="1" applyBorder="1" applyAlignment="1" applyProtection="1">
      <alignment horizontal="center" vertical="center" wrapText="1"/>
    </xf>
    <xf numFmtId="0" fontId="10" fillId="6" borderId="26" xfId="0" applyFont="1" applyFill="1" applyBorder="1" applyAlignment="1" applyProtection="1">
      <alignment horizontal="center" vertical="center" wrapText="1"/>
    </xf>
    <xf numFmtId="0" fontId="10" fillId="6" borderId="23" xfId="0" applyFont="1" applyFill="1" applyBorder="1" applyAlignment="1" applyProtection="1">
      <alignment horizontal="center" vertical="center" wrapText="1"/>
    </xf>
    <xf numFmtId="0" fontId="10" fillId="6" borderId="39" xfId="0" applyFont="1" applyFill="1" applyBorder="1" applyAlignment="1" applyProtection="1">
      <alignment horizontal="center" vertical="center" wrapText="1"/>
    </xf>
    <xf numFmtId="0" fontId="12" fillId="0" borderId="0" xfId="0" applyFont="1" applyAlignment="1">
      <alignment vertical="center"/>
    </xf>
    <xf numFmtId="0" fontId="1" fillId="0" borderId="0" xfId="0" applyFont="1" applyFill="1" applyBorder="1" applyAlignment="1">
      <alignment vertical="center"/>
    </xf>
    <xf numFmtId="0" fontId="11" fillId="0" borderId="0" xfId="0" applyFont="1" applyFill="1" applyBorder="1" applyAlignment="1">
      <alignment vertical="center"/>
    </xf>
    <xf numFmtId="0" fontId="1" fillId="0" borderId="0" xfId="0" applyFont="1" applyBorder="1" applyAlignment="1">
      <alignment vertical="center"/>
    </xf>
    <xf numFmtId="0" fontId="12" fillId="0" borderId="21" xfId="0" applyFont="1" applyBorder="1" applyAlignment="1">
      <alignment vertical="center"/>
    </xf>
    <xf numFmtId="0" fontId="12" fillId="0" borderId="0" xfId="0" applyFont="1" applyBorder="1" applyAlignment="1">
      <alignment vertical="center"/>
    </xf>
    <xf numFmtId="0" fontId="1" fillId="0" borderId="13" xfId="0" applyFont="1" applyBorder="1" applyAlignment="1">
      <alignment vertical="center"/>
    </xf>
    <xf numFmtId="0" fontId="12" fillId="0" borderId="0" xfId="0" applyFont="1" applyFill="1" applyBorder="1" applyAlignment="1">
      <alignment horizontal="left" vertical="center"/>
    </xf>
    <xf numFmtId="0" fontId="12"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2"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2" fillId="0" borderId="19" xfId="0" applyFont="1" applyFill="1" applyBorder="1" applyAlignment="1" applyProtection="1">
      <alignment horizontal="center" vertical="center"/>
    </xf>
    <xf numFmtId="0" fontId="11" fillId="0" borderId="17" xfId="0" applyFont="1" applyBorder="1" applyAlignment="1" applyProtection="1">
      <alignment vertical="center"/>
    </xf>
    <xf numFmtId="0" fontId="11" fillId="0" borderId="0" xfId="0" applyFont="1" applyBorder="1" applyAlignment="1" applyProtection="1">
      <alignment horizontal="left" vertical="center"/>
    </xf>
    <xf numFmtId="0" fontId="11" fillId="0" borderId="0" xfId="0" applyFont="1" applyFill="1" applyBorder="1" applyAlignment="1" applyProtection="1">
      <alignment vertical="center"/>
    </xf>
    <xf numFmtId="174" fontId="11" fillId="0" borderId="22" xfId="0" applyNumberFormat="1"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1"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2"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2" fillId="0" borderId="14" xfId="0" applyFont="1" applyFill="1" applyBorder="1" applyAlignment="1">
      <alignment horizontal="left" vertical="center"/>
    </xf>
    <xf numFmtId="0" fontId="1" fillId="0" borderId="14" xfId="0" applyFont="1" applyBorder="1" applyAlignment="1">
      <alignment vertical="center"/>
    </xf>
    <xf numFmtId="174" fontId="11"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1" fillId="0" borderId="0" xfId="0" applyNumberFormat="1" applyFont="1" applyFill="1" applyBorder="1" applyAlignment="1">
      <alignment vertical="center"/>
    </xf>
    <xf numFmtId="0" fontId="1" fillId="0" borderId="17" xfId="0" applyFont="1" applyFill="1" applyBorder="1" applyAlignment="1">
      <alignment vertical="center"/>
    </xf>
    <xf numFmtId="174" fontId="12" fillId="0" borderId="61" xfId="0" applyNumberFormat="1" applyFont="1" applyFill="1" applyBorder="1" applyAlignment="1">
      <alignment horizontal="center" vertical="center"/>
    </xf>
    <xf numFmtId="174" fontId="11" fillId="0" borderId="0" xfId="0" applyNumberFormat="1" applyFont="1" applyBorder="1" applyAlignment="1" applyProtection="1">
      <alignment vertical="center"/>
    </xf>
    <xf numFmtId="174" fontId="23" fillId="9" borderId="33" xfId="0" applyNumberFormat="1" applyFont="1" applyFill="1" applyBorder="1" applyAlignment="1" applyProtection="1">
      <alignment vertical="center"/>
      <protection locked="0"/>
    </xf>
    <xf numFmtId="0" fontId="11" fillId="0" borderId="17" xfId="0" applyFont="1" applyFill="1" applyBorder="1" applyAlignment="1">
      <alignment vertical="center"/>
    </xf>
    <xf numFmtId="0" fontId="11" fillId="0" borderId="22" xfId="0" applyFont="1" applyFill="1" applyBorder="1" applyAlignment="1">
      <alignment vertical="center"/>
    </xf>
    <xf numFmtId="0" fontId="12" fillId="0" borderId="0" xfId="0" applyFont="1" applyBorder="1" applyAlignment="1" applyProtection="1">
      <alignment horizontal="right" vertical="center"/>
    </xf>
    <xf numFmtId="174" fontId="10" fillId="2" borderId="77" xfId="0" applyNumberFormat="1" applyFont="1" applyFill="1" applyBorder="1" applyAlignment="1" applyProtection="1">
      <alignment vertical="center"/>
      <protection locked="0"/>
    </xf>
    <xf numFmtId="178" fontId="12" fillId="0" borderId="3" xfId="0" applyNumberFormat="1" applyFont="1" applyBorder="1" applyAlignment="1">
      <alignment horizontal="center" vertical="center"/>
    </xf>
    <xf numFmtId="0" fontId="20" fillId="0" borderId="0" xfId="0" applyFont="1" applyFill="1" applyBorder="1" applyAlignment="1">
      <alignment horizontal="center" vertical="center"/>
    </xf>
    <xf numFmtId="0" fontId="12" fillId="0" borderId="0" xfId="0" applyFont="1" applyFill="1" applyBorder="1" applyAlignment="1">
      <alignment vertical="center"/>
    </xf>
    <xf numFmtId="0" fontId="11" fillId="0" borderId="0" xfId="0" applyFont="1" applyBorder="1" applyAlignment="1">
      <alignment horizontal="left" vertical="center"/>
    </xf>
    <xf numFmtId="174" fontId="11" fillId="0" borderId="22" xfId="0" applyNumberFormat="1" applyFont="1" applyFill="1" applyBorder="1" applyAlignment="1">
      <alignment vertical="center"/>
    </xf>
    <xf numFmtId="0" fontId="11" fillId="0" borderId="25" xfId="0" applyFont="1" applyFill="1" applyBorder="1" applyAlignment="1">
      <alignment vertical="center"/>
    </xf>
    <xf numFmtId="174" fontId="11" fillId="0" borderId="61" xfId="0" applyNumberFormat="1" applyFont="1" applyFill="1" applyBorder="1" applyAlignment="1">
      <alignment horizontal="center" vertical="center" wrapText="1"/>
    </xf>
    <xf numFmtId="174" fontId="23" fillId="11" borderId="32" xfId="0" applyNumberFormat="1" applyFont="1" applyFill="1" applyBorder="1" applyAlignment="1" applyProtection="1">
      <alignment vertical="center"/>
    </xf>
    <xf numFmtId="174" fontId="23" fillId="9" borderId="39" xfId="0" applyNumberFormat="1" applyFont="1" applyFill="1" applyBorder="1" applyAlignment="1" applyProtection="1">
      <alignment vertical="center"/>
      <protection locked="0"/>
    </xf>
    <xf numFmtId="174" fontId="12" fillId="2" borderId="77" xfId="0" applyNumberFormat="1" applyFont="1" applyFill="1" applyBorder="1" applyAlignment="1" applyProtection="1">
      <alignment vertical="center"/>
    </xf>
    <xf numFmtId="174" fontId="33" fillId="0" borderId="61" xfId="0" applyNumberFormat="1" applyFont="1" applyFill="1" applyBorder="1" applyAlignment="1">
      <alignment horizontal="center" vertical="center"/>
    </xf>
    <xf numFmtId="174" fontId="33" fillId="0" borderId="61" xfId="0" applyNumberFormat="1" applyFont="1" applyFill="1" applyBorder="1" applyAlignment="1">
      <alignment horizontal="center" vertical="center" textRotation="90" wrapText="1"/>
    </xf>
    <xf numFmtId="174" fontId="11" fillId="2" borderId="32" xfId="0" applyNumberFormat="1" applyFont="1" applyFill="1" applyBorder="1" applyAlignment="1" applyProtection="1">
      <alignment vertical="center"/>
    </xf>
    <xf numFmtId="174" fontId="23" fillId="9" borderId="34" xfId="0" applyNumberFormat="1" applyFont="1" applyFill="1" applyBorder="1" applyAlignment="1" applyProtection="1">
      <alignment vertical="center"/>
      <protection locked="0"/>
    </xf>
    <xf numFmtId="174" fontId="23" fillId="9" borderId="71" xfId="0" applyNumberFormat="1" applyFont="1" applyFill="1" applyBorder="1" applyAlignment="1" applyProtection="1">
      <alignment vertical="center"/>
      <protection locked="0"/>
    </xf>
    <xf numFmtId="174" fontId="23" fillId="9" borderId="46" xfId="0" applyNumberFormat="1" applyFont="1" applyFill="1" applyBorder="1" applyAlignment="1" applyProtection="1">
      <alignment vertical="center"/>
      <protection locked="0"/>
    </xf>
    <xf numFmtId="174" fontId="11" fillId="2" borderId="39" xfId="0" applyNumberFormat="1" applyFont="1" applyFill="1" applyBorder="1" applyAlignment="1" applyProtection="1">
      <alignment vertical="center"/>
    </xf>
    <xf numFmtId="174" fontId="23" fillId="9" borderId="40" xfId="0" applyNumberFormat="1" applyFont="1" applyFill="1" applyBorder="1" applyAlignment="1" applyProtection="1">
      <alignment vertical="center"/>
      <protection locked="0"/>
    </xf>
    <xf numFmtId="174" fontId="23" fillId="9" borderId="78" xfId="0" applyNumberFormat="1" applyFont="1" applyFill="1" applyBorder="1" applyAlignment="1" applyProtection="1">
      <alignment vertical="center"/>
      <protection locked="0"/>
    </xf>
    <xf numFmtId="174" fontId="23" fillId="9" borderId="58" xfId="0" applyNumberFormat="1" applyFont="1" applyFill="1" applyBorder="1" applyAlignment="1" applyProtection="1">
      <alignment vertical="center"/>
      <protection locked="0"/>
    </xf>
    <xf numFmtId="174" fontId="33" fillId="0" borderId="32" xfId="0" applyNumberFormat="1" applyFont="1" applyFill="1" applyBorder="1" applyAlignment="1">
      <alignment horizontal="center" vertical="center"/>
    </xf>
    <xf numFmtId="174" fontId="33" fillId="0" borderId="32" xfId="0" applyNumberFormat="1" applyFont="1" applyFill="1" applyBorder="1" applyAlignment="1">
      <alignment horizontal="center" vertical="center" textRotation="90" wrapText="1"/>
    </xf>
    <xf numFmtId="174" fontId="23" fillId="9" borderId="2" xfId="0" applyNumberFormat="1" applyFont="1" applyFill="1" applyBorder="1" applyAlignment="1" applyProtection="1">
      <alignment vertical="center"/>
      <protection locked="0"/>
    </xf>
    <xf numFmtId="174" fontId="23" fillId="9" borderId="22" xfId="0" applyNumberFormat="1" applyFont="1" applyFill="1" applyBorder="1" applyAlignment="1" applyProtection="1">
      <alignment vertical="center"/>
      <protection locked="0"/>
    </xf>
    <xf numFmtId="174" fontId="11" fillId="2" borderId="33" xfId="0" applyNumberFormat="1" applyFont="1" applyFill="1" applyBorder="1" applyAlignment="1" applyProtection="1">
      <alignment vertical="center"/>
    </xf>
    <xf numFmtId="174" fontId="23" fillId="9" borderId="37" xfId="0" applyNumberFormat="1" applyFont="1" applyFill="1" applyBorder="1" applyAlignment="1" applyProtection="1">
      <alignment vertical="center"/>
      <protection locked="0"/>
    </xf>
    <xf numFmtId="174" fontId="23" fillId="9" borderId="10" xfId="0" applyNumberFormat="1" applyFont="1" applyFill="1" applyBorder="1" applyAlignment="1" applyProtection="1">
      <alignment vertical="center"/>
      <protection locked="0"/>
    </xf>
    <xf numFmtId="174" fontId="23" fillId="9" borderId="49" xfId="0" applyNumberFormat="1" applyFont="1" applyFill="1" applyBorder="1" applyAlignment="1" applyProtection="1">
      <alignment vertical="center"/>
      <protection locked="0"/>
    </xf>
    <xf numFmtId="174" fontId="23" fillId="9" borderId="12" xfId="0" applyNumberFormat="1" applyFont="1" applyFill="1" applyBorder="1" applyAlignment="1" applyProtection="1">
      <alignment vertical="center"/>
      <protection locked="0"/>
    </xf>
    <xf numFmtId="174" fontId="23" fillId="9" borderId="3" xfId="0" applyNumberFormat="1" applyFont="1" applyFill="1" applyBorder="1" applyAlignment="1" applyProtection="1">
      <alignment vertical="center"/>
      <protection locked="0"/>
    </xf>
    <xf numFmtId="174" fontId="23" fillId="9" borderId="52" xfId="0" applyNumberFormat="1" applyFont="1" applyFill="1" applyBorder="1" applyAlignment="1" applyProtection="1">
      <alignment vertical="center"/>
      <protection locked="0"/>
    </xf>
    <xf numFmtId="174" fontId="12" fillId="2" borderId="64" xfId="0" applyNumberFormat="1" applyFont="1" applyFill="1" applyBorder="1" applyAlignment="1" applyProtection="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2" fillId="0" borderId="21" xfId="0" applyFont="1" applyBorder="1" applyAlignment="1" applyProtection="1">
      <alignment horizontal="right" vertical="center"/>
    </xf>
    <xf numFmtId="0" fontId="11" fillId="0" borderId="21" xfId="0" applyFont="1" applyFill="1" applyBorder="1" applyAlignment="1">
      <alignment vertical="center"/>
    </xf>
    <xf numFmtId="0" fontId="20" fillId="0" borderId="21" xfId="0" quotePrefix="1" applyFont="1" applyBorder="1" applyAlignment="1" applyProtection="1">
      <alignment horizontal="center" vertical="center"/>
    </xf>
    <xf numFmtId="0" fontId="20" fillId="0" borderId="21" xfId="0" applyFont="1" applyBorder="1" applyAlignment="1" applyProtection="1">
      <alignment horizontal="center" vertical="center"/>
    </xf>
    <xf numFmtId="0" fontId="12" fillId="0" borderId="23" xfId="0" applyFont="1" applyBorder="1" applyAlignment="1" applyProtection="1">
      <alignment horizontal="right" vertical="center"/>
    </xf>
    <xf numFmtId="0" fontId="11" fillId="0" borderId="14" xfId="0" applyFont="1" applyBorder="1" applyAlignment="1" applyProtection="1">
      <alignment horizontal="left" vertical="center"/>
    </xf>
    <xf numFmtId="0" fontId="11" fillId="0" borderId="19" xfId="0" applyFont="1" applyFill="1" applyBorder="1" applyAlignment="1">
      <alignment vertical="center"/>
    </xf>
    <xf numFmtId="174" fontId="11" fillId="13" borderId="33" xfId="0" applyNumberFormat="1" applyFont="1" applyFill="1" applyBorder="1" applyAlignment="1" applyProtection="1">
      <alignment vertical="center"/>
    </xf>
    <xf numFmtId="174" fontId="23" fillId="13" borderId="37" xfId="0" applyNumberFormat="1" applyFont="1" applyFill="1" applyBorder="1" applyAlignment="1" applyProtection="1">
      <alignment vertical="center"/>
    </xf>
    <xf numFmtId="174" fontId="23" fillId="13" borderId="10" xfId="0" applyNumberFormat="1" applyFont="1" applyFill="1" applyBorder="1" applyAlignment="1" applyProtection="1">
      <alignment vertical="center"/>
    </xf>
    <xf numFmtId="174" fontId="23" fillId="13" borderId="2" xfId="0" applyNumberFormat="1" applyFont="1" applyFill="1" applyBorder="1" applyAlignment="1" applyProtection="1">
      <alignment vertical="center"/>
    </xf>
    <xf numFmtId="174" fontId="23" fillId="13" borderId="22" xfId="0" applyNumberFormat="1" applyFont="1" applyFill="1" applyBorder="1" applyAlignment="1" applyProtection="1">
      <alignment vertical="center"/>
    </xf>
    <xf numFmtId="174" fontId="23" fillId="13" borderId="49" xfId="0" applyNumberFormat="1" applyFont="1" applyFill="1" applyBorder="1" applyAlignment="1" applyProtection="1">
      <alignment vertical="center"/>
    </xf>
    <xf numFmtId="174" fontId="23" fillId="13" borderId="12" xfId="0" applyNumberFormat="1" applyFont="1" applyFill="1" applyBorder="1" applyAlignment="1" applyProtection="1">
      <alignment vertical="center"/>
    </xf>
    <xf numFmtId="174" fontId="23" fillId="13" borderId="3" xfId="0" applyNumberFormat="1" applyFont="1" applyFill="1" applyBorder="1" applyAlignment="1" applyProtection="1">
      <alignment vertical="center"/>
    </xf>
    <xf numFmtId="174" fontId="23" fillId="13" borderId="52" xfId="0" applyNumberFormat="1" applyFont="1" applyFill="1" applyBorder="1" applyAlignment="1" applyProtection="1">
      <alignment vertical="center"/>
    </xf>
    <xf numFmtId="174" fontId="12" fillId="13" borderId="64" xfId="0" applyNumberFormat="1" applyFont="1" applyFill="1" applyBorder="1" applyAlignment="1" applyProtection="1">
      <alignment vertical="center"/>
    </xf>
    <xf numFmtId="174" fontId="33" fillId="0" borderId="0" xfId="0" applyNumberFormat="1" applyFont="1" applyFill="1" applyBorder="1" applyAlignment="1">
      <alignment vertical="center"/>
    </xf>
    <xf numFmtId="0" fontId="12" fillId="0" borderId="0" xfId="0" applyFont="1" applyBorder="1" applyAlignment="1">
      <alignment horizontal="left" vertical="center"/>
    </xf>
    <xf numFmtId="174" fontId="11" fillId="2" borderId="61" xfId="0" applyNumberFormat="1" applyFont="1" applyFill="1" applyBorder="1" applyAlignment="1" applyProtection="1">
      <alignment vertical="center"/>
    </xf>
    <xf numFmtId="174" fontId="23" fillId="11" borderId="74" xfId="0" applyNumberFormat="1" applyFont="1" applyFill="1" applyBorder="1" applyAlignment="1" applyProtection="1">
      <alignment vertical="center"/>
    </xf>
    <xf numFmtId="174" fontId="23" fillId="9" borderId="74" xfId="0" applyNumberFormat="1" applyFont="1" applyFill="1" applyBorder="1" applyAlignment="1" applyProtection="1">
      <alignment vertical="center"/>
      <protection locked="0"/>
    </xf>
    <xf numFmtId="174" fontId="23" fillId="11" borderId="72" xfId="0" applyNumberFormat="1" applyFont="1" applyFill="1" applyBorder="1" applyAlignment="1" applyProtection="1">
      <alignment vertical="center"/>
    </xf>
    <xf numFmtId="174" fontId="23" fillId="11" borderId="26" xfId="0" applyNumberFormat="1" applyFont="1" applyFill="1" applyBorder="1" applyAlignment="1" applyProtection="1">
      <alignment vertical="center"/>
    </xf>
    <xf numFmtId="0" fontId="11" fillId="0" borderId="21" xfId="0" applyFont="1" applyBorder="1" applyAlignment="1">
      <alignment horizontal="left" vertical="center"/>
    </xf>
    <xf numFmtId="174" fontId="11" fillId="0" borderId="21" xfId="0" applyNumberFormat="1" applyFont="1" applyFill="1" applyBorder="1" applyAlignment="1">
      <alignment vertical="center"/>
    </xf>
    <xf numFmtId="174" fontId="33" fillId="0" borderId="21" xfId="0" applyNumberFormat="1" applyFont="1" applyFill="1" applyBorder="1" applyAlignment="1">
      <alignment vertical="center"/>
    </xf>
    <xf numFmtId="0" fontId="11" fillId="0" borderId="23" xfId="0" applyFont="1" applyFill="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4" xfId="0" applyFont="1" applyBorder="1" applyAlignment="1">
      <alignment horizontal="left" vertical="center"/>
    </xf>
    <xf numFmtId="0" fontId="11" fillId="0" borderId="14" xfId="0" applyFont="1" applyFill="1" applyBorder="1" applyAlignment="1">
      <alignment vertical="center"/>
    </xf>
    <xf numFmtId="174" fontId="33" fillId="0" borderId="14" xfId="0" applyNumberFormat="1" applyFont="1" applyFill="1" applyBorder="1" applyAlignment="1">
      <alignment vertical="center"/>
    </xf>
    <xf numFmtId="174" fontId="11" fillId="0" borderId="19" xfId="0" applyNumberFormat="1" applyFont="1" applyFill="1" applyBorder="1" applyAlignment="1">
      <alignment vertical="center"/>
    </xf>
    <xf numFmtId="174" fontId="23" fillId="9" borderId="61" xfId="0" applyNumberFormat="1" applyFont="1" applyFill="1" applyBorder="1" applyAlignment="1" applyProtection="1">
      <alignment vertical="center"/>
      <protection locked="0"/>
    </xf>
    <xf numFmtId="174" fontId="12" fillId="0" borderId="22" xfId="0" applyNumberFormat="1" applyFont="1" applyFill="1" applyBorder="1" applyAlignment="1">
      <alignment horizontal="center" vertical="center"/>
    </xf>
    <xf numFmtId="174" fontId="12" fillId="0" borderId="0" xfId="0" applyNumberFormat="1" applyFont="1" applyFill="1" applyBorder="1" applyAlignment="1">
      <alignment horizontal="center" vertical="center"/>
    </xf>
    <xf numFmtId="174" fontId="23" fillId="9" borderId="79" xfId="0" applyNumberFormat="1" applyFont="1" applyFill="1" applyBorder="1" applyAlignment="1" applyProtection="1">
      <alignment vertical="center"/>
      <protection locked="0"/>
    </xf>
    <xf numFmtId="0" fontId="23" fillId="9" borderId="80" xfId="0" applyFont="1" applyFill="1" applyBorder="1" applyAlignment="1" applyProtection="1">
      <alignment vertical="center"/>
      <protection locked="0"/>
    </xf>
    <xf numFmtId="174" fontId="23" fillId="0" borderId="22" xfId="0" applyNumberFormat="1" applyFont="1" applyFill="1" applyBorder="1" applyAlignment="1" applyProtection="1">
      <alignment vertical="center"/>
      <protection locked="0"/>
    </xf>
    <xf numFmtId="174" fontId="23" fillId="0" borderId="0" xfId="0" applyNumberFormat="1" applyFont="1" applyFill="1" applyBorder="1" applyAlignment="1" applyProtection="1">
      <alignment vertical="center"/>
      <protection locked="0"/>
    </xf>
    <xf numFmtId="0" fontId="11" fillId="0" borderId="0" xfId="0" applyFont="1" applyFill="1" applyBorder="1" applyAlignment="1">
      <alignment horizontal="left" vertical="center"/>
    </xf>
    <xf numFmtId="174" fontId="11" fillId="0" borderId="0" xfId="0" applyNumberFormat="1" applyFont="1" applyFill="1" applyBorder="1" applyAlignment="1" applyProtection="1">
      <alignment vertical="center"/>
      <protection locked="0"/>
    </xf>
    <xf numFmtId="174" fontId="11" fillId="0" borderId="22" xfId="0" applyNumberFormat="1" applyFont="1" applyFill="1" applyBorder="1" applyAlignment="1" applyProtection="1">
      <alignment vertical="center"/>
      <protection locked="0"/>
    </xf>
    <xf numFmtId="174" fontId="23" fillId="9" borderId="63" xfId="0" applyNumberFormat="1" applyFont="1" applyFill="1" applyBorder="1" applyAlignment="1" applyProtection="1">
      <alignment vertical="center"/>
      <protection locked="0"/>
    </xf>
    <xf numFmtId="174" fontId="11" fillId="11" borderId="51" xfId="0" applyNumberFormat="1" applyFont="1" applyFill="1" applyBorder="1" applyAlignment="1" applyProtection="1">
      <alignment vertical="center"/>
      <protection locked="0"/>
    </xf>
    <xf numFmtId="174" fontId="12" fillId="0" borderId="22" xfId="0" applyNumberFormat="1" applyFont="1" applyFill="1" applyBorder="1" applyAlignment="1" applyProtection="1">
      <alignment vertical="center"/>
    </xf>
    <xf numFmtId="174" fontId="12" fillId="0" borderId="0" xfId="0" applyNumberFormat="1" applyFont="1" applyFill="1" applyBorder="1" applyAlignment="1" applyProtection="1">
      <alignment vertical="center"/>
    </xf>
    <xf numFmtId="174" fontId="23" fillId="0" borderId="61" xfId="0" applyNumberFormat="1" applyFont="1" applyFill="1" applyBorder="1" applyAlignment="1" applyProtection="1">
      <alignment vertical="center"/>
      <protection locked="0"/>
    </xf>
    <xf numFmtId="0" fontId="12" fillId="0" borderId="0" xfId="0" applyFont="1" applyBorder="1" applyAlignment="1" applyProtection="1">
      <alignment horizontal="left" vertical="center"/>
    </xf>
    <xf numFmtId="0" fontId="12" fillId="0" borderId="81" xfId="0" applyFont="1" applyBorder="1" applyAlignment="1">
      <alignment horizontal="center" vertical="center" wrapText="1"/>
    </xf>
    <xf numFmtId="0" fontId="12" fillId="0" borderId="82" xfId="0" applyFont="1" applyBorder="1" applyAlignment="1">
      <alignment horizontal="center" vertical="center" wrapText="1"/>
    </xf>
    <xf numFmtId="178" fontId="12"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174" fontId="11" fillId="0" borderId="33" xfId="0" applyNumberFormat="1" applyFont="1" applyFill="1" applyBorder="1" applyAlignment="1" applyProtection="1">
      <alignment vertical="center"/>
    </xf>
    <xf numFmtId="174" fontId="11" fillId="0" borderId="61" xfId="0" applyNumberFormat="1" applyFont="1" applyFill="1" applyBorder="1" applyAlignment="1" applyProtection="1">
      <alignment vertical="center"/>
    </xf>
    <xf numFmtId="0" fontId="10" fillId="0" borderId="32" xfId="28" applyFont="1" applyFill="1" applyBorder="1" applyAlignment="1" applyProtection="1">
      <alignment horizontal="center" vertical="center"/>
    </xf>
    <xf numFmtId="0" fontId="26" fillId="0" borderId="0" xfId="0" applyFont="1" applyBorder="1"/>
    <xf numFmtId="0" fontId="16" fillId="9" borderId="28" xfId="28" applyFont="1" applyFill="1" applyBorder="1" applyAlignment="1" applyProtection="1">
      <alignment horizontal="center" vertical="center"/>
      <protection locked="0"/>
    </xf>
    <xf numFmtId="1" fontId="10" fillId="0" borderId="23" xfId="25" applyNumberFormat="1" applyFont="1" applyBorder="1" applyProtection="1"/>
    <xf numFmtId="0" fontId="8" fillId="0" borderId="22" xfId="28" applyFont="1" applyFill="1" applyBorder="1" applyAlignment="1" applyProtection="1">
      <alignment horizontal="center" vertical="center"/>
    </xf>
    <xf numFmtId="168" fontId="11" fillId="2" borderId="68" xfId="0" applyNumberFormat="1" applyFont="1" applyFill="1" applyBorder="1" applyAlignment="1" applyProtection="1">
      <alignment horizontal="right"/>
    </xf>
    <xf numFmtId="168" fontId="11"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5"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60" fillId="0" borderId="0" xfId="0" applyNumberFormat="1" applyFont="1" applyAlignment="1">
      <alignment horizontal="left"/>
    </xf>
    <xf numFmtId="17" fontId="56" fillId="0" borderId="0" xfId="0" quotePrefix="1" applyNumberFormat="1" applyFont="1"/>
    <xf numFmtId="0" fontId="56" fillId="0" borderId="0" xfId="0" applyFont="1"/>
    <xf numFmtId="49" fontId="62" fillId="0" borderId="0" xfId="0" applyNumberFormat="1" applyFont="1" applyAlignment="1">
      <alignment horizontal="left"/>
    </xf>
    <xf numFmtId="49" fontId="61" fillId="0" borderId="0" xfId="0" applyNumberFormat="1" applyFont="1" applyAlignment="1">
      <alignment horizontal="left"/>
    </xf>
    <xf numFmtId="0" fontId="61" fillId="7" borderId="0" xfId="0" applyFont="1" applyFill="1" applyAlignment="1">
      <alignment horizontal="center" vertical="center" wrapText="1"/>
    </xf>
    <xf numFmtId="0" fontId="61" fillId="7" borderId="0" xfId="0" applyFont="1" applyFill="1" applyAlignment="1">
      <alignment horizontal="left" vertical="center" wrapText="1"/>
    </xf>
    <xf numFmtId="49" fontId="63" fillId="22" borderId="0" xfId="0" applyNumberFormat="1" applyFont="1" applyFill="1" applyAlignment="1" applyProtection="1">
      <alignment horizontal="left" vertical="center" wrapText="1"/>
      <protection locked="0"/>
    </xf>
    <xf numFmtId="10" fontId="56" fillId="17" borderId="0" xfId="33" applyNumberFormat="1" applyFont="1" applyFill="1" applyAlignment="1" applyProtection="1">
      <alignment horizontal="center"/>
      <protection locked="0"/>
    </xf>
    <xf numFmtId="179" fontId="56" fillId="17" borderId="0" xfId="0" quotePrefix="1" applyNumberFormat="1" applyFont="1" applyFill="1" applyAlignment="1" applyProtection="1">
      <alignment horizontal="center"/>
      <protection locked="0"/>
    </xf>
    <xf numFmtId="179" fontId="56" fillId="17" borderId="0" xfId="0" applyNumberFormat="1" applyFont="1" applyFill="1" applyAlignment="1" applyProtection="1">
      <alignment horizontal="center"/>
      <protection locked="0"/>
    </xf>
    <xf numFmtId="0" fontId="61" fillId="20" borderId="0" xfId="0" applyFont="1" applyFill="1" applyBorder="1" applyAlignment="1">
      <alignment horizontal="center" vertical="center"/>
    </xf>
    <xf numFmtId="0" fontId="61" fillId="0" borderId="0" xfId="0" applyFont="1" applyAlignment="1">
      <alignment vertical="center"/>
    </xf>
    <xf numFmtId="0" fontId="56" fillId="5" borderId="0" xfId="7" applyNumberFormat="1" applyFont="1" applyFill="1" applyAlignment="1" applyProtection="1">
      <alignment horizontal="center" vertical="center"/>
      <protection locked="0"/>
    </xf>
    <xf numFmtId="181" fontId="56" fillId="5" borderId="0" xfId="7" applyNumberFormat="1" applyFont="1" applyFill="1" applyAlignment="1" applyProtection="1">
      <alignment horizontal="center" vertical="center"/>
      <protection locked="0"/>
    </xf>
    <xf numFmtId="180" fontId="56" fillId="5" borderId="0" xfId="0" applyNumberFormat="1" applyFont="1" applyFill="1" applyAlignment="1" applyProtection="1">
      <alignment horizontal="center" vertical="center"/>
      <protection locked="0"/>
    </xf>
    <xf numFmtId="0" fontId="63" fillId="0" borderId="0" xfId="0" applyFont="1"/>
    <xf numFmtId="0" fontId="64" fillId="7" borderId="0" xfId="0" applyFont="1" applyFill="1" applyAlignment="1">
      <alignment horizontal="center" vertical="center" wrapText="1"/>
    </xf>
    <xf numFmtId="0" fontId="64" fillId="7" borderId="0" xfId="0" applyFont="1" applyFill="1" applyAlignment="1">
      <alignment vertical="center" wrapText="1"/>
    </xf>
    <xf numFmtId="183" fontId="63" fillId="21" borderId="0" xfId="0" applyNumberFormat="1" applyFont="1" applyFill="1" applyAlignment="1">
      <alignment horizontal="center" vertical="center"/>
    </xf>
    <xf numFmtId="0" fontId="65" fillId="0" borderId="0" xfId="0" applyFont="1" applyAlignment="1">
      <alignment wrapText="1"/>
    </xf>
    <xf numFmtId="0" fontId="66" fillId="0" borderId="0" xfId="0" applyFont="1"/>
    <xf numFmtId="0" fontId="67" fillId="0" borderId="0" xfId="0" applyFont="1"/>
    <xf numFmtId="0" fontId="69" fillId="0" borderId="0" xfId="0" applyFont="1" applyAlignment="1">
      <alignment horizontal="center"/>
    </xf>
    <xf numFmtId="0" fontId="68" fillId="0" borderId="0" xfId="0" applyFont="1"/>
    <xf numFmtId="0" fontId="67" fillId="23" borderId="0" xfId="0" applyFont="1" applyFill="1" applyAlignment="1">
      <alignment horizontal="right"/>
    </xf>
    <xf numFmtId="0" fontId="69" fillId="0" borderId="61" xfId="0" applyFont="1" applyBorder="1"/>
    <xf numFmtId="0" fontId="67" fillId="0" borderId="25" xfId="0" applyFont="1" applyBorder="1"/>
    <xf numFmtId="0" fontId="70" fillId="0" borderId="61" xfId="0" applyFont="1" applyBorder="1"/>
    <xf numFmtId="0" fontId="65" fillId="0" borderId="0" xfId="0" applyFont="1"/>
    <xf numFmtId="0" fontId="67" fillId="0" borderId="0" xfId="0" applyFont="1" applyAlignment="1">
      <alignment wrapText="1"/>
    </xf>
    <xf numFmtId="49" fontId="71" fillId="24" borderId="0" xfId="0" applyNumberFormat="1" applyFont="1" applyFill="1" applyAlignment="1">
      <alignment horizontal="center" vertical="center" wrapText="1"/>
    </xf>
    <xf numFmtId="49" fontId="71" fillId="24" borderId="0" xfId="0" applyNumberFormat="1" applyFont="1" applyFill="1" applyAlignment="1">
      <alignment horizontal="left" vertical="center" wrapText="1"/>
    </xf>
    <xf numFmtId="182" fontId="0" fillId="22" borderId="0" xfId="0" applyNumberFormat="1" applyFill="1" applyAlignment="1" applyProtection="1">
      <alignment horizontal="center" vertical="center"/>
      <protection locked="0"/>
    </xf>
    <xf numFmtId="0" fontId="72" fillId="0" borderId="84" xfId="0" applyFont="1" applyBorder="1" applyAlignment="1" applyProtection="1">
      <alignment vertical="center"/>
      <protection locked="0"/>
    </xf>
    <xf numFmtId="0" fontId="67" fillId="0" borderId="0" xfId="0" applyFont="1" applyAlignment="1"/>
    <xf numFmtId="0" fontId="68" fillId="0" borderId="0" xfId="0" applyFont="1" applyFill="1" applyBorder="1"/>
    <xf numFmtId="0" fontId="4" fillId="0" borderId="0" xfId="12" applyFont="1" applyFill="1" applyBorder="1" applyAlignment="1">
      <alignment wrapText="1"/>
    </xf>
    <xf numFmtId="0" fontId="68" fillId="0" borderId="0" xfId="0" applyFont="1" applyFill="1" applyBorder="1" applyAlignment="1">
      <alignment wrapText="1"/>
    </xf>
    <xf numFmtId="0" fontId="68" fillId="0" borderId="0" xfId="0" applyFont="1" applyFill="1" applyBorder="1" applyAlignment="1"/>
    <xf numFmtId="0" fontId="76" fillId="0" borderId="0" xfId="12" quotePrefix="1" applyFont="1" applyFill="1" applyBorder="1" applyAlignment="1">
      <alignment wrapText="1"/>
    </xf>
    <xf numFmtId="0" fontId="76" fillId="0" borderId="0" xfId="12" applyFont="1" applyFill="1" applyBorder="1" applyAlignment="1">
      <alignment wrapText="1"/>
    </xf>
    <xf numFmtId="10" fontId="76"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56" fillId="5" borderId="0" xfId="33" applyNumberFormat="1" applyFont="1" applyFill="1" applyAlignment="1" applyProtection="1">
      <alignment horizontal="center" vertical="center" wrapText="1"/>
      <protection locked="0"/>
    </xf>
    <xf numFmtId="0" fontId="1" fillId="0" borderId="3" xfId="0" applyFont="1" applyBorder="1" applyAlignment="1">
      <alignment vertical="top" wrapText="1"/>
    </xf>
    <xf numFmtId="0" fontId="61" fillId="0" borderId="0" xfId="0" applyFont="1" applyAlignment="1">
      <alignment horizontal="left"/>
    </xf>
    <xf numFmtId="49" fontId="77" fillId="0" borderId="0" xfId="0" applyNumberFormat="1" applyFont="1" applyAlignment="1">
      <alignment horizontal="left" vertical="center"/>
    </xf>
    <xf numFmtId="0" fontId="0" fillId="0" borderId="9" xfId="0" applyBorder="1" applyAlignment="1">
      <alignment horizontal="left"/>
    </xf>
    <xf numFmtId="0" fontId="0" fillId="0" borderId="18" xfId="0" applyBorder="1"/>
    <xf numFmtId="0" fontId="1" fillId="0" borderId="6" xfId="0" applyFont="1" applyBorder="1"/>
    <xf numFmtId="2" fontId="0" fillId="0" borderId="8" xfId="0" applyNumberFormat="1" applyBorder="1"/>
    <xf numFmtId="0" fontId="0" fillId="25" borderId="0" xfId="0" applyFill="1" applyBorder="1"/>
    <xf numFmtId="0" fontId="0" fillId="25" borderId="1" xfId="0" applyFill="1" applyBorder="1"/>
    <xf numFmtId="0" fontId="0" fillId="25" borderId="2" xfId="0" applyFill="1" applyBorder="1"/>
    <xf numFmtId="0" fontId="0" fillId="25" borderId="3" xfId="0" applyFill="1" applyBorder="1"/>
    <xf numFmtId="0" fontId="78" fillId="0" borderId="0" xfId="0" applyFont="1"/>
    <xf numFmtId="0" fontId="0" fillId="19" borderId="1" xfId="0" applyFill="1" applyBorder="1"/>
    <xf numFmtId="0" fontId="0" fillId="19" borderId="2" xfId="0" applyFill="1" applyBorder="1"/>
    <xf numFmtId="0" fontId="0" fillId="19" borderId="3" xfId="0" applyFill="1" applyBorder="1"/>
    <xf numFmtId="2" fontId="0" fillId="20" borderId="10" xfId="0" applyNumberFormat="1" applyFill="1" applyBorder="1"/>
    <xf numFmtId="2" fontId="0" fillId="20" borderId="12" xfId="0" applyNumberFormat="1" applyFill="1" applyBorder="1"/>
    <xf numFmtId="2" fontId="0" fillId="0" borderId="1" xfId="0" applyNumberFormat="1" applyFill="1" applyBorder="1" applyAlignment="1">
      <alignment vertical="center"/>
    </xf>
    <xf numFmtId="2" fontId="1" fillId="0" borderId="2" xfId="0" quotePrefix="1" applyNumberFormat="1" applyFont="1" applyFill="1" applyBorder="1" applyAlignment="1">
      <alignment vertical="center"/>
    </xf>
    <xf numFmtId="2" fontId="1" fillId="0" borderId="3" xfId="0" quotePrefix="1" applyNumberFormat="1" applyFont="1" applyFill="1" applyBorder="1" applyAlignment="1">
      <alignment vertical="center"/>
    </xf>
    <xf numFmtId="0" fontId="0" fillId="0" borderId="0" xfId="0" applyFill="1" applyAlignment="1">
      <alignment vertical="center"/>
    </xf>
    <xf numFmtId="9" fontId="0" fillId="0" borderId="0" xfId="33" applyFont="1" applyFill="1" applyAlignment="1">
      <alignment vertical="center"/>
    </xf>
    <xf numFmtId="0" fontId="0" fillId="26" borderId="0" xfId="0" applyFill="1" applyBorder="1"/>
    <xf numFmtId="10" fontId="1" fillId="0" borderId="2" xfId="33" applyNumberFormat="1" applyFont="1" applyBorder="1" applyAlignment="1">
      <alignment vertical="top" wrapText="1"/>
    </xf>
    <xf numFmtId="10" fontId="0" fillId="0" borderId="0" xfId="0" applyNumberFormat="1"/>
    <xf numFmtId="10" fontId="1" fillId="0" borderId="3" xfId="33" applyNumberFormat="1" applyFont="1" applyBorder="1" applyAlignment="1">
      <alignment vertical="top" wrapText="1"/>
    </xf>
    <xf numFmtId="1" fontId="12" fillId="0" borderId="22"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0" fillId="0" borderId="39" xfId="0" applyFont="1" applyBorder="1" applyAlignment="1">
      <alignment horizontal="center" vertical="center"/>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2" fillId="0" borderId="32" xfId="0" applyFont="1" applyBorder="1" applyAlignment="1">
      <alignment horizontal="center" vertical="center" wrapText="1"/>
    </xf>
    <xf numFmtId="0" fontId="4" fillId="0" borderId="0" xfId="0" applyFont="1"/>
    <xf numFmtId="0" fontId="4" fillId="0" borderId="45" xfId="16" applyFont="1" applyBorder="1" applyAlignment="1" applyProtection="1">
      <alignment horizontal="center" vertical="center" wrapText="1"/>
    </xf>
    <xf numFmtId="0" fontId="4" fillId="0" borderId="30" xfId="16" applyFont="1" applyBorder="1" applyAlignment="1" applyProtection="1">
      <alignment horizontal="center" vertical="center" wrapText="1"/>
    </xf>
    <xf numFmtId="0" fontId="4" fillId="0" borderId="29" xfId="16" applyFont="1" applyBorder="1" applyAlignment="1" applyProtection="1">
      <alignment horizontal="center" vertical="center" wrapText="1"/>
    </xf>
    <xf numFmtId="0" fontId="4" fillId="0" borderId="65" xfId="16" applyFont="1" applyBorder="1" applyAlignment="1" applyProtection="1">
      <alignment horizontal="center" vertical="center" wrapText="1"/>
    </xf>
    <xf numFmtId="0" fontId="4" fillId="0" borderId="38" xfId="16" applyFont="1" applyBorder="1" applyAlignment="1" applyProtection="1">
      <alignment horizontal="center" vertical="center" wrapText="1"/>
    </xf>
    <xf numFmtId="0" fontId="4" fillId="0" borderId="31" xfId="16" applyFont="1" applyBorder="1" applyAlignment="1" applyProtection="1">
      <alignment horizontal="center" vertical="center" wrapText="1"/>
    </xf>
    <xf numFmtId="0" fontId="4" fillId="0" borderId="44" xfId="16" applyFont="1" applyBorder="1" applyAlignment="1" applyProtection="1">
      <alignment horizontal="center" vertical="center" wrapText="1"/>
    </xf>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1" fillId="0" borderId="53" xfId="16" applyFont="1" applyBorder="1" applyAlignment="1" applyProtection="1">
      <alignment horizontal="center" vertical="center"/>
    </xf>
    <xf numFmtId="0" fontId="1" fillId="0" borderId="15" xfId="16" applyFont="1" applyBorder="1" applyAlignment="1" applyProtection="1">
      <alignment horizontal="center" vertical="center"/>
    </xf>
    <xf numFmtId="0" fontId="1" fillId="0" borderId="54" xfId="16" applyFont="1" applyBorder="1" applyAlignment="1" applyProtection="1">
      <alignment horizontal="center" vertical="center"/>
    </xf>
    <xf numFmtId="0" fontId="4" fillId="0" borderId="17" xfId="16" applyFont="1" applyBorder="1" applyAlignment="1" applyProtection="1">
      <alignment horizontal="left" vertical="center" wrapText="1"/>
    </xf>
    <xf numFmtId="0" fontId="1" fillId="0" borderId="17" xfId="16" applyFont="1" applyBorder="1" applyAlignment="1" applyProtection="1">
      <alignment horizontal="center" vertical="center"/>
    </xf>
    <xf numFmtId="0" fontId="1" fillId="0" borderId="51" xfId="16" applyFont="1" applyBorder="1" applyProtection="1"/>
    <xf numFmtId="0" fontId="1" fillId="0" borderId="18" xfId="16" applyFont="1" applyBorder="1" applyProtection="1"/>
    <xf numFmtId="0" fontId="1" fillId="0" borderId="52" xfId="16" applyFont="1"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4" fillId="9" borderId="27" xfId="16" applyNumberFormat="1" applyFont="1" applyFill="1" applyBorder="1" applyAlignment="1" applyProtection="1">
      <alignment horizontal="center" vertical="center"/>
      <protection locked="0"/>
    </xf>
    <xf numFmtId="1" fontId="24" fillId="9" borderId="5" xfId="16" applyNumberFormat="1" applyFont="1" applyFill="1" applyBorder="1" applyAlignment="1" applyProtection="1">
      <alignment horizontal="center" vertical="center"/>
      <protection locked="0"/>
    </xf>
    <xf numFmtId="1" fontId="24" fillId="9" borderId="28" xfId="16" applyNumberFormat="1" applyFont="1" applyFill="1" applyBorder="1" applyAlignment="1" applyProtection="1">
      <alignment horizontal="center" vertical="center"/>
      <protection locked="0"/>
    </xf>
    <xf numFmtId="1" fontId="24"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1" fillId="0" borderId="0" xfId="16" applyNumberFormat="1" applyFont="1" applyBorder="1" applyAlignment="1" applyProtection="1">
      <alignment horizontal="center" vertical="center"/>
    </xf>
    <xf numFmtId="1" fontId="1" fillId="0" borderId="22" xfId="16" applyNumberFormat="1" applyFont="1" applyBorder="1" applyAlignment="1" applyProtection="1">
      <alignment horizontal="center" vertical="center"/>
    </xf>
    <xf numFmtId="1" fontId="24" fillId="9" borderId="55" xfId="16" applyNumberFormat="1" applyFont="1" applyFill="1" applyBorder="1" applyAlignment="1" applyProtection="1">
      <alignment horizontal="center" vertical="center"/>
      <protection locked="0"/>
    </xf>
    <xf numFmtId="1" fontId="24" fillId="9" borderId="8" xfId="16" applyNumberFormat="1" applyFont="1" applyFill="1" applyBorder="1" applyAlignment="1" applyProtection="1">
      <alignment horizontal="center" vertical="center"/>
      <protection locked="0"/>
    </xf>
    <xf numFmtId="1" fontId="24" fillId="9" borderId="56" xfId="16" applyNumberFormat="1" applyFont="1" applyFill="1" applyBorder="1" applyAlignment="1" applyProtection="1">
      <alignment horizontal="center" vertical="center"/>
      <protection locked="0"/>
    </xf>
    <xf numFmtId="1" fontId="24"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1" fillId="10" borderId="5" xfId="16" applyNumberFormat="1" applyFont="1" applyFill="1" applyBorder="1" applyAlignment="1" applyProtection="1">
      <alignment horizontal="center" vertical="center"/>
    </xf>
    <xf numFmtId="0" fontId="1" fillId="0" borderId="43" xfId="16" applyFont="1" applyBorder="1" applyAlignment="1" applyProtection="1">
      <alignment horizontal="center" vertical="center"/>
    </xf>
    <xf numFmtId="0" fontId="1" fillId="0" borderId="16" xfId="16" applyFont="1" applyBorder="1" applyAlignment="1" applyProtection="1">
      <alignment horizontal="center" vertical="center"/>
    </xf>
    <xf numFmtId="0" fontId="1" fillId="0" borderId="44" xfId="16" applyFont="1" applyBorder="1" applyAlignment="1" applyProtection="1">
      <alignment horizontal="center" vertical="center"/>
    </xf>
    <xf numFmtId="0" fontId="1" fillId="0" borderId="43" xfId="16" applyFont="1" applyFill="1" applyBorder="1" applyAlignment="1" applyProtection="1">
      <alignment horizontal="center" vertical="center"/>
    </xf>
    <xf numFmtId="0" fontId="18" fillId="0" borderId="0" xfId="0" applyFont="1" applyProtection="1"/>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167" fontId="1" fillId="10" borderId="49" xfId="16" applyNumberFormat="1" applyFont="1" applyFill="1" applyBorder="1" applyAlignment="1" applyProtection="1">
      <alignment horizontal="center" vertical="center"/>
    </xf>
    <xf numFmtId="167" fontId="1" fillId="10" borderId="3" xfId="16" applyNumberFormat="1" applyFont="1" applyFill="1" applyBorder="1" applyAlignment="1" applyProtection="1">
      <alignment horizontal="center" vertical="center"/>
    </xf>
    <xf numFmtId="167" fontId="1" fillId="10" borderId="57" xfId="16" applyNumberFormat="1" applyFon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9" applyFont="1" applyProtection="1"/>
    <xf numFmtId="0" fontId="4" fillId="0" borderId="34" xfId="19" applyFont="1" applyBorder="1" applyProtection="1"/>
    <xf numFmtId="0" fontId="4" fillId="0" borderId="69" xfId="19" applyFont="1" applyBorder="1" applyAlignment="1" applyProtection="1">
      <alignment horizontal="centerContinuous" vertical="center"/>
    </xf>
    <xf numFmtId="0" fontId="4" fillId="0" borderId="48" xfId="19" applyFont="1" applyBorder="1" applyAlignment="1" applyProtection="1">
      <alignment horizontal="centerContinuous" vertical="center"/>
    </xf>
    <xf numFmtId="0" fontId="4" fillId="0" borderId="67" xfId="19" applyFont="1" applyBorder="1" applyAlignment="1" applyProtection="1">
      <alignment horizontal="centerContinuous" vertical="center"/>
    </xf>
    <xf numFmtId="0" fontId="4" fillId="0" borderId="81" xfId="19" applyFont="1" applyBorder="1" applyAlignment="1" applyProtection="1">
      <alignment horizontal="centerContinuous" vertical="center"/>
    </xf>
    <xf numFmtId="0" fontId="4" fillId="0" borderId="82" xfId="19" applyFont="1" applyBorder="1" applyAlignment="1" applyProtection="1">
      <alignment horizontal="centerContinuous" vertical="center"/>
    </xf>
    <xf numFmtId="0" fontId="4" fillId="0" borderId="49" xfId="19" applyFont="1" applyBorder="1" applyAlignment="1" applyProtection="1">
      <alignment horizontal="center" vertical="center" wrapText="1"/>
    </xf>
    <xf numFmtId="0" fontId="4" fillId="0" borderId="3" xfId="19" applyFont="1" applyBorder="1" applyAlignment="1" applyProtection="1">
      <alignment horizontal="center" vertical="center" wrapText="1"/>
    </xf>
    <xf numFmtId="0" fontId="4" fillId="0" borderId="57" xfId="19" applyFont="1" applyBorder="1" applyAlignment="1" applyProtection="1">
      <alignment horizontal="center" vertical="center" wrapText="1"/>
    </xf>
    <xf numFmtId="0" fontId="4" fillId="0" borderId="12" xfId="19" applyFont="1" applyBorder="1" applyAlignment="1" applyProtection="1">
      <alignment horizontal="center" vertical="center" wrapText="1"/>
    </xf>
    <xf numFmtId="0" fontId="4" fillId="0" borderId="27" xfId="19" applyFont="1" applyBorder="1" applyAlignment="1" applyProtection="1">
      <alignment horizontal="center" vertical="center" wrapText="1"/>
    </xf>
    <xf numFmtId="0" fontId="4" fillId="0" borderId="4" xfId="19" applyFont="1" applyBorder="1" applyAlignment="1" applyProtection="1">
      <alignment horizontal="center" vertical="center" wrapText="1"/>
    </xf>
    <xf numFmtId="0" fontId="4" fillId="0" borderId="28" xfId="19" applyFont="1" applyBorder="1" applyAlignment="1" applyProtection="1">
      <alignment horizontal="center" vertical="center" wrapText="1"/>
    </xf>
    <xf numFmtId="0" fontId="1" fillId="0" borderId="50" xfId="19" applyNumberFormat="1" applyFont="1" applyBorder="1" applyAlignment="1" applyProtection="1">
      <alignment horizontal="center" wrapText="1"/>
    </xf>
    <xf numFmtId="167" fontId="1" fillId="15" borderId="12" xfId="19" applyNumberFormat="1" applyFont="1" applyFill="1" applyBorder="1" applyAlignment="1" applyProtection="1">
      <alignment horizontal="center" vertical="center"/>
    </xf>
    <xf numFmtId="167" fontId="1" fillId="15" borderId="57" xfId="19" applyNumberFormat="1" applyFont="1" applyFill="1" applyBorder="1" applyAlignment="1" applyProtection="1">
      <alignment horizontal="center" vertical="center"/>
    </xf>
    <xf numFmtId="167" fontId="1" fillId="15" borderId="3" xfId="19" applyNumberFormat="1" applyFont="1" applyFill="1" applyBorder="1" applyAlignment="1" applyProtection="1">
      <alignment horizontal="center" vertical="center"/>
    </xf>
    <xf numFmtId="167" fontId="1" fillId="15" borderId="49" xfId="19" applyNumberFormat="1" applyFont="1" applyFill="1" applyBorder="1" applyAlignment="1" applyProtection="1">
      <alignment horizontal="center" vertical="center"/>
    </xf>
    <xf numFmtId="167" fontId="4" fillId="10" borderId="27" xfId="19" applyNumberFormat="1" applyFont="1" applyFill="1" applyBorder="1" applyAlignment="1" applyProtection="1">
      <alignment horizontal="center" vertical="center"/>
    </xf>
    <xf numFmtId="167" fontId="4" fillId="10" borderId="4" xfId="19" applyNumberFormat="1" applyFont="1" applyFill="1" applyBorder="1" applyAlignment="1" applyProtection="1">
      <alignment horizontal="center" vertical="center"/>
    </xf>
    <xf numFmtId="167" fontId="4" fillId="10" borderId="28" xfId="19" applyNumberFormat="1" applyFont="1" applyFill="1" applyBorder="1" applyAlignment="1" applyProtection="1">
      <alignment horizontal="center" vertical="center"/>
    </xf>
    <xf numFmtId="167" fontId="4" fillId="10" borderId="5" xfId="19" applyNumberFormat="1" applyFont="1" applyFill="1" applyBorder="1" applyAlignment="1" applyProtection="1">
      <alignment horizontal="center" vertical="center"/>
    </xf>
    <xf numFmtId="167" fontId="4" fillId="10" borderId="55" xfId="19" applyNumberFormat="1" applyFont="1" applyFill="1" applyBorder="1" applyAlignment="1" applyProtection="1">
      <alignment horizontal="center" vertical="center"/>
    </xf>
    <xf numFmtId="167" fontId="4" fillId="10" borderId="8" xfId="19" applyNumberFormat="1" applyFont="1" applyFill="1" applyBorder="1" applyAlignment="1" applyProtection="1">
      <alignment horizontal="center" vertical="center"/>
    </xf>
    <xf numFmtId="167" fontId="4" fillId="10" borderId="56" xfId="19" applyNumberFormat="1" applyFont="1" applyFill="1" applyBorder="1" applyAlignment="1" applyProtection="1">
      <alignment horizontal="center" vertical="center"/>
    </xf>
    <xf numFmtId="167" fontId="4" fillId="10" borderId="1" xfId="19" applyNumberFormat="1" applyFont="1" applyFill="1" applyBorder="1" applyAlignment="1" applyProtection="1">
      <alignment horizontal="center" vertical="center"/>
    </xf>
    <xf numFmtId="0" fontId="1" fillId="0" borderId="58" xfId="19" applyNumberFormat="1" applyFont="1" applyBorder="1" applyAlignment="1" applyProtection="1">
      <alignment horizontal="center" wrapText="1"/>
    </xf>
    <xf numFmtId="167" fontId="1" fillId="0" borderId="29" xfId="19" applyNumberFormat="1" applyFont="1" applyFill="1" applyBorder="1" applyAlignment="1" applyProtection="1">
      <alignment horizontal="center" vertical="center"/>
    </xf>
    <xf numFmtId="167" fontId="1" fillId="0" borderId="45" xfId="19" applyNumberFormat="1" applyFont="1" applyFill="1" applyBorder="1" applyAlignment="1" applyProtection="1">
      <alignment horizontal="center" vertical="center"/>
    </xf>
    <xf numFmtId="167" fontId="1" fillId="0" borderId="31" xfId="19" applyNumberFormat="1" applyFont="1" applyFill="1" applyBorder="1" applyAlignment="1" applyProtection="1">
      <alignment horizontal="center" vertical="center"/>
    </xf>
    <xf numFmtId="167" fontId="1" fillId="0" borderId="30" xfId="19" applyNumberFormat="1" applyFont="1" applyFill="1" applyBorder="1" applyAlignment="1" applyProtection="1">
      <alignment horizontal="center" vertical="center"/>
    </xf>
    <xf numFmtId="164" fontId="1" fillId="11" borderId="28" xfId="33" applyNumberFormat="1" applyFont="1" applyFill="1" applyBorder="1" applyAlignment="1" applyProtection="1">
      <alignment horizontal="center" vertical="center"/>
    </xf>
    <xf numFmtId="167" fontId="4" fillId="10" borderId="29" xfId="19" applyNumberFormat="1" applyFont="1" applyFill="1" applyBorder="1" applyAlignment="1" applyProtection="1">
      <alignment horizontal="center" vertical="center"/>
    </xf>
    <xf numFmtId="167" fontId="4" fillId="10" borderId="45" xfId="19" applyNumberFormat="1" applyFont="1" applyFill="1" applyBorder="1" applyAlignment="1" applyProtection="1">
      <alignment horizontal="center" vertical="center"/>
    </xf>
    <xf numFmtId="167" fontId="4" fillId="10" borderId="31" xfId="19" applyNumberFormat="1" applyFont="1" applyFill="1" applyBorder="1" applyAlignment="1" applyProtection="1">
      <alignment horizontal="center" vertical="center"/>
    </xf>
    <xf numFmtId="167" fontId="4" fillId="10" borderId="30" xfId="19" applyNumberFormat="1" applyFont="1" applyFill="1" applyBorder="1" applyAlignment="1" applyProtection="1">
      <alignment horizontal="center" vertical="center"/>
    </xf>
    <xf numFmtId="0" fontId="4" fillId="0" borderId="0" xfId="19" applyFont="1" applyFill="1" applyProtection="1"/>
    <xf numFmtId="0" fontId="1" fillId="0" borderId="0" xfId="19" applyNumberFormat="1" applyFont="1" applyAlignment="1" applyProtection="1">
      <alignment horizontal="center" wrapText="1"/>
    </xf>
    <xf numFmtId="0" fontId="4" fillId="0" borderId="17" xfId="19" applyFont="1" applyFill="1" applyBorder="1" applyAlignment="1" applyProtection="1">
      <alignment horizontal="left" indent="1"/>
    </xf>
    <xf numFmtId="0" fontId="1" fillId="0" borderId="9" xfId="19" applyNumberFormat="1" applyFont="1" applyBorder="1" applyAlignment="1" applyProtection="1">
      <alignment horizontal="center" wrapText="1"/>
    </xf>
    <xf numFmtId="167" fontId="1" fillId="11" borderId="27" xfId="19" applyNumberFormat="1" applyFont="1" applyFill="1" applyBorder="1" applyAlignment="1" applyProtection="1">
      <alignment horizontal="center" vertical="center"/>
      <protection locked="0"/>
    </xf>
    <xf numFmtId="167" fontId="1" fillId="11" borderId="5" xfId="19" applyNumberFormat="1" applyFont="1" applyFill="1" applyBorder="1" applyAlignment="1" applyProtection="1">
      <alignment horizontal="center" vertical="center"/>
      <protection locked="0"/>
    </xf>
    <xf numFmtId="167" fontId="1" fillId="11" borderId="28" xfId="19" applyNumberFormat="1" applyFont="1" applyFill="1" applyBorder="1" applyAlignment="1" applyProtection="1">
      <alignment horizontal="center" vertical="center"/>
      <protection locked="0"/>
    </xf>
    <xf numFmtId="167" fontId="1" fillId="15" borderId="5" xfId="19" applyNumberFormat="1" applyFont="1" applyFill="1" applyBorder="1" applyAlignment="1" applyProtection="1">
      <alignment horizontal="center" vertical="center"/>
      <protection locked="0"/>
    </xf>
    <xf numFmtId="167" fontId="1" fillId="15" borderId="4" xfId="19" applyNumberFormat="1" applyFont="1" applyFill="1" applyBorder="1" applyAlignment="1" applyProtection="1">
      <alignment horizontal="center" vertical="center"/>
      <protection locked="0"/>
    </xf>
    <xf numFmtId="167" fontId="1" fillId="15" borderId="28" xfId="19" applyNumberFormat="1" applyFont="1" applyFill="1" applyBorder="1" applyAlignment="1" applyProtection="1">
      <alignment horizontal="center" vertical="center"/>
      <protection locked="0"/>
    </xf>
    <xf numFmtId="0" fontId="4" fillId="0" borderId="17" xfId="19" applyFont="1" applyFill="1" applyBorder="1" applyAlignment="1" applyProtection="1">
      <alignment horizontal="left" wrapText="1" indent="2"/>
    </xf>
    <xf numFmtId="0" fontId="4" fillId="0" borderId="20" xfId="19" applyFont="1" applyBorder="1" applyAlignment="1" applyProtection="1">
      <alignment horizontal="left" wrapText="1" indent="2"/>
    </xf>
    <xf numFmtId="0" fontId="1" fillId="0" borderId="42" xfId="19" applyNumberFormat="1" applyFont="1" applyBorder="1" applyAlignment="1" applyProtection="1">
      <alignment horizontal="center" wrapText="1"/>
    </xf>
    <xf numFmtId="0" fontId="4" fillId="0" borderId="37" xfId="19" applyFont="1" applyBorder="1" applyProtection="1"/>
    <xf numFmtId="0" fontId="4" fillId="0" borderId="9" xfId="19" applyFont="1" applyBorder="1" applyAlignment="1" applyProtection="1">
      <alignment horizontal="center"/>
    </xf>
    <xf numFmtId="0" fontId="4" fillId="0" borderId="53" xfId="19" applyFont="1" applyBorder="1" applyAlignment="1" applyProtection="1">
      <alignment horizontal="center" vertical="center"/>
    </xf>
    <xf numFmtId="0" fontId="4" fillId="0" borderId="15" xfId="19" applyFont="1" applyBorder="1" applyAlignment="1" applyProtection="1">
      <alignment horizontal="center" vertical="center"/>
    </xf>
    <xf numFmtId="0" fontId="4" fillId="0" borderId="54" xfId="19" applyFont="1" applyBorder="1" applyAlignment="1" applyProtection="1">
      <alignment horizontal="center" vertical="center"/>
    </xf>
    <xf numFmtId="0" fontId="4" fillId="0" borderId="37" xfId="19" applyFont="1" applyBorder="1" applyAlignment="1" applyProtection="1">
      <alignment horizontal="left" indent="1"/>
    </xf>
    <xf numFmtId="0" fontId="4" fillId="0" borderId="17" xfId="19" applyFont="1" applyBorder="1" applyAlignment="1" applyProtection="1">
      <alignment horizontal="center" vertical="center"/>
    </xf>
    <xf numFmtId="0" fontId="4" fillId="0" borderId="0" xfId="19" applyFont="1" applyBorder="1" applyAlignment="1" applyProtection="1">
      <alignment horizontal="center" vertical="center"/>
    </xf>
    <xf numFmtId="0" fontId="4" fillId="0" borderId="22" xfId="19" applyFont="1" applyBorder="1" applyAlignment="1" applyProtection="1">
      <alignment horizontal="center" vertical="center"/>
    </xf>
    <xf numFmtId="0" fontId="1" fillId="0" borderId="37" xfId="19" applyFont="1" applyBorder="1" applyAlignment="1" applyProtection="1">
      <alignment horizontal="left" indent="2"/>
    </xf>
    <xf numFmtId="1" fontId="1" fillId="10" borderId="27" xfId="19" applyNumberFormat="1" applyFont="1" applyFill="1" applyBorder="1" applyAlignment="1" applyProtection="1">
      <alignment horizontal="center" vertical="center"/>
      <protection locked="0"/>
    </xf>
    <xf numFmtId="1" fontId="1" fillId="10" borderId="5" xfId="19" applyNumberFormat="1" applyFont="1" applyFill="1" applyBorder="1" applyAlignment="1" applyProtection="1">
      <alignment horizontal="center" vertical="center"/>
      <protection locked="0"/>
    </xf>
    <xf numFmtId="1" fontId="1" fillId="10" borderId="28" xfId="19" applyNumberFormat="1" applyFont="1" applyFill="1" applyBorder="1" applyAlignment="1" applyProtection="1">
      <alignment horizontal="center" vertical="center"/>
      <protection locked="0"/>
    </xf>
    <xf numFmtId="1" fontId="1" fillId="10" borderId="4" xfId="19" applyNumberFormat="1" applyFont="1" applyFill="1" applyBorder="1" applyAlignment="1" applyProtection="1">
      <alignment horizontal="center" vertical="center"/>
      <protection locked="0"/>
    </xf>
    <xf numFmtId="0" fontId="1" fillId="0" borderId="17" xfId="19" applyFont="1" applyBorder="1" applyAlignment="1" applyProtection="1">
      <alignment horizontal="left" indent="2"/>
    </xf>
    <xf numFmtId="0" fontId="4" fillId="0" borderId="37" xfId="19" applyFont="1" applyFill="1" applyBorder="1" applyAlignment="1" applyProtection="1">
      <alignment horizontal="left" indent="1"/>
    </xf>
    <xf numFmtId="1" fontId="4" fillId="0" borderId="17" xfId="19" applyNumberFormat="1" applyFont="1" applyBorder="1" applyAlignment="1" applyProtection="1">
      <alignment horizontal="center" vertical="center"/>
    </xf>
    <xf numFmtId="1" fontId="4" fillId="0" borderId="0" xfId="19" applyNumberFormat="1" applyFont="1" applyBorder="1" applyAlignment="1" applyProtection="1">
      <alignment horizontal="center" vertical="center"/>
    </xf>
    <xf numFmtId="1" fontId="4" fillId="0" borderId="22" xfId="19" applyNumberFormat="1" applyFont="1" applyBorder="1" applyAlignment="1" applyProtection="1">
      <alignment horizontal="center" vertical="center"/>
    </xf>
    <xf numFmtId="0" fontId="1" fillId="0" borderId="37" xfId="19" applyFont="1" applyFill="1" applyBorder="1" applyAlignment="1" applyProtection="1">
      <alignment horizontal="left" indent="2"/>
    </xf>
    <xf numFmtId="0" fontId="1" fillId="0" borderId="17" xfId="19" applyFont="1" applyFill="1" applyBorder="1" applyAlignment="1" applyProtection="1">
      <alignment horizontal="left" indent="2"/>
    </xf>
    <xf numFmtId="1" fontId="1" fillId="11" borderId="27" xfId="19" applyNumberFormat="1" applyFont="1" applyFill="1" applyBorder="1" applyAlignment="1" applyProtection="1">
      <alignment horizontal="center" vertical="center"/>
      <protection locked="0"/>
    </xf>
    <xf numFmtId="1" fontId="1" fillId="11" borderId="5" xfId="19" applyNumberFormat="1" applyFont="1" applyFill="1" applyBorder="1" applyAlignment="1" applyProtection="1">
      <alignment horizontal="center" vertical="center"/>
      <protection locked="0"/>
    </xf>
    <xf numFmtId="1" fontId="1" fillId="11" borderId="28" xfId="19" applyNumberFormat="1" applyFont="1" applyFill="1" applyBorder="1" applyAlignment="1" applyProtection="1">
      <alignment horizontal="center" vertical="center"/>
      <protection locked="0"/>
    </xf>
    <xf numFmtId="1" fontId="1" fillId="0" borderId="17" xfId="19" applyNumberFormat="1" applyFont="1" applyBorder="1" applyAlignment="1" applyProtection="1">
      <alignment horizontal="center" vertical="center"/>
    </xf>
    <xf numFmtId="1" fontId="1" fillId="0" borderId="0" xfId="19" applyNumberFormat="1" applyFont="1" applyBorder="1" applyAlignment="1" applyProtection="1">
      <alignment horizontal="center" vertical="center"/>
    </xf>
    <xf numFmtId="1" fontId="1" fillId="0" borderId="22" xfId="19" applyNumberFormat="1" applyFont="1" applyBorder="1" applyAlignment="1" applyProtection="1">
      <alignment horizontal="center" vertical="center"/>
    </xf>
    <xf numFmtId="1" fontId="1" fillId="10" borderId="55" xfId="19" applyNumberFormat="1" applyFont="1" applyFill="1" applyBorder="1" applyAlignment="1" applyProtection="1">
      <alignment horizontal="center" vertical="center"/>
      <protection locked="0"/>
    </xf>
    <xf numFmtId="1" fontId="1" fillId="10" borderId="8" xfId="19" applyNumberFormat="1" applyFont="1" applyFill="1" applyBorder="1" applyAlignment="1" applyProtection="1">
      <alignment horizontal="center" vertical="center"/>
      <protection locked="0"/>
    </xf>
    <xf numFmtId="1" fontId="1" fillId="10" borderId="56" xfId="19" applyNumberFormat="1" applyFont="1" applyFill="1" applyBorder="1" applyAlignment="1" applyProtection="1">
      <alignment horizontal="center" vertical="center"/>
      <protection locked="0"/>
    </xf>
    <xf numFmtId="1" fontId="1" fillId="10" borderId="1" xfId="19" applyNumberFormat="1" applyFont="1" applyFill="1" applyBorder="1" applyAlignment="1" applyProtection="1">
      <alignment horizontal="center" vertical="center"/>
      <protection locked="0"/>
    </xf>
    <xf numFmtId="1" fontId="1" fillId="11" borderId="55" xfId="19" applyNumberFormat="1" applyFont="1" applyFill="1" applyBorder="1" applyAlignment="1" applyProtection="1">
      <alignment horizontal="center" vertical="center"/>
      <protection locked="0"/>
    </xf>
    <xf numFmtId="1" fontId="1" fillId="11" borderId="8" xfId="19" applyNumberFormat="1" applyFont="1" applyFill="1" applyBorder="1" applyAlignment="1" applyProtection="1">
      <alignment horizontal="center" vertical="center"/>
      <protection locked="0"/>
    </xf>
    <xf numFmtId="1" fontId="1" fillId="11" borderId="56" xfId="19" applyNumberFormat="1" applyFont="1" applyFill="1" applyBorder="1" applyAlignment="1" applyProtection="1">
      <alignment horizontal="center" vertical="center"/>
      <protection locked="0"/>
    </xf>
    <xf numFmtId="0" fontId="4" fillId="0" borderId="40" xfId="19" applyFont="1" applyBorder="1" applyAlignment="1" applyProtection="1">
      <alignment horizontal="left" wrapText="1" indent="1"/>
    </xf>
    <xf numFmtId="1" fontId="4" fillId="10" borderId="29" xfId="19" applyNumberFormat="1" applyFont="1" applyFill="1" applyBorder="1" applyAlignment="1" applyProtection="1">
      <alignment horizontal="center" vertical="center"/>
    </xf>
    <xf numFmtId="1" fontId="4" fillId="10" borderId="30" xfId="19" applyNumberFormat="1" applyFont="1" applyFill="1" applyBorder="1" applyAlignment="1" applyProtection="1">
      <alignment horizontal="center" vertical="center"/>
    </xf>
    <xf numFmtId="1" fontId="4" fillId="10" borderId="31" xfId="19" applyNumberFormat="1" applyFont="1" applyFill="1" applyBorder="1" applyAlignment="1" applyProtection="1">
      <alignment horizontal="center" vertical="center"/>
    </xf>
    <xf numFmtId="0" fontId="4" fillId="0" borderId="0" xfId="19" applyFont="1" applyBorder="1" applyAlignment="1" applyProtection="1">
      <alignment horizontal="left" wrapText="1" indent="1"/>
    </xf>
    <xf numFmtId="0" fontId="4" fillId="0" borderId="52" xfId="19" applyFont="1" applyBorder="1" applyAlignment="1" applyProtection="1">
      <alignment horizontal="center" vertical="center" wrapText="1"/>
    </xf>
    <xf numFmtId="0" fontId="1" fillId="0" borderId="0" xfId="19" applyNumberFormat="1" applyFont="1" applyBorder="1" applyAlignment="1" applyProtection="1">
      <alignment horizontal="center" wrapText="1"/>
    </xf>
    <xf numFmtId="1" fontId="1" fillId="15" borderId="27" xfId="19" applyNumberFormat="1" applyFont="1" applyFill="1" applyBorder="1" applyAlignment="1" applyProtection="1">
      <alignment horizontal="center" vertical="center"/>
      <protection locked="0"/>
    </xf>
    <xf numFmtId="1" fontId="1" fillId="15" borderId="4" xfId="19" applyNumberFormat="1" applyFont="1" applyFill="1" applyBorder="1" applyAlignment="1" applyProtection="1">
      <alignment horizontal="center" vertical="center"/>
      <protection locked="0"/>
    </xf>
    <xf numFmtId="1" fontId="1" fillId="15" borderId="44" xfId="19" applyNumberFormat="1" applyFont="1" applyFill="1" applyBorder="1" applyAlignment="1" applyProtection="1">
      <alignment horizontal="center" vertical="center"/>
      <protection locked="0"/>
    </xf>
    <xf numFmtId="1" fontId="1" fillId="15" borderId="55" xfId="19" applyNumberFormat="1" applyFont="1" applyFill="1" applyBorder="1" applyAlignment="1" applyProtection="1">
      <alignment horizontal="center" vertical="center"/>
      <protection locked="0"/>
    </xf>
    <xf numFmtId="1" fontId="4" fillId="10" borderId="60" xfId="19" applyNumberFormat="1" applyFont="1" applyFill="1" applyBorder="1" applyAlignment="1" applyProtection="1">
      <alignment horizontal="center" vertical="center"/>
    </xf>
    <xf numFmtId="0" fontId="4" fillId="0" borderId="0" xfId="19" applyFont="1" applyAlignment="1" applyProtection="1">
      <alignment horizontal="left" wrapText="1" indent="1"/>
    </xf>
    <xf numFmtId="1" fontId="1" fillId="15" borderId="38" xfId="19" applyNumberFormat="1" applyFont="1" applyFill="1" applyBorder="1" applyAlignment="1" applyProtection="1">
      <alignment horizontal="center" vertical="center"/>
      <protection locked="0"/>
    </xf>
    <xf numFmtId="1" fontId="1" fillId="15" borderId="66" xfId="19" applyNumberFormat="1" applyFont="1" applyFill="1" applyBorder="1" applyAlignment="1" applyProtection="1">
      <alignment horizontal="center" vertical="center"/>
      <protection locked="0"/>
    </xf>
    <xf numFmtId="0" fontId="4" fillId="0" borderId="17" xfId="19" applyFont="1" applyFill="1" applyBorder="1" applyProtection="1"/>
    <xf numFmtId="0" fontId="4" fillId="0" borderId="6" xfId="19" applyFont="1" applyBorder="1" applyAlignment="1" applyProtection="1">
      <alignment horizontal="center"/>
    </xf>
    <xf numFmtId="0" fontId="4" fillId="0" borderId="17" xfId="19" applyFont="1" applyBorder="1" applyAlignment="1" applyProtection="1">
      <alignment horizontal="left" wrapText="1" indent="2"/>
    </xf>
    <xf numFmtId="0" fontId="4" fillId="0" borderId="29" xfId="19" applyFont="1" applyFill="1" applyBorder="1" applyAlignment="1" applyProtection="1">
      <alignment horizontal="left" wrapText="1" indent="2"/>
    </xf>
    <xf numFmtId="0" fontId="1" fillId="0" borderId="30" xfId="19" applyNumberFormat="1" applyFont="1" applyBorder="1" applyAlignment="1" applyProtection="1">
      <alignment horizontal="center" wrapText="1"/>
    </xf>
    <xf numFmtId="167" fontId="1" fillId="15" borderId="30" xfId="19" applyNumberFormat="1" applyFont="1" applyFill="1" applyBorder="1" applyAlignment="1" applyProtection="1">
      <alignment horizontal="center" vertical="center"/>
      <protection locked="0"/>
    </xf>
    <xf numFmtId="167" fontId="1" fillId="15" borderId="30" xfId="19" applyNumberFormat="1" applyFont="1" applyFill="1" applyBorder="1" applyAlignment="1" applyProtection="1">
      <alignment horizontal="center" vertical="center"/>
    </xf>
    <xf numFmtId="167" fontId="1" fillId="15" borderId="31" xfId="19" applyNumberFormat="1" applyFont="1" applyFill="1" applyBorder="1" applyAlignment="1" applyProtection="1">
      <alignment horizontal="center" vertical="center"/>
    </xf>
    <xf numFmtId="167" fontId="1" fillId="10" borderId="30" xfId="19" applyNumberFormat="1" applyFont="1" applyFill="1" applyBorder="1" applyAlignment="1" applyProtection="1">
      <alignment horizontal="center" vertical="center"/>
    </xf>
    <xf numFmtId="167" fontId="1" fillId="10" borderId="31" xfId="19" applyNumberFormat="1" applyFont="1" applyFill="1" applyBorder="1" applyAlignment="1" applyProtection="1">
      <alignment horizontal="center" vertical="center"/>
    </xf>
    <xf numFmtId="0" fontId="4" fillId="0" borderId="29" xfId="19" applyFont="1" applyBorder="1" applyAlignment="1" applyProtection="1">
      <alignment horizontal="left" wrapText="1" indent="2"/>
    </xf>
    <xf numFmtId="0" fontId="1" fillId="0" borderId="0" xfId="19" applyFont="1" applyBorder="1" applyProtection="1"/>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7" fontId="1" fillId="0" borderId="17" xfId="16" applyNumberFormat="1" applyFont="1" applyFill="1" applyBorder="1" applyAlignment="1" applyProtection="1">
      <alignment horizontal="center" vertical="center"/>
    </xf>
    <xf numFmtId="167" fontId="1" fillId="0" borderId="0" xfId="16" applyNumberFormat="1" applyFont="1" applyFill="1" applyBorder="1" applyAlignment="1" applyProtection="1">
      <alignment horizontal="center" vertical="center"/>
    </xf>
    <xf numFmtId="167" fontId="1" fillId="0" borderId="22"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4" fillId="9" borderId="43" xfId="16" applyNumberFormat="1" applyFont="1" applyFill="1" applyBorder="1" applyAlignment="1" applyProtection="1">
      <alignment horizontal="left" vertical="center"/>
      <protection locked="0"/>
    </xf>
    <xf numFmtId="0" fontId="24" fillId="9" borderId="53" xfId="16" applyNumberFormat="1" applyFont="1" applyFill="1" applyBorder="1" applyAlignment="1" applyProtection="1">
      <alignment horizontal="left" vertical="center"/>
      <protection locked="0"/>
    </xf>
    <xf numFmtId="1" fontId="24"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79" fillId="10" borderId="29" xfId="28" applyNumberFormat="1" applyFont="1" applyFill="1" applyBorder="1" applyAlignment="1" applyProtection="1">
      <alignment horizontal="center" vertical="center"/>
    </xf>
    <xf numFmtId="167" fontId="79" fillId="10" borderId="30" xfId="28" applyNumberFormat="1" applyFont="1" applyFill="1" applyBorder="1" applyAlignment="1" applyProtection="1">
      <alignment horizontal="center" vertical="center"/>
    </xf>
    <xf numFmtId="167" fontId="79" fillId="10" borderId="31" xfId="28"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8"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0" fillId="10" borderId="74" xfId="28" applyNumberFormat="1" applyFont="1" applyFill="1" applyBorder="1" applyAlignment="1" applyProtection="1">
      <alignment horizontal="center" vertical="center"/>
    </xf>
    <xf numFmtId="167" fontId="10" fillId="10" borderId="72" xfId="28" applyNumberFormat="1" applyFont="1" applyFill="1" applyBorder="1" applyAlignment="1" applyProtection="1">
      <alignment horizontal="center" vertical="center"/>
    </xf>
    <xf numFmtId="167" fontId="10" fillId="10" borderId="73" xfId="28" applyNumberFormat="1" applyFont="1" applyFill="1" applyBorder="1" applyAlignment="1" applyProtection="1">
      <alignment horizontal="center" vertical="center"/>
    </xf>
    <xf numFmtId="167" fontId="10" fillId="10" borderId="68" xfId="28" applyNumberFormat="1" applyFont="1" applyFill="1" applyBorder="1" applyAlignment="1" applyProtection="1">
      <alignment horizontal="center" vertical="center"/>
    </xf>
    <xf numFmtId="167" fontId="10" fillId="10" borderId="45" xfId="28" applyNumberFormat="1" applyFont="1" applyFill="1" applyBorder="1" applyAlignment="1" applyProtection="1">
      <alignment horizontal="center" vertical="center"/>
    </xf>
    <xf numFmtId="167" fontId="10" fillId="10" borderId="30" xfId="28" applyNumberFormat="1" applyFont="1" applyFill="1" applyBorder="1" applyAlignment="1" applyProtection="1">
      <alignment horizontal="center" vertical="center"/>
    </xf>
    <xf numFmtId="167" fontId="10" fillId="10" borderId="31" xfId="28" applyNumberFormat="1" applyFont="1" applyFill="1" applyBorder="1" applyAlignment="1" applyProtection="1">
      <alignment horizontal="center" vertical="center"/>
    </xf>
    <xf numFmtId="167" fontId="10"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16" fillId="9" borderId="62" xfId="0" applyNumberFormat="1" applyFont="1" applyFill="1" applyBorder="1" applyAlignment="1" applyProtection="1">
      <alignment horizontal="right"/>
      <protection locked="0"/>
    </xf>
    <xf numFmtId="174" fontId="16" fillId="9" borderId="38" xfId="0" applyNumberFormat="1" applyFont="1" applyFill="1" applyBorder="1" applyAlignment="1" applyProtection="1">
      <alignment horizontal="right"/>
      <protection locked="0"/>
    </xf>
    <xf numFmtId="174" fontId="16" fillId="9" borderId="49" xfId="0" applyNumberFormat="1" applyFont="1" applyFill="1" applyBorder="1" applyAlignment="1" applyProtection="1">
      <alignment horizontal="right"/>
      <protection locked="0"/>
    </xf>
    <xf numFmtId="174" fontId="16" fillId="9" borderId="11"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6" fillId="9" borderId="64" xfId="0" applyNumberFormat="1" applyFont="1" applyFill="1" applyBorder="1" applyAlignment="1" applyProtection="1">
      <alignment horizontal="right"/>
      <protection locked="0"/>
    </xf>
    <xf numFmtId="174" fontId="16" fillId="9" borderId="63" xfId="0" applyNumberFormat="1" applyFont="1" applyFill="1" applyBorder="1" applyAlignment="1" applyProtection="1">
      <alignment horizontal="right"/>
      <protection locked="0"/>
    </xf>
    <xf numFmtId="174" fontId="16" fillId="9" borderId="27" xfId="0" applyNumberFormat="1" applyFont="1" applyFill="1" applyBorder="1" applyAlignment="1" applyProtection="1">
      <alignment horizontal="right"/>
      <protection locked="0"/>
    </xf>
    <xf numFmtId="174" fontId="16" fillId="9" borderId="7"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6" fillId="9" borderId="55" xfId="0" applyNumberFormat="1" applyFont="1" applyFill="1" applyBorder="1" applyAlignment="1" applyProtection="1">
      <alignment horizontal="right"/>
      <protection locked="0"/>
    </xf>
    <xf numFmtId="174" fontId="16" fillId="9" borderId="6"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6" fillId="9" borderId="66" xfId="0" applyNumberFormat="1" applyFont="1" applyFill="1" applyBorder="1" applyAlignment="1" applyProtection="1">
      <alignment horizontal="right"/>
      <protection locked="0"/>
    </xf>
    <xf numFmtId="174" fontId="16" fillId="9" borderId="67" xfId="0" applyNumberFormat="1" applyFont="1" applyFill="1" applyBorder="1" applyAlignment="1" applyProtection="1">
      <alignment horizontal="right"/>
      <protection locked="0"/>
    </xf>
    <xf numFmtId="174" fontId="16" fillId="9" borderId="7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16" fillId="9" borderId="29" xfId="0" applyNumberFormat="1" applyFont="1" applyFill="1" applyBorder="1" applyAlignment="1" applyProtection="1">
      <alignment horizontal="right"/>
      <protection locked="0"/>
    </xf>
    <xf numFmtId="174" fontId="16" fillId="9" borderId="65" xfId="0" applyNumberFormat="1" applyFont="1" applyFill="1" applyBorder="1" applyAlignment="1" applyProtection="1">
      <alignment horizontal="right"/>
      <protection locked="0"/>
    </xf>
    <xf numFmtId="174" fontId="8" fillId="2" borderId="64" xfId="0" applyNumberFormat="1" applyFont="1" applyFill="1" applyBorder="1" applyAlignment="1">
      <alignment horizontal="right"/>
    </xf>
    <xf numFmtId="174" fontId="16" fillId="9" borderId="82" xfId="0" applyNumberFormat="1" applyFont="1" applyFill="1" applyBorder="1" applyAlignment="1" applyProtection="1">
      <alignment horizontal="right"/>
      <protection locked="0"/>
    </xf>
    <xf numFmtId="174" fontId="16" fillId="9" borderId="28" xfId="0" applyNumberFormat="1" applyFont="1" applyFill="1" applyBorder="1" applyAlignment="1" applyProtection="1">
      <alignment horizontal="right"/>
      <protection locked="0"/>
    </xf>
    <xf numFmtId="174" fontId="16" fillId="9" borderId="56" xfId="0" applyNumberFormat="1" applyFont="1" applyFill="1" applyBorder="1" applyAlignment="1" applyProtection="1">
      <alignment horizontal="right"/>
      <protection locked="0"/>
    </xf>
    <xf numFmtId="174" fontId="16" fillId="9" borderId="68" xfId="0" applyNumberFormat="1" applyFont="1" applyFill="1" applyBorder="1" applyAlignment="1" applyProtection="1">
      <alignment horizontal="right"/>
      <protection locked="0"/>
    </xf>
    <xf numFmtId="174" fontId="16" fillId="9" borderId="25" xfId="0" applyNumberFormat="1" applyFont="1" applyFill="1" applyBorder="1" applyAlignment="1" applyProtection="1">
      <alignment horizontal="right"/>
      <protection locked="0"/>
    </xf>
    <xf numFmtId="174" fontId="8" fillId="2" borderId="61" xfId="0" applyNumberFormat="1" applyFont="1" applyFill="1" applyBorder="1" applyAlignment="1">
      <alignment horizontal="right"/>
    </xf>
    <xf numFmtId="174" fontId="16" fillId="9" borderId="61" xfId="0" applyNumberFormat="1" applyFont="1" applyFill="1" applyBorder="1" applyAlignment="1" applyProtection="1">
      <alignment horizontal="right"/>
      <protection locked="0"/>
    </xf>
    <xf numFmtId="174" fontId="16" fillId="11" borderId="20" xfId="0" applyNumberFormat="1" applyFont="1" applyFill="1" applyBorder="1" applyAlignment="1">
      <alignment horizontal="right"/>
    </xf>
    <xf numFmtId="174" fontId="16"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16" fillId="9" borderId="39" xfId="0" applyNumberFormat="1" applyFont="1" applyFill="1" applyBorder="1" applyAlignment="1" applyProtection="1">
      <alignment horizontal="right"/>
      <protection locked="0"/>
    </xf>
    <xf numFmtId="174" fontId="16" fillId="9" borderId="73" xfId="0" applyNumberFormat="1" applyFont="1" applyFill="1" applyBorder="1" applyAlignment="1" applyProtection="1">
      <alignment horizontal="right"/>
      <protection locked="0"/>
    </xf>
    <xf numFmtId="174" fontId="16"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6" fillId="9" borderId="23" xfId="0" applyNumberFormat="1" applyFont="1" applyFill="1" applyBorder="1" applyAlignment="1" applyProtection="1">
      <alignment horizontal="right"/>
      <protection locked="0"/>
    </xf>
    <xf numFmtId="174" fontId="10" fillId="2" borderId="39" xfId="0" applyNumberFormat="1" applyFont="1" applyFill="1" applyBorder="1" applyAlignment="1">
      <alignment horizontal="right"/>
    </xf>
    <xf numFmtId="174" fontId="16" fillId="9" borderId="52" xfId="0" applyNumberFormat="1" applyFont="1" applyFill="1" applyBorder="1" applyAlignment="1" applyProtection="1">
      <alignment horizontal="right"/>
      <protection locked="0"/>
    </xf>
    <xf numFmtId="0" fontId="8" fillId="0" borderId="0" xfId="0" applyFont="1" applyBorder="1" applyAlignment="1"/>
    <xf numFmtId="174" fontId="16" fillId="9" borderId="54" xfId="0" applyNumberFormat="1" applyFont="1" applyFill="1" applyBorder="1" applyAlignment="1" applyProtection="1">
      <alignment horizontal="right"/>
      <protection locked="0"/>
    </xf>
    <xf numFmtId="174" fontId="16" fillId="9" borderId="44" xfId="0" applyNumberFormat="1" applyFont="1" applyFill="1" applyBorder="1" applyAlignment="1" applyProtection="1">
      <alignment horizontal="right"/>
      <protection locked="0"/>
    </xf>
    <xf numFmtId="174" fontId="10" fillId="2" borderId="26" xfId="0" applyNumberFormat="1" applyFont="1" applyFill="1" applyBorder="1" applyAlignment="1">
      <alignment horizontal="right"/>
    </xf>
    <xf numFmtId="174" fontId="16" fillId="9" borderId="62" xfId="0" applyNumberFormat="1" applyFont="1" applyFill="1" applyBorder="1" applyAlignment="1" applyProtection="1">
      <protection locked="0"/>
    </xf>
    <xf numFmtId="174" fontId="8" fillId="2" borderId="63" xfId="0" applyNumberFormat="1" applyFont="1" applyFill="1" applyBorder="1" applyAlignment="1"/>
    <xf numFmtId="174" fontId="16" fillId="9" borderId="39" xfId="0" applyNumberFormat="1" applyFont="1" applyFill="1" applyBorder="1" applyAlignment="1" applyProtection="1">
      <protection locked="0"/>
    </xf>
    <xf numFmtId="174" fontId="8" fillId="2" borderId="64" xfId="0" applyNumberFormat="1" applyFont="1" applyFill="1" applyBorder="1" applyAlignment="1"/>
    <xf numFmtId="174" fontId="16" fillId="9" borderId="38" xfId="0" applyNumberFormat="1" applyFont="1" applyFill="1" applyBorder="1" applyAlignment="1" applyProtection="1">
      <protection locked="0"/>
    </xf>
    <xf numFmtId="174" fontId="16" fillId="9" borderId="64" xfId="0" applyNumberFormat="1" applyFont="1" applyFill="1" applyBorder="1" applyAlignment="1" applyProtection="1">
      <protection locked="0"/>
    </xf>
    <xf numFmtId="174" fontId="16" fillId="9" borderId="63" xfId="0" applyNumberFormat="1" applyFont="1" applyFill="1" applyBorder="1" applyAlignment="1" applyProtection="1">
      <protection locked="0"/>
    </xf>
    <xf numFmtId="174" fontId="16" fillId="9" borderId="66" xfId="0" applyNumberFormat="1" applyFont="1" applyFill="1" applyBorder="1" applyAlignment="1" applyProtection="1">
      <protection locked="0"/>
    </xf>
    <xf numFmtId="174" fontId="8" fillId="2" borderId="61" xfId="0" applyNumberFormat="1" applyFont="1" applyFill="1" applyBorder="1" applyAlignment="1"/>
    <xf numFmtId="174" fontId="10" fillId="2" borderId="62" xfId="0" applyNumberFormat="1" applyFont="1" applyFill="1" applyBorder="1" applyAlignment="1"/>
    <xf numFmtId="174" fontId="10" fillId="2" borderId="64" xfId="0" applyNumberFormat="1" applyFont="1" applyFill="1" applyBorder="1" applyAlignment="1"/>
    <xf numFmtId="174" fontId="0" fillId="2" borderId="61" xfId="0" applyNumberFormat="1" applyFill="1" applyBorder="1" applyAlignment="1"/>
    <xf numFmtId="174" fontId="8" fillId="0" borderId="22" xfId="0" applyNumberFormat="1" applyFont="1" applyFill="1" applyBorder="1" applyAlignment="1" applyProtection="1"/>
    <xf numFmtId="174" fontId="16" fillId="0" borderId="22" xfId="0" applyNumberFormat="1" applyFont="1" applyFill="1" applyBorder="1" applyAlignment="1" applyProtection="1"/>
    <xf numFmtId="174" fontId="10" fillId="2" borderId="85" xfId="0" applyNumberFormat="1" applyFont="1" applyFill="1" applyBorder="1" applyAlignment="1" applyProtection="1"/>
    <xf numFmtId="174" fontId="16" fillId="9" borderId="33" xfId="0" applyNumberFormat="1" applyFont="1" applyFill="1" applyBorder="1" applyAlignment="1" applyProtection="1">
      <protection locked="0"/>
    </xf>
    <xf numFmtId="178" fontId="53" fillId="9" borderId="2" xfId="0" applyNumberFormat="1" applyFont="1" applyFill="1" applyBorder="1" applyAlignment="1" applyProtection="1">
      <alignment horizontal="left"/>
      <protection locked="0"/>
    </xf>
    <xf numFmtId="0" fontId="11" fillId="0" borderId="0" xfId="0" applyFont="1" applyFill="1" applyBorder="1" applyAlignment="1"/>
    <xf numFmtId="174" fontId="16" fillId="9" borderId="9" xfId="0" applyNumberFormat="1" applyFont="1" applyFill="1" applyBorder="1" applyAlignment="1" applyProtection="1">
      <alignment horizontal="right"/>
      <protection locked="0"/>
    </xf>
    <xf numFmtId="174" fontId="8" fillId="2" borderId="2" xfId="27" applyNumberFormat="1" applyFont="1" applyFill="1" applyBorder="1"/>
    <xf numFmtId="178" fontId="38" fillId="9" borderId="1" xfId="0" applyNumberFormat="1" applyFont="1" applyFill="1" applyBorder="1" applyAlignment="1" applyProtection="1">
      <alignment horizontal="left"/>
      <protection locked="0"/>
    </xf>
    <xf numFmtId="178" fontId="38" fillId="9" borderId="2" xfId="0" applyNumberFormat="1" applyFont="1" applyFill="1" applyBorder="1" applyAlignment="1" applyProtection="1">
      <alignment horizontal="left"/>
      <protection locked="0"/>
    </xf>
    <xf numFmtId="178" fontId="38" fillId="9" borderId="3" xfId="0" applyNumberFormat="1" applyFont="1" applyFill="1" applyBorder="1" applyAlignment="1" applyProtection="1">
      <alignment horizontal="left"/>
      <protection locked="0"/>
    </xf>
    <xf numFmtId="174" fontId="10" fillId="2" borderId="38" xfId="0" applyNumberFormat="1" applyFont="1" applyFill="1" applyBorder="1" applyAlignment="1" applyProtection="1"/>
    <xf numFmtId="174" fontId="8" fillId="2" borderId="33" xfId="0" applyNumberFormat="1" applyFont="1" applyFill="1" applyBorder="1" applyAlignment="1" applyProtection="1"/>
    <xf numFmtId="174" fontId="16" fillId="9" borderId="37" xfId="0" applyNumberFormat="1" applyFont="1" applyFill="1" applyBorder="1" applyAlignment="1" applyProtection="1">
      <protection locked="0"/>
    </xf>
    <xf numFmtId="174" fontId="16" fillId="9" borderId="10" xfId="0" applyNumberFormat="1" applyFont="1" applyFill="1" applyBorder="1" applyAlignment="1" applyProtection="1">
      <protection locked="0"/>
    </xf>
    <xf numFmtId="174" fontId="10" fillId="2" borderId="64" xfId="0" applyNumberFormat="1" applyFont="1" applyFill="1" applyBorder="1" applyAlignment="1" applyProtection="1"/>
    <xf numFmtId="0" fontId="17" fillId="0" borderId="0" xfId="11" applyFont="1" applyAlignment="1" applyProtection="1"/>
    <xf numFmtId="0" fontId="2" fillId="0" borderId="0" xfId="0" applyFont="1" applyBorder="1"/>
    <xf numFmtId="0" fontId="2" fillId="0" borderId="0" xfId="0" applyFont="1" applyFill="1" applyBorder="1" applyAlignment="1">
      <alignment vertical="top" wrapText="1"/>
    </xf>
    <xf numFmtId="0" fontId="2" fillId="0" borderId="22" xfId="0" applyFont="1" applyBorder="1"/>
    <xf numFmtId="0" fontId="9" fillId="0" borderId="0" xfId="0" applyFont="1" applyFill="1" applyBorder="1"/>
    <xf numFmtId="166" fontId="9" fillId="4" borderId="0" xfId="7" applyNumberFormat="1" applyFont="1" applyFill="1"/>
    <xf numFmtId="166" fontId="9" fillId="0" borderId="18" xfId="7" applyNumberFormat="1" applyFont="1" applyBorder="1"/>
    <xf numFmtId="166" fontId="9" fillId="5" borderId="0" xfId="7" applyNumberFormat="1" applyFont="1" applyFill="1" applyBorder="1"/>
    <xf numFmtId="166" fontId="9" fillId="0" borderId="0" xfId="7" applyNumberFormat="1" applyFont="1"/>
    <xf numFmtId="166" fontId="9" fillId="5" borderId="16" xfId="7" applyNumberFormat="1" applyFont="1" applyFill="1" applyBorder="1"/>
    <xf numFmtId="166" fontId="9" fillId="0" borderId="0" xfId="0" applyNumberFormat="1" applyFont="1"/>
    <xf numFmtId="166" fontId="9" fillId="14" borderId="0" xfId="7" applyNumberFormat="1" applyFont="1" applyFill="1"/>
    <xf numFmtId="166" fontId="9" fillId="5" borderId="16" xfId="0" applyNumberFormat="1" applyFont="1" applyFill="1" applyBorder="1"/>
    <xf numFmtId="166" fontId="9" fillId="4" borderId="0" xfId="0" applyNumberFormat="1" applyFont="1" applyFill="1"/>
    <xf numFmtId="0" fontId="9" fillId="0" borderId="0" xfId="0" applyFont="1" applyBorder="1"/>
    <xf numFmtId="166" fontId="1" fillId="20" borderId="2" xfId="0" applyNumberFormat="1" applyFont="1" applyFill="1" applyBorder="1"/>
    <xf numFmtId="1" fontId="12" fillId="0" borderId="17" xfId="25" applyNumberFormat="1" applyFont="1" applyBorder="1" applyAlignment="1" applyProtection="1">
      <alignment horizontal="center" vertical="center" wrapText="1"/>
    </xf>
    <xf numFmtId="1" fontId="12" fillId="0" borderId="22" xfId="25" applyNumberFormat="1" applyFont="1" applyBorder="1" applyAlignment="1" applyProtection="1">
      <alignment horizontal="center" vertical="center" wrapText="1"/>
    </xf>
    <xf numFmtId="1" fontId="12" fillId="0" borderId="25" xfId="25" quotePrefix="1" applyNumberFormat="1" applyFont="1" applyBorder="1" applyAlignment="1" applyProtection="1">
      <alignment horizontal="center"/>
    </xf>
    <xf numFmtId="1" fontId="12" fillId="0" borderId="25" xfId="25" applyNumberFormat="1" applyFont="1" applyBorder="1" applyAlignment="1" applyProtection="1">
      <alignment horizontal="center"/>
    </xf>
    <xf numFmtId="1" fontId="12" fillId="0" borderId="26" xfId="25" applyNumberFormat="1" applyFont="1" applyBorder="1" applyAlignment="1" applyProtection="1">
      <alignment horizontal="center"/>
    </xf>
    <xf numFmtId="1" fontId="12" fillId="0" borderId="0"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1" fontId="12" fillId="0" borderId="33" xfId="25" applyNumberFormat="1" applyFont="1" applyBorder="1" applyAlignment="1" applyProtection="1">
      <alignment horizontal="center" vertical="center" wrapText="1"/>
    </xf>
    <xf numFmtId="1" fontId="12" fillId="0" borderId="39" xfId="25" applyNumberFormat="1" applyFont="1" applyBorder="1" applyAlignment="1" applyProtection="1">
      <alignment horizontal="center" vertical="center" wrapText="1"/>
    </xf>
    <xf numFmtId="1" fontId="12" fillId="0" borderId="13" xfId="25" applyNumberFormat="1" applyFont="1" applyBorder="1" applyAlignment="1" applyProtection="1">
      <alignment horizontal="center" vertical="center" wrapText="1"/>
    </xf>
    <xf numFmtId="1" fontId="12" fillId="0" borderId="14" xfId="25" applyNumberFormat="1" applyFont="1" applyBorder="1" applyAlignment="1" applyProtection="1">
      <alignment horizontal="center" vertical="center" wrapText="1"/>
    </xf>
    <xf numFmtId="1" fontId="12" fillId="0" borderId="19" xfId="25" applyNumberFormat="1" applyFont="1" applyBorder="1" applyAlignment="1" applyProtection="1">
      <alignment horizontal="center" vertical="center" wrapText="1"/>
    </xf>
    <xf numFmtId="1" fontId="12" fillId="0" borderId="20" xfId="25" applyNumberFormat="1" applyFont="1" applyBorder="1" applyAlignment="1" applyProtection="1">
      <alignment horizontal="center" vertical="center" wrapText="1"/>
    </xf>
    <xf numFmtId="1" fontId="12" fillId="0" borderId="21" xfId="25" applyNumberFormat="1" applyFont="1" applyBorder="1" applyAlignment="1" applyProtection="1">
      <alignment horizontal="center" vertical="center" wrapText="1"/>
    </xf>
    <xf numFmtId="1" fontId="12" fillId="0" borderId="23" xfId="25" applyNumberFormat="1" applyFont="1" applyBorder="1" applyAlignment="1" applyProtection="1">
      <alignment horizontal="center" vertical="center" wrapText="1"/>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 fillId="0" borderId="34" xfId="19" applyFont="1" applyFill="1" applyBorder="1" applyAlignment="1" applyProtection="1">
      <alignment horizontal="center" vertical="center"/>
    </xf>
    <xf numFmtId="0" fontId="4" fillId="0" borderId="49" xfId="19" applyFont="1" applyFill="1" applyBorder="1" applyAlignment="1" applyProtection="1">
      <alignment horizontal="center" vertical="center"/>
    </xf>
    <xf numFmtId="0" fontId="4" fillId="0" borderId="46" xfId="19" applyFont="1" applyBorder="1" applyAlignment="1" applyProtection="1">
      <alignment horizontal="center" vertical="center"/>
    </xf>
    <xf numFmtId="0" fontId="4" fillId="0" borderId="57" xfId="19" applyFont="1" applyBorder="1" applyAlignment="1" applyProtection="1">
      <alignment horizontal="center" vertical="center"/>
    </xf>
    <xf numFmtId="0" fontId="4" fillId="0" borderId="34" xfId="19" applyFont="1" applyBorder="1" applyAlignment="1" applyProtection="1">
      <alignment horizontal="center"/>
    </xf>
    <xf numFmtId="0" fontId="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4" fillId="0" borderId="27" xfId="23" applyFont="1" applyBorder="1" applyAlignment="1" applyProtection="1">
      <alignment horizontal="left" vertical="center"/>
    </xf>
    <xf numFmtId="0" fontId="27" fillId="0" borderId="37" xfId="0" applyFont="1" applyBorder="1" applyAlignment="1" applyProtection="1">
      <alignment horizontal="left" vertical="center"/>
    </xf>
    <xf numFmtId="0" fontId="27" fillId="0" borderId="49" xfId="0"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0" fillId="0" borderId="49" xfId="0" applyBorder="1"/>
    <xf numFmtId="0" fontId="4" fillId="0" borderId="37"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4" fillId="0" borderId="49" xfId="15" applyFont="1" applyBorder="1" applyAlignment="1" applyProtection="1">
      <alignment horizontal="center" vertical="center" wrapText="1"/>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4" fillId="0" borderId="7" xfId="0" quotePrefix="1" applyFont="1" applyFill="1" applyBorder="1" applyAlignment="1">
      <alignment horizontal="center" wrapText="1"/>
    </xf>
    <xf numFmtId="0" fontId="4" fillId="0" borderId="16" xfId="0" quotePrefix="1" applyFont="1" applyFill="1" applyBorder="1" applyAlignment="1">
      <alignment horizontal="center" wrapText="1"/>
    </xf>
    <xf numFmtId="0" fontId="4" fillId="0" borderId="5" xfId="0" quotePrefix="1" applyFont="1" applyFill="1" applyBorder="1" applyAlignment="1">
      <alignment horizontal="center" wrapText="1"/>
    </xf>
    <xf numFmtId="0" fontId="0" fillId="0" borderId="6" xfId="0" quotePrefix="1" applyFill="1" applyBorder="1" applyAlignment="1">
      <alignment horizontal="center"/>
    </xf>
    <xf numFmtId="0" fontId="0" fillId="0" borderId="15" xfId="0" applyFill="1" applyBorder="1"/>
    <xf numFmtId="0" fontId="0" fillId="0" borderId="8" xfId="0" applyFill="1" applyBorder="1"/>
    <xf numFmtId="0" fontId="1" fillId="0" borderId="6" xfId="0" quotePrefix="1" applyFont="1" applyFill="1" applyBorder="1" applyAlignment="1">
      <alignment horizontal="center" wrapText="1"/>
    </xf>
    <xf numFmtId="0" fontId="1" fillId="0" borderId="15" xfId="0" quotePrefix="1" applyFont="1" applyFill="1" applyBorder="1" applyAlignment="1">
      <alignment horizontal="center" wrapText="1"/>
    </xf>
    <xf numFmtId="0" fontId="1" fillId="0" borderId="8" xfId="0" quotePrefix="1" applyFont="1" applyFill="1" applyBorder="1" applyAlignment="1">
      <alignment horizontal="center" wrapText="1"/>
    </xf>
    <xf numFmtId="0" fontId="12" fillId="0" borderId="1" xfId="32" applyFont="1" applyBorder="1" applyAlignment="1">
      <alignment horizontal="center" textRotation="90" wrapText="1"/>
    </xf>
    <xf numFmtId="0" fontId="12" fillId="0" borderId="2" xfId="32" applyFont="1" applyBorder="1" applyAlignment="1">
      <alignment horizontal="center" textRotation="90" wrapText="1"/>
    </xf>
    <xf numFmtId="0" fontId="12" fillId="0" borderId="3" xfId="32" applyFont="1" applyBorder="1" applyAlignment="1">
      <alignment horizontal="center" textRotation="90" wrapText="1"/>
    </xf>
    <xf numFmtId="0" fontId="11" fillId="0" borderId="1" xfId="32" applyFont="1" applyBorder="1" applyAlignment="1">
      <alignment horizontal="center" textRotation="90" wrapText="1"/>
    </xf>
    <xf numFmtId="0" fontId="11" fillId="0" borderId="2" xfId="32" applyFont="1" applyBorder="1" applyAlignment="1">
      <alignment horizontal="center" textRotation="90" wrapText="1"/>
    </xf>
    <xf numFmtId="0" fontId="11" fillId="0" borderId="3" xfId="32" applyFont="1" applyBorder="1" applyAlignment="1">
      <alignment horizontal="center" textRotation="90" wrapText="1"/>
    </xf>
    <xf numFmtId="0" fontId="11" fillId="5" borderId="7" xfId="32" applyFont="1" applyFill="1" applyBorder="1" applyAlignment="1">
      <alignment horizontal="center"/>
    </xf>
    <xf numFmtId="0" fontId="11" fillId="5" borderId="16" xfId="32" applyFont="1" applyFill="1" applyBorder="1" applyAlignment="1">
      <alignment horizontal="center"/>
    </xf>
    <xf numFmtId="0" fontId="11" fillId="5" borderId="5" xfId="32" applyFont="1" applyFill="1" applyBorder="1" applyAlignment="1">
      <alignment horizontal="center"/>
    </xf>
    <xf numFmtId="0" fontId="11" fillId="8" borderId="7" xfId="32" applyFont="1" applyFill="1" applyBorder="1" applyAlignment="1">
      <alignment horizontal="center"/>
    </xf>
    <xf numFmtId="0" fontId="11" fillId="8" borderId="16" xfId="32" applyFont="1" applyFill="1" applyBorder="1" applyAlignment="1">
      <alignment horizontal="center"/>
    </xf>
    <xf numFmtId="0" fontId="11" fillId="8" borderId="5" xfId="32" applyFont="1" applyFill="1" applyBorder="1" applyAlignment="1">
      <alignment horizontal="center"/>
    </xf>
    <xf numFmtId="0" fontId="11" fillId="0" borderId="7" xfId="32" applyFont="1" applyBorder="1" applyAlignment="1">
      <alignment horizontal="center"/>
    </xf>
    <xf numFmtId="0" fontId="11" fillId="0" borderId="16" xfId="32" applyFont="1" applyBorder="1" applyAlignment="1">
      <alignment horizontal="center"/>
    </xf>
    <xf numFmtId="0" fontId="11" fillId="0" borderId="5" xfId="32" applyFont="1" applyBorder="1" applyAlignment="1">
      <alignment horizontal="center"/>
    </xf>
    <xf numFmtId="0" fontId="11" fillId="0" borderId="0" xfId="0" applyFont="1" applyBorder="1" applyAlignment="1" applyProtection="1">
      <alignment horizontal="left" wrapText="1"/>
    </xf>
    <xf numFmtId="0" fontId="11" fillId="0" borderId="0" xfId="0" applyFont="1" applyBorder="1" applyAlignment="1">
      <alignment horizontal="left" wrapText="1"/>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57" fillId="0" borderId="69" xfId="0" applyFont="1" applyBorder="1" applyAlignment="1" applyProtection="1">
      <alignment horizontal="left" vertical="center" wrapText="1"/>
    </xf>
    <xf numFmtId="0" fontId="57" fillId="0" borderId="48" xfId="0" applyFont="1" applyBorder="1" applyAlignment="1" applyProtection="1">
      <alignment horizontal="left" vertical="center" wrapText="1"/>
    </xf>
    <xf numFmtId="0" fontId="57" fillId="0" borderId="47"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4" fillId="0" borderId="13" xfId="0" applyFont="1" applyBorder="1" applyAlignment="1" applyProtection="1">
      <alignment horizontal="left" vertical="center"/>
    </xf>
    <xf numFmtId="0" fontId="34" fillId="0" borderId="14" xfId="0" applyFont="1" applyBorder="1" applyAlignment="1" applyProtection="1">
      <alignment horizontal="left" vertical="center"/>
    </xf>
    <xf numFmtId="0" fontId="34" fillId="0" borderId="19" xfId="0" applyFont="1" applyBorder="1" applyAlignment="1" applyProtection="1">
      <alignment horizontal="left" vertical="center"/>
    </xf>
    <xf numFmtId="0" fontId="34" fillId="0" borderId="20" xfId="0" applyFont="1" applyBorder="1" applyAlignment="1" applyProtection="1">
      <alignment horizontal="left" vertical="center"/>
    </xf>
    <xf numFmtId="0" fontId="34" fillId="0" borderId="21" xfId="0" applyFont="1" applyBorder="1" applyAlignment="1" applyProtection="1">
      <alignment horizontal="left" vertical="center"/>
    </xf>
    <xf numFmtId="0" fontId="34" fillId="0" borderId="23" xfId="0" applyFont="1" applyBorder="1" applyAlignment="1" applyProtection="1">
      <alignment horizontal="left" vertical="center"/>
    </xf>
    <xf numFmtId="0" fontId="10" fillId="0" borderId="32" xfId="0" applyFont="1" applyBorder="1" applyAlignment="1">
      <alignment horizontal="center" vertical="center"/>
    </xf>
    <xf numFmtId="0" fontId="10" fillId="0" borderId="39" xfId="0" applyFont="1" applyBorder="1" applyAlignment="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5" fillId="0" borderId="26" xfId="0" applyFont="1" applyBorder="1" applyAlignment="1">
      <alignment horizontal="left" vertical="center"/>
    </xf>
    <xf numFmtId="0" fontId="35" fillId="0" borderId="67" xfId="0" applyFont="1" applyBorder="1" applyAlignment="1">
      <alignment horizontal="center" vertical="center"/>
    </xf>
    <xf numFmtId="0" fontId="35" fillId="0" borderId="49" xfId="0" applyFont="1" applyBorder="1" applyAlignment="1">
      <alignment horizontal="center" vertical="center"/>
    </xf>
    <xf numFmtId="0" fontId="35" fillId="0" borderId="27" xfId="0" applyFont="1" applyBorder="1" applyAlignment="1">
      <alignment horizontal="center" vertical="center"/>
    </xf>
    <xf numFmtId="0" fontId="35"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5" fillId="0" borderId="34" xfId="0" applyFont="1" applyBorder="1" applyAlignment="1">
      <alignment horizontal="center" vertical="center"/>
    </xf>
    <xf numFmtId="0" fontId="35" fillId="0" borderId="37" xfId="0" applyFont="1" applyBorder="1" applyAlignment="1">
      <alignment horizontal="center"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5" fillId="0" borderId="55" xfId="0" applyFont="1" applyBorder="1" applyAlignment="1">
      <alignment horizontal="center" vertical="center"/>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35" fillId="0" borderId="55"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6" fillId="9" borderId="55" xfId="0" applyNumberFormat="1" applyFont="1" applyFill="1" applyBorder="1" applyAlignment="1" applyProtection="1">
      <alignment horizontal="right" vertical="center"/>
      <protection locked="0"/>
    </xf>
    <xf numFmtId="174" fontId="16" fillId="9" borderId="37" xfId="0" applyNumberFormat="1" applyFont="1" applyFill="1" applyBorder="1" applyAlignment="1" applyProtection="1">
      <alignment horizontal="right" vertical="center"/>
      <protection locked="0"/>
    </xf>
    <xf numFmtId="174" fontId="16" fillId="9" borderId="49" xfId="0" applyNumberFormat="1" applyFont="1" applyFill="1" applyBorder="1" applyAlignment="1" applyProtection="1">
      <alignment horizontal="right" vertical="center"/>
      <protection locked="0"/>
    </xf>
    <xf numFmtId="174" fontId="16" fillId="9" borderId="56" xfId="0" applyNumberFormat="1" applyFont="1" applyFill="1" applyBorder="1" applyAlignment="1" applyProtection="1">
      <alignment horizontal="right" vertical="center"/>
      <protection locked="0"/>
    </xf>
    <xf numFmtId="174" fontId="16" fillId="9" borderId="50" xfId="0" applyNumberFormat="1" applyFont="1" applyFill="1" applyBorder="1" applyAlignment="1" applyProtection="1">
      <alignment horizontal="right" vertical="center"/>
      <protection locked="0"/>
    </xf>
    <xf numFmtId="174" fontId="16" fillId="9" borderId="57" xfId="0" applyNumberFormat="1" applyFont="1" applyFill="1" applyBorder="1" applyAlignment="1" applyProtection="1">
      <alignment horizontal="right" vertical="center"/>
      <protection locked="0"/>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3" xfId="0" applyFont="1" applyBorder="1" applyAlignment="1">
      <alignment horizontal="left" vertical="center"/>
    </xf>
    <xf numFmtId="174" fontId="16" fillId="9" borderId="34"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32" xfId="0" applyNumberFormat="1" applyFont="1" applyFill="1" applyBorder="1" applyAlignment="1">
      <alignment horizontal="right" vertical="center"/>
    </xf>
    <xf numFmtId="174" fontId="16" fillId="9" borderId="46" xfId="0" applyNumberFormat="1" applyFont="1" applyFill="1" applyBorder="1" applyAlignment="1" applyProtection="1">
      <alignment horizontal="right" vertical="center"/>
      <protection locked="0"/>
    </xf>
    <xf numFmtId="0" fontId="12" fillId="16" borderId="24" xfId="0" applyFont="1" applyFill="1" applyBorder="1" applyAlignment="1" applyProtection="1">
      <alignment horizontal="center" vertical="center"/>
    </xf>
    <xf numFmtId="0" fontId="12" fillId="16" borderId="25" xfId="0" applyFont="1" applyFill="1" applyBorder="1" applyAlignment="1" applyProtection="1">
      <alignment horizontal="center" vertical="center"/>
    </xf>
    <xf numFmtId="0" fontId="12" fillId="16" borderId="26" xfId="0" applyFont="1" applyFill="1" applyBorder="1" applyAlignment="1" applyProtection="1">
      <alignment horizontal="center" vertical="center"/>
    </xf>
    <xf numFmtId="0" fontId="12"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2" fillId="5" borderId="24" xfId="0" applyFont="1" applyFill="1" applyBorder="1" applyAlignment="1" applyProtection="1">
      <alignment horizontal="center" vertical="center"/>
    </xf>
    <xf numFmtId="0" fontId="12" fillId="5" borderId="25" xfId="0" applyFont="1" applyFill="1" applyBorder="1" applyAlignment="1" applyProtection="1">
      <alignment horizontal="center" vertical="center"/>
    </xf>
    <xf numFmtId="0" fontId="12" fillId="5" borderId="26" xfId="0" applyFont="1" applyFill="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24"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0" fontId="12" fillId="0" borderId="24" xfId="0" applyFont="1" applyBorder="1" applyAlignment="1" applyProtection="1">
      <alignment horizontal="left" vertical="center"/>
    </xf>
    <xf numFmtId="0" fontId="12" fillId="0" borderId="26" xfId="0" applyFont="1" applyBorder="1" applyAlignment="1" applyProtection="1">
      <alignment horizontal="left" vertical="center"/>
    </xf>
    <xf numFmtId="0" fontId="35" fillId="0" borderId="13" xfId="0" applyFont="1" applyFill="1" applyBorder="1" applyAlignment="1">
      <alignment horizontal="left" vertical="center"/>
    </xf>
    <xf numFmtId="0" fontId="35" fillId="0" borderId="19" xfId="0" applyFont="1" applyFill="1" applyBorder="1" applyAlignment="1">
      <alignment horizontal="left" vertical="center"/>
    </xf>
    <xf numFmtId="0" fontId="35" fillId="0" borderId="20" xfId="0" applyFont="1" applyFill="1" applyBorder="1" applyAlignment="1">
      <alignment horizontal="left" vertical="center"/>
    </xf>
    <xf numFmtId="0" fontId="35" fillId="0" borderId="23" xfId="0" applyFont="1" applyFill="1" applyBorder="1" applyAlignment="1">
      <alignment horizontal="left" vertical="center"/>
    </xf>
    <xf numFmtId="0" fontId="11" fillId="0" borderId="43" xfId="0" applyFont="1" applyBorder="1" applyAlignment="1" applyProtection="1">
      <alignment horizontal="left" vertical="center" indent="1"/>
    </xf>
    <xf numFmtId="0" fontId="11" fillId="0" borderId="44" xfId="0" applyFont="1" applyBorder="1" applyAlignment="1" applyProtection="1">
      <alignment horizontal="left" vertical="center" indent="1"/>
    </xf>
    <xf numFmtId="0" fontId="11" fillId="0" borderId="59" xfId="0" applyFont="1" applyBorder="1" applyAlignment="1" applyProtection="1">
      <alignment horizontal="left" vertical="center" indent="1"/>
    </xf>
    <xf numFmtId="0" fontId="11" fillId="0" borderId="60" xfId="0" applyFont="1" applyBorder="1" applyAlignment="1" applyProtection="1">
      <alignment horizontal="left" vertical="center" indent="1"/>
    </xf>
    <xf numFmtId="0" fontId="11" fillId="0" borderId="24" xfId="0" applyFont="1" applyBorder="1" applyAlignment="1">
      <alignment horizontal="left" vertical="center" indent="1"/>
    </xf>
    <xf numFmtId="0" fontId="11" fillId="0" borderId="26" xfId="0" applyFont="1" applyBorder="1" applyAlignment="1">
      <alignment horizontal="left" vertical="center" indent="1"/>
    </xf>
    <xf numFmtId="0" fontId="11" fillId="0" borderId="69" xfId="0" applyFont="1" applyBorder="1" applyAlignment="1" applyProtection="1">
      <alignment horizontal="left" vertical="center" indent="1"/>
    </xf>
    <xf numFmtId="0" fontId="11" fillId="0" borderId="47" xfId="0" applyFont="1" applyBorder="1" applyAlignment="1" applyProtection="1">
      <alignment horizontal="left" vertical="center" indent="1"/>
    </xf>
    <xf numFmtId="0" fontId="29" fillId="5" borderId="24" xfId="0" applyFont="1" applyFill="1" applyBorder="1" applyAlignment="1">
      <alignment horizontal="left" vertical="center" indent="1"/>
    </xf>
    <xf numFmtId="0" fontId="29" fillId="5" borderId="25" xfId="0" applyFont="1" applyFill="1" applyBorder="1" applyAlignment="1">
      <alignment horizontal="left" vertical="center" indent="1"/>
    </xf>
    <xf numFmtId="0" fontId="29" fillId="8" borderId="24" xfId="0" applyFont="1" applyFill="1" applyBorder="1" applyAlignment="1">
      <alignment horizontal="left" vertical="center" indent="1"/>
    </xf>
    <xf numFmtId="0" fontId="29" fillId="8" borderId="25" xfId="0" applyFont="1" applyFill="1" applyBorder="1" applyAlignment="1">
      <alignment horizontal="left" vertical="center" indent="1"/>
    </xf>
    <xf numFmtId="0" fontId="35" fillId="0" borderId="17" xfId="0" applyFont="1" applyBorder="1" applyAlignment="1">
      <alignment horizontal="left" vertical="center"/>
    </xf>
    <xf numFmtId="0" fontId="35" fillId="0" borderId="22" xfId="0" applyFont="1" applyBorder="1" applyAlignment="1">
      <alignment horizontal="left" vertical="center"/>
    </xf>
    <xf numFmtId="0" fontId="10" fillId="8" borderId="24" xfId="0" applyFont="1" applyFill="1" applyBorder="1" applyAlignment="1">
      <alignment horizontal="left" vertical="center" indent="1"/>
    </xf>
    <xf numFmtId="0" fontId="10" fillId="8" borderId="26" xfId="0" applyFont="1" applyFill="1" applyBorder="1" applyAlignment="1">
      <alignment horizontal="left" vertical="center" indent="1"/>
    </xf>
    <xf numFmtId="0" fontId="29" fillId="0" borderId="24" xfId="0" applyFont="1" applyBorder="1" applyAlignment="1">
      <alignment horizontal="left" vertical="center"/>
    </xf>
    <xf numFmtId="0" fontId="29" fillId="0" borderId="26" xfId="0" applyFont="1" applyBorder="1" applyAlignment="1">
      <alignment horizontal="left" vertical="center"/>
    </xf>
    <xf numFmtId="0" fontId="10" fillId="0" borderId="69" xfId="0" applyFont="1" applyBorder="1" applyAlignment="1">
      <alignment horizontal="left" vertical="center"/>
    </xf>
    <xf numFmtId="0" fontId="10" fillId="0" borderId="47" xfId="0" applyFont="1" applyBorder="1" applyAlignment="1">
      <alignment horizontal="left" vertical="center"/>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10" fillId="8" borderId="20" xfId="0" applyFont="1" applyFill="1" applyBorder="1" applyAlignment="1" applyProtection="1">
      <alignment horizontal="center" vertical="center" wrapText="1"/>
    </xf>
    <xf numFmtId="0" fontId="10" fillId="8" borderId="23" xfId="0" applyFont="1" applyFill="1" applyBorder="1" applyAlignment="1" applyProtection="1">
      <alignment horizontal="center" vertical="center" wrapText="1"/>
    </xf>
    <xf numFmtId="0" fontId="10" fillId="0" borderId="34" xfId="0" applyFont="1" applyBorder="1" applyAlignment="1">
      <alignment horizontal="center" vertical="center" wrapText="1"/>
    </xf>
    <xf numFmtId="0" fontId="10" fillId="0" borderId="40" xfId="0" applyFont="1" applyBorder="1" applyAlignment="1">
      <alignment horizontal="center" vertical="center" wrapText="1"/>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11" fillId="0" borderId="0"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2" fillId="0" borderId="0"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178" fontId="12" fillId="0" borderId="43" xfId="0" applyNumberFormat="1" applyFont="1" applyBorder="1" applyAlignment="1">
      <alignment horizontal="center" vertical="center"/>
    </xf>
    <xf numFmtId="178" fontId="12" fillId="0" borderId="5" xfId="0" applyNumberFormat="1" applyFont="1" applyBorder="1" applyAlignment="1">
      <alignment horizontal="center" vertical="center"/>
    </xf>
    <xf numFmtId="0" fontId="12" fillId="0" borderId="32" xfId="0" applyFont="1" applyBorder="1" applyAlignment="1">
      <alignment horizontal="center" vertical="center" wrapText="1"/>
    </xf>
    <xf numFmtId="0" fontId="12" fillId="0" borderId="63" xfId="0" applyFont="1" applyBorder="1" applyAlignment="1">
      <alignment horizontal="center" vertical="center" wrapText="1"/>
    </xf>
    <xf numFmtId="178" fontId="12" fillId="0" borderId="69" xfId="0" applyNumberFormat="1" applyFont="1" applyBorder="1" applyAlignment="1">
      <alignment horizontal="center" vertical="center" wrapText="1"/>
    </xf>
    <xf numFmtId="178" fontId="12" fillId="0" borderId="83" xfId="0" applyNumberFormat="1" applyFont="1" applyBorder="1" applyAlignment="1">
      <alignment horizontal="center" vertical="center" wrapText="1"/>
    </xf>
    <xf numFmtId="0" fontId="34"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4" borderId="7" xfId="0" quotePrefix="1" applyFont="1" applyFill="1" applyBorder="1" applyAlignment="1">
      <alignment horizontal="center" wrapText="1"/>
    </xf>
    <xf numFmtId="0" fontId="4" fillId="4" borderId="5" xfId="0" quotePrefix="1" applyFont="1" applyFill="1" applyBorder="1" applyAlignment="1">
      <alignment horizontal="center" wrapText="1"/>
    </xf>
    <xf numFmtId="0" fontId="1" fillId="0" borderId="5" xfId="0" quotePrefix="1" applyFont="1" applyBorder="1" applyAlignment="1">
      <alignment horizontal="center" vertical="center" wrapText="1"/>
    </xf>
    <xf numFmtId="0" fontId="0" fillId="0" borderId="1" xfId="0" applyBorder="1" applyAlignment="1">
      <alignment horizontal="center" vertical="center"/>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4" fillId="4" borderId="16"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19"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13" fillId="0" borderId="18" xfId="0" applyFont="1" applyFill="1" applyBorder="1" applyAlignment="1">
      <alignment horizontal="center" vertical="top" wrapText="1"/>
    </xf>
    <xf numFmtId="0" fontId="19" fillId="0" borderId="18" xfId="0" applyFont="1" applyFill="1" applyBorder="1" applyAlignment="1">
      <alignment horizontal="center" vertical="top" wrapText="1"/>
    </xf>
    <xf numFmtId="0" fontId="5" fillId="0" borderId="4" xfId="0" applyFont="1" applyBorder="1" applyAlignment="1">
      <alignment horizontal="center" vertical="center" wrapText="1"/>
    </xf>
    <xf numFmtId="0" fontId="13" fillId="0" borderId="0" xfId="0" applyFont="1" applyFill="1" applyBorder="1" applyAlignment="1">
      <alignment horizontal="center" vertical="top" wrapText="1"/>
    </xf>
    <xf numFmtId="0" fontId="19"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1" fillId="0" borderId="7" xfId="32" applyNumberFormat="1" applyFont="1" applyBorder="1" applyAlignment="1" applyProtection="1">
      <alignment horizontal="center" vertical="center" wrapText="1"/>
    </xf>
    <xf numFmtId="167" fontId="11" fillId="0" borderId="16" xfId="32" applyNumberFormat="1" applyFont="1" applyBorder="1" applyAlignment="1" applyProtection="1">
      <alignment horizontal="center" vertical="center" wrapText="1"/>
    </xf>
    <xf numFmtId="167" fontId="11"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0"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1" fillId="5" borderId="1" xfId="32" applyFont="1" applyFill="1" applyBorder="1" applyAlignment="1">
      <alignment horizontal="center" vertical="center" wrapText="1"/>
    </xf>
    <xf numFmtId="0" fontId="11" fillId="5" borderId="2" xfId="32" applyFont="1" applyFill="1" applyBorder="1" applyAlignment="1">
      <alignment horizontal="center" vertical="center" wrapText="1"/>
    </xf>
    <xf numFmtId="0" fontId="11" fillId="5" borderId="3" xfId="32" applyFont="1" applyFill="1" applyBorder="1" applyAlignment="1">
      <alignment horizontal="center" vertical="center" wrapText="1"/>
    </xf>
    <xf numFmtId="0" fontId="11" fillId="6" borderId="1" xfId="32" applyFont="1" applyFill="1" applyBorder="1" applyAlignment="1">
      <alignment horizontal="center" vertical="center" wrapText="1"/>
    </xf>
    <xf numFmtId="0" fontId="11" fillId="6" borderId="2" xfId="32" applyFont="1" applyFill="1" applyBorder="1" applyAlignment="1">
      <alignment horizontal="center" vertical="center" wrapText="1"/>
    </xf>
    <xf numFmtId="0" fontId="11" fillId="6" borderId="3" xfId="32" applyFont="1" applyFill="1" applyBorder="1" applyAlignment="1">
      <alignment horizontal="center" vertical="center" wrapText="1"/>
    </xf>
    <xf numFmtId="0" fontId="11" fillId="0" borderId="1" xfId="32" applyFont="1" applyBorder="1" applyAlignment="1">
      <alignment horizontal="center" vertical="center" wrapText="1"/>
    </xf>
    <xf numFmtId="0" fontId="11" fillId="0" borderId="2" xfId="32" applyFont="1" applyBorder="1" applyAlignment="1">
      <alignment horizontal="center" vertical="center" wrapText="1"/>
    </xf>
    <xf numFmtId="0" fontId="11" fillId="0" borderId="3" xfId="32" applyFont="1" applyBorder="1" applyAlignment="1">
      <alignment horizontal="center" vertical="center" wrapText="1"/>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7" borderId="9" xfId="33" applyFont="1" applyFill="1" applyBorder="1" applyAlignment="1">
      <alignment horizontal="center"/>
    </xf>
    <xf numFmtId="9" fontId="0" fillId="17" borderId="0" xfId="33" applyFont="1" applyFill="1" applyBorder="1" applyAlignment="1">
      <alignment horizontal="center"/>
    </xf>
    <xf numFmtId="0" fontId="0" fillId="17" borderId="0" xfId="0" applyFill="1" applyBorder="1" applyAlignment="1">
      <alignment horizontal="center"/>
    </xf>
    <xf numFmtId="0" fontId="19" fillId="0" borderId="7" xfId="0" applyFont="1" applyBorder="1" applyAlignment="1">
      <alignment horizontal="center" vertical="top" wrapText="1"/>
    </xf>
    <xf numFmtId="0" fontId="19" fillId="0" borderId="16" xfId="0" applyFont="1" applyBorder="1" applyAlignment="1">
      <alignment horizontal="center" vertical="top" wrapText="1"/>
    </xf>
    <xf numFmtId="0" fontId="19" fillId="0" borderId="5" xfId="0" applyFont="1" applyBorder="1" applyAlignment="1">
      <alignment horizontal="center" vertical="top" wrapText="1"/>
    </xf>
    <xf numFmtId="0" fontId="19" fillId="0" borderId="21" xfId="0" applyFont="1" applyBorder="1" applyAlignment="1">
      <alignment horizontal="center"/>
    </xf>
    <xf numFmtId="0" fontId="4" fillId="4" borderId="4" xfId="0" applyFont="1" applyFill="1" applyBorder="1" applyAlignment="1">
      <alignment horizontal="center" vertical="top" wrapText="1"/>
    </xf>
  </cellXfs>
  <cellStyles count="177">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6" name="Rounded Rectangle 5">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mperleyr/Download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imperleyr/Downloads/ENW_Main_FBPQ.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Networks/ElecDistrib/Elec_Distrib_Lib/Regulatory_Reporting/Cost_Reporting_/Cost_Reporting_Rules/Rules%202007-08%20development/Master%20RRP%200708%20v7-1-PR%20(inc%20LPN%20test%20data)%20format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vApr14/IDNO%20Models/Feb14%20model/ModelM-CDCM-r6418_Pre_Release_version_for_1_April_2014%20Mid%20E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Allowed revenue -DPCR4"/>
      <sheetName val="FBPQ T4"/>
      <sheetName val="FBPQ LR1"/>
      <sheetName val="FBPQ LR1 - V5 opt3"/>
      <sheetName val="FBPQ LR4"/>
      <sheetName val="FBPQ LR6"/>
      <sheetName val="FBPQ NL1"/>
      <sheetName val="NL9 - Legal &amp; Safety"/>
      <sheetName val="FBPQ C2"/>
      <sheetName val="Reductions to net capex"/>
      <sheetName val="RRP 1.3"/>
      <sheetName val="RRP 2.3"/>
      <sheetName val="RRP 2.4"/>
      <sheetName val="RRP 2.6"/>
      <sheetName val="RRP 5.1"/>
      <sheetName val="Summary of revenue"/>
      <sheetName val="Data-MEAV"/>
      <sheetName val="Calc-MEAV"/>
      <sheetName val="Calc-Units"/>
      <sheetName val="Calc-Net capex"/>
      <sheetName val="Calc DNO Opex Allocation"/>
      <sheetName val="Calc-Drivers"/>
      <sheetName val="DNO Final Allocation"/>
      <sheetName val="Allocation Summary"/>
      <sheetName val="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E37"/>
  <sheetViews>
    <sheetView showGridLines="0" workbookViewId="0">
      <selection activeCell="B2" sqref="B2"/>
    </sheetView>
  </sheetViews>
  <sheetFormatPr defaultColWidth="22.28515625" defaultRowHeight="15"/>
  <cols>
    <col min="1" max="1" width="22.28515625" style="1263"/>
    <col min="2" max="2" width="99.85546875" style="1263" customWidth="1"/>
    <col min="3" max="16384" width="22.28515625" style="1263"/>
  </cols>
  <sheetData>
    <row r="1" spans="1:5" ht="19.5">
      <c r="A1" s="1261" t="str">
        <f>"Index for Method M ("&amp;'Calc-Net capex'!B5&amp;") for "&amp;Inputs!B6&amp;" in "&amp;Inputs!C6&amp;"  Status: "&amp;Inputs!D6&amp;""</f>
        <v>Index for Method M (LR1) for WPD East Midlands in 2015/16  Status: Indicative</v>
      </c>
    </row>
    <row r="3" spans="1:5">
      <c r="A3" s="1310" t="s">
        <v>998</v>
      </c>
    </row>
    <row r="4" spans="1:5">
      <c r="A4" s="1310" t="s">
        <v>999</v>
      </c>
    </row>
    <row r="5" spans="1:5">
      <c r="A5" s="1310" t="s">
        <v>1000</v>
      </c>
    </row>
    <row r="6" spans="1:5">
      <c r="A6" s="1310"/>
    </row>
    <row r="7" spans="1:5">
      <c r="A7" s="1310" t="s">
        <v>1001</v>
      </c>
    </row>
    <row r="8" spans="1:5">
      <c r="A8" s="1310"/>
    </row>
    <row r="9" spans="1:5" s="1309" customFormat="1">
      <c r="A9" s="1267" t="s">
        <v>1012</v>
      </c>
      <c r="B9" s="1267" t="s">
        <v>995</v>
      </c>
      <c r="C9" s="1263"/>
      <c r="D9" s="1263"/>
      <c r="E9" s="1263"/>
    </row>
    <row r="10" spans="1:5">
      <c r="A10" s="1263" t="s">
        <v>994</v>
      </c>
      <c r="B10" s="1263" t="s">
        <v>997</v>
      </c>
    </row>
    <row r="11" spans="1:5">
      <c r="A11" s="1263" t="s">
        <v>927</v>
      </c>
      <c r="B11" s="1263" t="s">
        <v>996</v>
      </c>
    </row>
    <row r="12" spans="1:5">
      <c r="A12" s="1263" t="s">
        <v>928</v>
      </c>
      <c r="B12" s="1263" t="s">
        <v>996</v>
      </c>
    </row>
    <row r="13" spans="1:5">
      <c r="A13" s="1263" t="s">
        <v>929</v>
      </c>
      <c r="B13" s="1263" t="s">
        <v>996</v>
      </c>
    </row>
    <row r="14" spans="1:5">
      <c r="A14" s="1263" t="s">
        <v>930</v>
      </c>
      <c r="B14" s="1263" t="s">
        <v>996</v>
      </c>
    </row>
    <row r="15" spans="1:5">
      <c r="A15" s="1263" t="s">
        <v>931</v>
      </c>
      <c r="B15" s="1263" t="s">
        <v>996</v>
      </c>
    </row>
    <row r="16" spans="1:5">
      <c r="A16" s="1263" t="s">
        <v>932</v>
      </c>
      <c r="B16" s="1263" t="s">
        <v>996</v>
      </c>
    </row>
    <row r="17" spans="1:5">
      <c r="A17" s="1263" t="s">
        <v>933</v>
      </c>
      <c r="B17" s="1263" t="s">
        <v>996</v>
      </c>
    </row>
    <row r="18" spans="1:5">
      <c r="A18" s="1263" t="s">
        <v>934</v>
      </c>
      <c r="B18" s="1263" t="s">
        <v>996</v>
      </c>
    </row>
    <row r="19" spans="1:5">
      <c r="A19" s="1263" t="s">
        <v>935</v>
      </c>
      <c r="B19" s="1263" t="s">
        <v>996</v>
      </c>
    </row>
    <row r="20" spans="1:5">
      <c r="A20" s="1263" t="s">
        <v>1007</v>
      </c>
      <c r="B20" s="1263" t="s">
        <v>1016</v>
      </c>
    </row>
    <row r="21" spans="1:5">
      <c r="A21" s="1263" t="s">
        <v>936</v>
      </c>
      <c r="B21" s="1263" t="s">
        <v>996</v>
      </c>
    </row>
    <row r="22" spans="1:5">
      <c r="A22" s="1263" t="s">
        <v>937</v>
      </c>
      <c r="B22" s="1263" t="s">
        <v>996</v>
      </c>
    </row>
    <row r="23" spans="1:5">
      <c r="A23" s="1263" t="s">
        <v>938</v>
      </c>
      <c r="B23" s="1263" t="s">
        <v>996</v>
      </c>
    </row>
    <row r="24" spans="1:5">
      <c r="A24" s="1263" t="s">
        <v>939</v>
      </c>
      <c r="B24" s="1263" t="s">
        <v>996</v>
      </c>
    </row>
    <row r="25" spans="1:5">
      <c r="A25" s="1263" t="s">
        <v>940</v>
      </c>
      <c r="B25" s="1263" t="s">
        <v>996</v>
      </c>
    </row>
    <row r="26" spans="1:5">
      <c r="A26" s="1263" t="s">
        <v>926</v>
      </c>
      <c r="B26" s="1263" t="s">
        <v>1008</v>
      </c>
    </row>
    <row r="27" spans="1:5">
      <c r="A27" s="1263" t="s">
        <v>1009</v>
      </c>
      <c r="B27" s="1263" t="s">
        <v>996</v>
      </c>
    </row>
    <row r="28" spans="1:5">
      <c r="A28" s="1310"/>
    </row>
    <row r="29" spans="1:5" s="1309" customFormat="1">
      <c r="A29" s="1267" t="s">
        <v>1011</v>
      </c>
      <c r="B29" s="1267" t="s">
        <v>995</v>
      </c>
      <c r="C29" s="1263"/>
      <c r="D29" s="1263"/>
      <c r="E29" s="1263"/>
    </row>
    <row r="30" spans="1:5">
      <c r="A30" s="1263" t="s">
        <v>941</v>
      </c>
      <c r="B30" s="1263" t="s">
        <v>1002</v>
      </c>
    </row>
    <row r="31" spans="1:5">
      <c r="A31" s="1263" t="s">
        <v>942</v>
      </c>
      <c r="B31" s="1263" t="s">
        <v>1002</v>
      </c>
    </row>
    <row r="32" spans="1:5">
      <c r="A32" s="1263" t="s">
        <v>943</v>
      </c>
      <c r="B32" s="1263" t="s">
        <v>1002</v>
      </c>
    </row>
    <row r="33" spans="1:2">
      <c r="A33" s="1263" t="s">
        <v>944</v>
      </c>
      <c r="B33" s="1263" t="s">
        <v>1002</v>
      </c>
    </row>
    <row r="34" spans="1:2">
      <c r="A34" s="1263" t="s">
        <v>945</v>
      </c>
      <c r="B34" s="1263" t="s">
        <v>1002</v>
      </c>
    </row>
    <row r="35" spans="1:2">
      <c r="A35" s="1263" t="s">
        <v>946</v>
      </c>
      <c r="B35" s="1263" t="s">
        <v>1002</v>
      </c>
    </row>
    <row r="36" spans="1:2">
      <c r="A36" s="1263" t="s">
        <v>947</v>
      </c>
      <c r="B36" s="1263" t="s">
        <v>1002</v>
      </c>
    </row>
    <row r="37" spans="1:2">
      <c r="A37" s="1263" t="s">
        <v>949</v>
      </c>
      <c r="B37" s="1263" t="s">
        <v>1013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SheetLayoutView="85" workbookViewId="0">
      <selection sqref="A1:XFD1048576"/>
    </sheetView>
  </sheetViews>
  <sheetFormatPr defaultColWidth="10.28515625" defaultRowHeight="12.75"/>
  <cols>
    <col min="1" max="1" width="3.28515625" style="1779" customWidth="1"/>
    <col min="2" max="2" width="30.85546875" style="1779" customWidth="1"/>
    <col min="3" max="3" width="14.42578125" style="1779" customWidth="1"/>
    <col min="4" max="25" width="15" style="1779" customWidth="1"/>
    <col min="26" max="16384" width="10.28515625" style="1779"/>
  </cols>
  <sheetData>
    <row r="1" spans="1:13" s="1688" customFormat="1" ht="26.25">
      <c r="A1" s="674" t="s">
        <v>167</v>
      </c>
      <c r="B1" s="675"/>
      <c r="C1" s="1687"/>
      <c r="D1" s="1687"/>
      <c r="E1" s="1687"/>
      <c r="F1" s="1687"/>
      <c r="G1" s="676"/>
    </row>
    <row r="2" spans="1:13" s="1688" customFormat="1" ht="18">
      <c r="A2" s="675" t="s">
        <v>168</v>
      </c>
      <c r="B2" s="677"/>
    </row>
    <row r="3" spans="1:13" s="1689" customFormat="1" ht="27" thickBot="1">
      <c r="A3" s="678" t="s">
        <v>784</v>
      </c>
      <c r="B3" s="679"/>
      <c r="D3" s="1690"/>
    </row>
    <row r="5" spans="1:13" s="1691" customFormat="1" ht="15.75" customHeight="1">
      <c r="B5" s="1692" t="s">
        <v>785</v>
      </c>
    </row>
    <row r="6" spans="1:13" s="1691" customFormat="1" ht="15.75" customHeight="1" thickBot="1"/>
    <row r="7" spans="1:13" s="1691" customFormat="1" ht="15.75" customHeight="1">
      <c r="B7" s="1968"/>
      <c r="C7" s="1969"/>
      <c r="D7" s="1693" t="s">
        <v>116</v>
      </c>
      <c r="E7" s="1694"/>
      <c r="F7" s="1694"/>
      <c r="G7" s="1694"/>
      <c r="H7" s="1695"/>
      <c r="I7" s="1693" t="s">
        <v>117</v>
      </c>
      <c r="J7" s="1696"/>
      <c r="K7" s="1696"/>
      <c r="L7" s="1696"/>
      <c r="M7" s="1695"/>
    </row>
    <row r="8" spans="1:13" s="1691" customFormat="1" ht="15.75" customHeight="1">
      <c r="B8" s="1970"/>
      <c r="C8" s="1971"/>
      <c r="D8" s="1697" t="s">
        <v>32</v>
      </c>
      <c r="E8" s="1698" t="s">
        <v>33</v>
      </c>
      <c r="F8" s="1698" t="s">
        <v>29</v>
      </c>
      <c r="G8" s="1698" t="s">
        <v>34</v>
      </c>
      <c r="H8" s="1699" t="s">
        <v>35</v>
      </c>
      <c r="I8" s="1697" t="s">
        <v>118</v>
      </c>
      <c r="J8" s="1698" t="s">
        <v>136</v>
      </c>
      <c r="K8" s="1698" t="s">
        <v>137</v>
      </c>
      <c r="L8" s="1698" t="s">
        <v>138</v>
      </c>
      <c r="M8" s="1699" t="s">
        <v>139</v>
      </c>
    </row>
    <row r="9" spans="1:13" s="1691" customFormat="1" ht="15.75" customHeight="1">
      <c r="B9" s="1700" t="s">
        <v>123</v>
      </c>
      <c r="C9" s="1701"/>
      <c r="D9" s="680"/>
      <c r="E9" s="681"/>
      <c r="F9" s="681"/>
      <c r="G9" s="681"/>
      <c r="H9" s="682"/>
      <c r="I9" s="680"/>
      <c r="J9" s="681"/>
      <c r="K9" s="681"/>
      <c r="L9" s="681"/>
      <c r="M9" s="682"/>
    </row>
    <row r="10" spans="1:13" s="1691" customFormat="1" ht="15.75" customHeight="1">
      <c r="B10" s="1702" t="s">
        <v>786</v>
      </c>
      <c r="C10" s="1701" t="s">
        <v>14</v>
      </c>
      <c r="D10" s="683">
        <f t="shared" ref="D10:M10" si="0">D37+D46</f>
        <v>0</v>
      </c>
      <c r="E10" s="684">
        <f t="shared" si="0"/>
        <v>0</v>
      </c>
      <c r="F10" s="684">
        <f t="shared" si="0"/>
        <v>0</v>
      </c>
      <c r="G10" s="684">
        <f t="shared" si="0"/>
        <v>0</v>
      </c>
      <c r="H10" s="682">
        <f t="shared" si="0"/>
        <v>0</v>
      </c>
      <c r="I10" s="683">
        <f t="shared" si="0"/>
        <v>0</v>
      </c>
      <c r="J10" s="685">
        <f t="shared" si="0"/>
        <v>0</v>
      </c>
      <c r="K10" s="685">
        <f t="shared" si="0"/>
        <v>0</v>
      </c>
      <c r="L10" s="685">
        <f t="shared" si="0"/>
        <v>0</v>
      </c>
      <c r="M10" s="686">
        <f t="shared" si="0"/>
        <v>0</v>
      </c>
    </row>
    <row r="11" spans="1:13" s="1691" customFormat="1" ht="15.75" customHeight="1">
      <c r="B11" s="1702" t="s">
        <v>787</v>
      </c>
      <c r="C11" s="1701" t="s">
        <v>14</v>
      </c>
      <c r="D11" s="687"/>
      <c r="E11" s="687"/>
      <c r="F11" s="687"/>
      <c r="G11" s="687"/>
      <c r="H11" s="688"/>
      <c r="I11" s="689"/>
      <c r="J11" s="690"/>
      <c r="K11" s="690"/>
      <c r="L11" s="690"/>
      <c r="M11" s="691"/>
    </row>
    <row r="12" spans="1:13" s="1691" customFormat="1" ht="15.75" customHeight="1">
      <c r="B12" s="1702" t="s">
        <v>788</v>
      </c>
      <c r="C12" s="1701" t="s">
        <v>14</v>
      </c>
      <c r="D12" s="687"/>
      <c r="E12" s="687"/>
      <c r="F12" s="687"/>
      <c r="G12" s="687"/>
      <c r="H12" s="688"/>
      <c r="I12" s="689"/>
      <c r="J12" s="690"/>
      <c r="K12" s="690"/>
      <c r="L12" s="690"/>
      <c r="M12" s="691"/>
    </row>
    <row r="13" spans="1:13" s="1691" customFormat="1" ht="15.75" customHeight="1">
      <c r="B13" s="1700" t="s">
        <v>789</v>
      </c>
      <c r="C13" s="1701"/>
      <c r="D13" s="680"/>
      <c r="E13" s="681"/>
      <c r="F13" s="681"/>
      <c r="G13" s="681"/>
      <c r="H13" s="682"/>
      <c r="I13" s="680"/>
      <c r="J13" s="681"/>
      <c r="K13" s="681"/>
      <c r="L13" s="681"/>
      <c r="M13" s="682"/>
    </row>
    <row r="14" spans="1:13" s="1691" customFormat="1" ht="15.75" customHeight="1">
      <c r="B14" s="1702" t="s">
        <v>790</v>
      </c>
      <c r="C14" s="1701" t="s">
        <v>14</v>
      </c>
      <c r="D14" s="687"/>
      <c r="E14" s="687"/>
      <c r="F14" s="687"/>
      <c r="G14" s="687"/>
      <c r="H14" s="688"/>
      <c r="I14" s="689"/>
      <c r="J14" s="690"/>
      <c r="K14" s="690"/>
      <c r="L14" s="690"/>
      <c r="M14" s="691"/>
    </row>
    <row r="15" spans="1:13" s="1691" customFormat="1" ht="15.75" customHeight="1">
      <c r="B15" s="1702" t="s">
        <v>791</v>
      </c>
      <c r="C15" s="1701" t="s">
        <v>14</v>
      </c>
      <c r="D15" s="687"/>
      <c r="E15" s="687"/>
      <c r="F15" s="687"/>
      <c r="G15" s="687"/>
      <c r="H15" s="688"/>
      <c r="I15" s="689"/>
      <c r="J15" s="690"/>
      <c r="K15" s="690"/>
      <c r="L15" s="690"/>
      <c r="M15" s="691"/>
    </row>
    <row r="16" spans="1:13" s="1691" customFormat="1" ht="15.75" customHeight="1">
      <c r="B16" s="1702" t="s">
        <v>792</v>
      </c>
      <c r="C16" s="1701" t="s">
        <v>14</v>
      </c>
      <c r="D16" s="687"/>
      <c r="E16" s="687"/>
      <c r="F16" s="687"/>
      <c r="G16" s="687"/>
      <c r="H16" s="688"/>
      <c r="I16" s="689"/>
      <c r="J16" s="690"/>
      <c r="K16" s="690"/>
      <c r="L16" s="690"/>
      <c r="M16" s="691"/>
    </row>
    <row r="17" spans="2:13" s="1691" customFormat="1" ht="15.75" customHeight="1">
      <c r="B17" s="1700" t="s">
        <v>646</v>
      </c>
      <c r="C17" s="1701"/>
      <c r="D17" s="680"/>
      <c r="E17" s="681"/>
      <c r="F17" s="681"/>
      <c r="G17" s="681"/>
      <c r="H17" s="682"/>
      <c r="I17" s="680"/>
      <c r="J17" s="681"/>
      <c r="K17" s="681"/>
      <c r="L17" s="681"/>
      <c r="M17" s="682"/>
    </row>
    <row r="18" spans="2:13" s="1691" customFormat="1" ht="15.75" customHeight="1">
      <c r="B18" s="1702" t="s">
        <v>793</v>
      </c>
      <c r="C18" s="1701" t="s">
        <v>14</v>
      </c>
      <c r="D18" s="687"/>
      <c r="E18" s="687"/>
      <c r="F18" s="687"/>
      <c r="G18" s="687"/>
      <c r="H18" s="688"/>
      <c r="I18" s="689"/>
      <c r="J18" s="690"/>
      <c r="K18" s="690"/>
      <c r="L18" s="690"/>
      <c r="M18" s="691"/>
    </row>
    <row r="19" spans="2:13" s="1691" customFormat="1" ht="15.75" customHeight="1">
      <c r="B19" s="1702" t="s">
        <v>794</v>
      </c>
      <c r="C19" s="1701" t="s">
        <v>14</v>
      </c>
      <c r="D19" s="687"/>
      <c r="E19" s="687"/>
      <c r="F19" s="687"/>
      <c r="G19" s="687"/>
      <c r="H19" s="688"/>
      <c r="I19" s="689"/>
      <c r="J19" s="690"/>
      <c r="K19" s="690"/>
      <c r="L19" s="690"/>
      <c r="M19" s="691"/>
    </row>
    <row r="20" spans="2:13" s="1691" customFormat="1" ht="15.75" customHeight="1">
      <c r="B20" s="1702" t="s">
        <v>795</v>
      </c>
      <c r="C20" s="1701" t="s">
        <v>14</v>
      </c>
      <c r="D20" s="687"/>
      <c r="E20" s="687"/>
      <c r="F20" s="687"/>
      <c r="G20" s="687"/>
      <c r="H20" s="688"/>
      <c r="I20" s="689"/>
      <c r="J20" s="690"/>
      <c r="K20" s="690"/>
      <c r="L20" s="690"/>
      <c r="M20" s="691"/>
    </row>
    <row r="21" spans="2:13" s="1691" customFormat="1" ht="15.75" customHeight="1">
      <c r="B21" s="1702" t="s">
        <v>796</v>
      </c>
      <c r="C21" s="1701" t="s">
        <v>14</v>
      </c>
      <c r="D21" s="687"/>
      <c r="E21" s="687"/>
      <c r="F21" s="687"/>
      <c r="G21" s="687"/>
      <c r="H21" s="688"/>
      <c r="I21" s="689"/>
      <c r="J21" s="690"/>
      <c r="K21" s="690"/>
      <c r="L21" s="690"/>
      <c r="M21" s="691"/>
    </row>
    <row r="22" spans="2:13" s="1704" customFormat="1" ht="15.75" customHeight="1">
      <c r="B22" s="1011"/>
      <c r="C22" s="1703" t="s">
        <v>14</v>
      </c>
      <c r="D22" s="687"/>
      <c r="E22" s="687"/>
      <c r="F22" s="687"/>
      <c r="G22" s="687"/>
      <c r="H22" s="688"/>
      <c r="I22" s="689"/>
      <c r="J22" s="690"/>
      <c r="K22" s="690"/>
      <c r="L22" s="690"/>
      <c r="M22" s="691"/>
    </row>
    <row r="23" spans="2:13" s="1704" customFormat="1" ht="15.75" customHeight="1">
      <c r="B23" s="1011" t="s">
        <v>797</v>
      </c>
      <c r="C23" s="1703" t="s">
        <v>14</v>
      </c>
      <c r="D23" s="692"/>
      <c r="E23" s="692"/>
      <c r="F23" s="692"/>
      <c r="G23" s="692"/>
      <c r="H23" s="693"/>
      <c r="I23" s="694"/>
      <c r="J23" s="695"/>
      <c r="K23" s="695"/>
      <c r="L23" s="695"/>
      <c r="M23" s="696"/>
    </row>
    <row r="24" spans="2:13" s="1704" customFormat="1" ht="15.75" customHeight="1">
      <c r="B24" s="1011" t="s">
        <v>798</v>
      </c>
      <c r="C24" s="1703" t="s">
        <v>14</v>
      </c>
      <c r="D24" s="692"/>
      <c r="E24" s="692"/>
      <c r="F24" s="692"/>
      <c r="G24" s="692"/>
      <c r="H24" s="693"/>
      <c r="I24" s="694"/>
      <c r="J24" s="695"/>
      <c r="K24" s="695"/>
      <c r="L24" s="695"/>
      <c r="M24" s="696"/>
    </row>
    <row r="25" spans="2:13" s="1704" customFormat="1" ht="15.75" customHeight="1" thickBot="1">
      <c r="B25" s="1705" t="s">
        <v>245</v>
      </c>
      <c r="C25" s="1706" t="s">
        <v>14</v>
      </c>
      <c r="D25" s="1707">
        <f t="shared" ref="D25:M25" si="1">SUM(D10:D24)</f>
        <v>0</v>
      </c>
      <c r="E25" s="1708">
        <f t="shared" si="1"/>
        <v>0</v>
      </c>
      <c r="F25" s="1708">
        <f t="shared" si="1"/>
        <v>0</v>
      </c>
      <c r="G25" s="1708">
        <f t="shared" si="1"/>
        <v>0</v>
      </c>
      <c r="H25" s="1708">
        <f t="shared" si="1"/>
        <v>0</v>
      </c>
      <c r="I25" s="1707">
        <f t="shared" si="1"/>
        <v>0</v>
      </c>
      <c r="J25" s="1708">
        <f t="shared" si="1"/>
        <v>0</v>
      </c>
      <c r="K25" s="1708">
        <f t="shared" si="1"/>
        <v>0</v>
      </c>
      <c r="L25" s="1708">
        <f t="shared" si="1"/>
        <v>0</v>
      </c>
      <c r="M25" s="1709">
        <f t="shared" si="1"/>
        <v>0</v>
      </c>
    </row>
    <row r="26" spans="2:13" s="1691" customFormat="1" ht="15.75" customHeight="1">
      <c r="B26" s="1710"/>
      <c r="C26" s="1711"/>
      <c r="D26" s="1712"/>
      <c r="E26" s="1712"/>
      <c r="F26" s="1712"/>
    </row>
    <row r="27" spans="2:13" s="1691" customFormat="1" ht="15.75" customHeight="1"/>
    <row r="28" spans="2:13" s="1691" customFormat="1" ht="15.75" customHeight="1">
      <c r="B28" s="1692" t="s">
        <v>799</v>
      </c>
      <c r="C28" s="1692"/>
      <c r="D28" s="1692"/>
      <c r="E28" s="1692"/>
      <c r="F28" s="1692"/>
      <c r="G28" s="1692"/>
      <c r="H28" s="1692"/>
      <c r="I28" s="1692"/>
      <c r="J28" s="1692"/>
      <c r="K28" s="1692"/>
    </row>
    <row r="29" spans="2:13" s="1691" customFormat="1" ht="15.75" customHeight="1">
      <c r="B29" s="1692"/>
      <c r="C29" s="1692"/>
      <c r="D29" s="1692"/>
      <c r="E29" s="1692"/>
      <c r="F29" s="1692"/>
      <c r="G29" s="1692"/>
      <c r="H29" s="1692"/>
      <c r="I29" s="1692"/>
      <c r="J29" s="1692"/>
      <c r="K29" s="1692"/>
    </row>
    <row r="30" spans="2:13" s="1691" customFormat="1" ht="15.75" customHeight="1" thickBot="1">
      <c r="B30" s="1012" t="s">
        <v>800</v>
      </c>
      <c r="C30" s="1692"/>
      <c r="D30" s="1692"/>
      <c r="E30" s="1692"/>
      <c r="F30" s="1692"/>
      <c r="G30" s="1692"/>
      <c r="H30" s="1692"/>
      <c r="I30" s="1692"/>
      <c r="J30" s="1692"/>
      <c r="K30" s="1692"/>
    </row>
    <row r="31" spans="2:13" s="1691" customFormat="1" ht="15.75" customHeight="1">
      <c r="B31" s="1968"/>
      <c r="C31" s="1969"/>
      <c r="D31" s="1694" t="s">
        <v>116</v>
      </c>
      <c r="E31" s="1694"/>
      <c r="F31" s="1694"/>
      <c r="G31" s="1694"/>
      <c r="H31" s="1695"/>
      <c r="I31" s="1693" t="s">
        <v>117</v>
      </c>
      <c r="J31" s="1696"/>
      <c r="K31" s="1696"/>
      <c r="L31" s="1696"/>
      <c r="M31" s="1695"/>
    </row>
    <row r="32" spans="2:13" s="1691" customFormat="1" ht="15.75" customHeight="1">
      <c r="B32" s="1970"/>
      <c r="C32" s="1971"/>
      <c r="D32" s="1713" t="s">
        <v>32</v>
      </c>
      <c r="E32" s="1698" t="s">
        <v>33</v>
      </c>
      <c r="F32" s="1698" t="s">
        <v>29</v>
      </c>
      <c r="G32" s="1698" t="s">
        <v>34</v>
      </c>
      <c r="H32" s="1699" t="s">
        <v>35</v>
      </c>
      <c r="I32" s="1697" t="s">
        <v>118</v>
      </c>
      <c r="J32" s="1698" t="s">
        <v>136</v>
      </c>
      <c r="K32" s="1698" t="s">
        <v>137</v>
      </c>
      <c r="L32" s="1698" t="s">
        <v>138</v>
      </c>
      <c r="M32" s="1699" t="s">
        <v>139</v>
      </c>
    </row>
    <row r="33" spans="2:13" s="1691" customFormat="1" ht="15.75" customHeight="1">
      <c r="B33" s="1702" t="s">
        <v>731</v>
      </c>
      <c r="C33" s="1701" t="s">
        <v>14</v>
      </c>
      <c r="D33" s="687"/>
      <c r="E33" s="687"/>
      <c r="F33" s="687"/>
      <c r="G33" s="687"/>
      <c r="H33" s="688"/>
      <c r="I33" s="689"/>
      <c r="J33" s="690"/>
      <c r="K33" s="690"/>
      <c r="L33" s="690"/>
      <c r="M33" s="691"/>
    </row>
    <row r="34" spans="2:13" s="1691" customFormat="1" ht="15.75" customHeight="1">
      <c r="B34" s="1702" t="s">
        <v>238</v>
      </c>
      <c r="C34" s="1701" t="s">
        <v>14</v>
      </c>
      <c r="D34" s="687"/>
      <c r="E34" s="687"/>
      <c r="F34" s="687"/>
      <c r="G34" s="687"/>
      <c r="H34" s="688"/>
      <c r="I34" s="689"/>
      <c r="J34" s="690"/>
      <c r="K34" s="690"/>
      <c r="L34" s="690"/>
      <c r="M34" s="691"/>
    </row>
    <row r="35" spans="2:13" s="1691" customFormat="1" ht="15.75" customHeight="1">
      <c r="B35" s="1702" t="s">
        <v>244</v>
      </c>
      <c r="C35" s="1701" t="s">
        <v>14</v>
      </c>
      <c r="D35" s="687"/>
      <c r="E35" s="687"/>
      <c r="F35" s="687"/>
      <c r="G35" s="687"/>
      <c r="H35" s="688"/>
      <c r="I35" s="689"/>
      <c r="J35" s="690"/>
      <c r="K35" s="690"/>
      <c r="L35" s="690"/>
      <c r="M35" s="691"/>
    </row>
    <row r="36" spans="2:13" s="1691" customFormat="1" ht="15.75" customHeight="1">
      <c r="B36" s="1702" t="s">
        <v>491</v>
      </c>
      <c r="C36" s="1714" t="s">
        <v>14</v>
      </c>
      <c r="D36" s="687"/>
      <c r="E36" s="687"/>
      <c r="F36" s="687"/>
      <c r="G36" s="687"/>
      <c r="H36" s="688"/>
      <c r="I36" s="689"/>
      <c r="J36" s="690"/>
      <c r="K36" s="690"/>
      <c r="L36" s="690"/>
      <c r="M36" s="691"/>
    </row>
    <row r="37" spans="2:13" s="1691" customFormat="1" ht="15.75" customHeight="1" thickBot="1">
      <c r="B37" s="1715" t="s">
        <v>245</v>
      </c>
      <c r="C37" s="1716" t="s">
        <v>14</v>
      </c>
      <c r="D37" s="1717">
        <f t="shared" ref="D37:M37" si="2">SUM(D33:D36)</f>
        <v>0</v>
      </c>
      <c r="E37" s="1718">
        <f t="shared" si="2"/>
        <v>0</v>
      </c>
      <c r="F37" s="1718">
        <f t="shared" si="2"/>
        <v>0</v>
      </c>
      <c r="G37" s="1718">
        <f t="shared" si="2"/>
        <v>0</v>
      </c>
      <c r="H37" s="1719">
        <f t="shared" si="2"/>
        <v>0</v>
      </c>
      <c r="I37" s="1720">
        <f t="shared" si="2"/>
        <v>0</v>
      </c>
      <c r="J37" s="1718">
        <f t="shared" si="2"/>
        <v>0</v>
      </c>
      <c r="K37" s="1718">
        <f t="shared" si="2"/>
        <v>0</v>
      </c>
      <c r="L37" s="1718">
        <f t="shared" si="2"/>
        <v>0</v>
      </c>
      <c r="M37" s="1719">
        <f t="shared" si="2"/>
        <v>0</v>
      </c>
    </row>
    <row r="38" spans="2:13" s="1691" customFormat="1" ht="15.75" customHeight="1"/>
    <row r="39" spans="2:13" s="1691" customFormat="1" ht="15.75" customHeight="1" thickBot="1">
      <c r="B39" s="1012" t="s">
        <v>801</v>
      </c>
      <c r="C39" s="1692"/>
      <c r="D39" s="1692"/>
      <c r="E39" s="1692"/>
      <c r="F39" s="1692"/>
      <c r="G39" s="1692"/>
      <c r="H39" s="1692"/>
      <c r="I39" s="1692"/>
      <c r="J39" s="1692"/>
      <c r="K39" s="1692"/>
    </row>
    <row r="40" spans="2:13" s="1691" customFormat="1" ht="15.75" customHeight="1">
      <c r="B40" s="1968"/>
      <c r="C40" s="1969"/>
      <c r="D40" s="1694" t="s">
        <v>116</v>
      </c>
      <c r="E40" s="1694"/>
      <c r="F40" s="1694"/>
      <c r="G40" s="1694"/>
      <c r="H40" s="1695"/>
      <c r="I40" s="1693" t="s">
        <v>117</v>
      </c>
      <c r="J40" s="1696"/>
      <c r="K40" s="1696"/>
      <c r="L40" s="1696"/>
      <c r="M40" s="1695"/>
    </row>
    <row r="41" spans="2:13" s="1691" customFormat="1" ht="15.75" customHeight="1">
      <c r="B41" s="1970"/>
      <c r="C41" s="1971"/>
      <c r="D41" s="1713" t="s">
        <v>32</v>
      </c>
      <c r="E41" s="1698" t="s">
        <v>33</v>
      </c>
      <c r="F41" s="1698" t="s">
        <v>29</v>
      </c>
      <c r="G41" s="1698" t="s">
        <v>34</v>
      </c>
      <c r="H41" s="1699" t="s">
        <v>35</v>
      </c>
      <c r="I41" s="1697" t="s">
        <v>118</v>
      </c>
      <c r="J41" s="1698" t="s">
        <v>136</v>
      </c>
      <c r="K41" s="1698" t="s">
        <v>137</v>
      </c>
      <c r="L41" s="1698" t="s">
        <v>138</v>
      </c>
      <c r="M41" s="1699" t="s">
        <v>139</v>
      </c>
    </row>
    <row r="42" spans="2:13" s="1691" customFormat="1" ht="15.75" customHeight="1">
      <c r="B42" s="1702" t="s">
        <v>731</v>
      </c>
      <c r="C42" s="1701" t="s">
        <v>14</v>
      </c>
      <c r="D42" s="697"/>
      <c r="E42" s="698"/>
      <c r="F42" s="687"/>
      <c r="G42" s="687"/>
      <c r="H42" s="688"/>
      <c r="I42" s="689"/>
      <c r="J42" s="690"/>
      <c r="K42" s="690"/>
      <c r="L42" s="690"/>
      <c r="M42" s="691"/>
    </row>
    <row r="43" spans="2:13" s="1691" customFormat="1" ht="15.75" customHeight="1">
      <c r="B43" s="1702" t="s">
        <v>238</v>
      </c>
      <c r="C43" s="1701" t="s">
        <v>14</v>
      </c>
      <c r="D43" s="697"/>
      <c r="E43" s="698"/>
      <c r="F43" s="687"/>
      <c r="G43" s="687"/>
      <c r="H43" s="688"/>
      <c r="I43" s="689"/>
      <c r="J43" s="690"/>
      <c r="K43" s="690"/>
      <c r="L43" s="690"/>
      <c r="M43" s="691"/>
    </row>
    <row r="44" spans="2:13" s="1691" customFormat="1" ht="15.75" customHeight="1">
      <c r="B44" s="1702" t="s">
        <v>244</v>
      </c>
      <c r="C44" s="1701" t="s">
        <v>14</v>
      </c>
      <c r="D44" s="697"/>
      <c r="E44" s="698"/>
      <c r="F44" s="687"/>
      <c r="G44" s="687"/>
      <c r="H44" s="688"/>
      <c r="I44" s="689"/>
      <c r="J44" s="690"/>
      <c r="K44" s="690"/>
      <c r="L44" s="690"/>
      <c r="M44" s="691"/>
    </row>
    <row r="45" spans="2:13" s="1691" customFormat="1" ht="15.75" customHeight="1">
      <c r="B45" s="1702" t="s">
        <v>491</v>
      </c>
      <c r="C45" s="1714" t="s">
        <v>14</v>
      </c>
      <c r="D45" s="697"/>
      <c r="E45" s="698"/>
      <c r="F45" s="687"/>
      <c r="G45" s="687"/>
      <c r="H45" s="688"/>
      <c r="I45" s="689"/>
      <c r="J45" s="690"/>
      <c r="K45" s="690"/>
      <c r="L45" s="690"/>
      <c r="M45" s="691"/>
    </row>
    <row r="46" spans="2:13" s="1691" customFormat="1" ht="15.75" customHeight="1" thickBot="1">
      <c r="B46" s="1715" t="s">
        <v>245</v>
      </c>
      <c r="C46" s="1716" t="s">
        <v>14</v>
      </c>
      <c r="D46" s="1717">
        <f t="shared" ref="D46:M46" si="3">SUM(D42:D45)</f>
        <v>0</v>
      </c>
      <c r="E46" s="1718">
        <f t="shared" si="3"/>
        <v>0</v>
      </c>
      <c r="F46" s="1718">
        <f t="shared" si="3"/>
        <v>0</v>
      </c>
      <c r="G46" s="1718">
        <f t="shared" si="3"/>
        <v>0</v>
      </c>
      <c r="H46" s="1719">
        <f t="shared" si="3"/>
        <v>0</v>
      </c>
      <c r="I46" s="1720">
        <f t="shared" si="3"/>
        <v>0</v>
      </c>
      <c r="J46" s="1718">
        <f t="shared" si="3"/>
        <v>0</v>
      </c>
      <c r="K46" s="1718">
        <f t="shared" si="3"/>
        <v>0</v>
      </c>
      <c r="L46" s="1718">
        <f t="shared" si="3"/>
        <v>0</v>
      </c>
      <c r="M46" s="1719">
        <f t="shared" si="3"/>
        <v>0</v>
      </c>
    </row>
    <row r="47" spans="2:13" s="1691" customFormat="1" ht="15.75" customHeight="1"/>
    <row r="48" spans="2:13" s="1691" customFormat="1" ht="15.75" customHeight="1">
      <c r="B48" s="1692" t="s">
        <v>802</v>
      </c>
      <c r="C48" s="1692"/>
      <c r="D48" s="1692"/>
      <c r="E48" s="1692"/>
      <c r="F48" s="1692"/>
      <c r="G48" s="1692"/>
      <c r="H48" s="1692"/>
      <c r="I48" s="1692"/>
      <c r="J48" s="1692"/>
      <c r="K48" s="1692"/>
      <c r="L48" s="1692"/>
    </row>
    <row r="49" spans="2:24" s="1691" customFormat="1" ht="15.75" customHeight="1" thickBot="1">
      <c r="B49" s="1012"/>
      <c r="C49" s="1692"/>
      <c r="D49" s="1692"/>
      <c r="E49" s="1692"/>
      <c r="F49" s="1692"/>
      <c r="G49" s="1692"/>
      <c r="H49" s="1692"/>
      <c r="I49" s="1692"/>
      <c r="J49" s="1692"/>
      <c r="K49" s="1692"/>
      <c r="L49" s="1692"/>
    </row>
    <row r="50" spans="2:24" s="1691" customFormat="1" ht="15.75" customHeight="1">
      <c r="B50" s="1721"/>
      <c r="C50" s="1722" t="s">
        <v>803</v>
      </c>
      <c r="D50" s="1723" t="s">
        <v>804</v>
      </c>
      <c r="E50" s="1723" t="s">
        <v>805</v>
      </c>
      <c r="F50" s="1723" t="s">
        <v>806</v>
      </c>
      <c r="G50" s="1723" t="s">
        <v>807</v>
      </c>
      <c r="H50" s="1724" t="s">
        <v>808</v>
      </c>
      <c r="I50" s="1692"/>
    </row>
    <row r="51" spans="2:24" s="1691" customFormat="1" ht="15.75" customHeight="1">
      <c r="B51" s="1725" t="s">
        <v>731</v>
      </c>
      <c r="C51" s="1726"/>
      <c r="D51" s="1727"/>
      <c r="E51" s="699"/>
      <c r="F51" s="1727"/>
      <c r="G51" s="1727"/>
      <c r="H51" s="1728"/>
      <c r="I51" s="1692"/>
    </row>
    <row r="52" spans="2:24" s="1691" customFormat="1" ht="15.75" customHeight="1">
      <c r="B52" s="1725" t="s">
        <v>238</v>
      </c>
      <c r="C52" s="1726"/>
      <c r="D52" s="1727"/>
      <c r="E52" s="699"/>
      <c r="F52" s="1727"/>
      <c r="G52" s="1727"/>
      <c r="H52" s="1728"/>
      <c r="I52" s="1692"/>
    </row>
    <row r="53" spans="2:24" s="1691" customFormat="1" ht="15.75" customHeight="1">
      <c r="B53" s="1725" t="s">
        <v>244</v>
      </c>
      <c r="C53" s="1726"/>
      <c r="D53" s="1727"/>
      <c r="E53" s="699"/>
      <c r="F53" s="1727"/>
      <c r="G53" s="1727"/>
      <c r="H53" s="1728"/>
      <c r="I53" s="1692"/>
    </row>
    <row r="54" spans="2:24" s="1691" customFormat="1" ht="15.75" customHeight="1">
      <c r="B54" s="1725" t="s">
        <v>491</v>
      </c>
      <c r="C54" s="1726"/>
      <c r="D54" s="1727"/>
      <c r="E54" s="699"/>
      <c r="F54" s="1727"/>
      <c r="G54" s="1727"/>
      <c r="H54" s="1728"/>
      <c r="I54" s="1692"/>
    </row>
    <row r="55" spans="2:24" s="1691" customFormat="1" ht="15.75" customHeight="1" thickBot="1">
      <c r="B55" s="1729" t="s">
        <v>245</v>
      </c>
      <c r="C55" s="1730">
        <f t="shared" ref="C55:H55" si="4">SUM(C51:C54)</f>
        <v>0</v>
      </c>
      <c r="D55" s="1731">
        <f t="shared" si="4"/>
        <v>0</v>
      </c>
      <c r="E55" s="1731">
        <f t="shared" si="4"/>
        <v>0</v>
      </c>
      <c r="F55" s="1731">
        <f t="shared" si="4"/>
        <v>0</v>
      </c>
      <c r="G55" s="1731">
        <f t="shared" si="4"/>
        <v>0</v>
      </c>
      <c r="H55" s="1732">
        <f t="shared" si="4"/>
        <v>0</v>
      </c>
      <c r="I55" s="1692"/>
    </row>
    <row r="56" spans="2:24" s="1691" customFormat="1" ht="15.75" customHeight="1">
      <c r="B56" s="1692"/>
      <c r="C56" s="1692"/>
      <c r="D56" s="1692"/>
      <c r="E56" s="1692"/>
      <c r="F56" s="1692"/>
      <c r="G56" s="1692"/>
      <c r="H56" s="1692"/>
      <c r="I56" s="1692"/>
    </row>
    <row r="57" spans="2:24" s="1691" customFormat="1" ht="15.75" customHeight="1" thickBot="1"/>
    <row r="58" spans="2:24" s="1691" customFormat="1" ht="15.75" customHeight="1">
      <c r="B58" s="1961" t="s">
        <v>809</v>
      </c>
      <c r="C58" s="1972"/>
      <c r="D58" s="1972"/>
      <c r="E58" s="1972"/>
      <c r="F58" s="1972"/>
      <c r="G58" s="1972"/>
      <c r="H58" s="1973"/>
      <c r="I58" s="1733"/>
      <c r="J58" s="1982" t="s">
        <v>810</v>
      </c>
      <c r="K58" s="1983"/>
      <c r="L58" s="1983"/>
      <c r="M58" s="1983"/>
      <c r="N58" s="1983"/>
      <c r="O58" s="1983"/>
      <c r="P58" s="1984"/>
      <c r="R58" s="1961" t="s">
        <v>117</v>
      </c>
      <c r="S58" s="1962"/>
      <c r="T58" s="1962"/>
      <c r="U58" s="1962"/>
      <c r="V58" s="1962"/>
      <c r="W58" s="1962"/>
      <c r="X58" s="1963"/>
    </row>
    <row r="59" spans="2:24" s="1691" customFormat="1" ht="15.75" customHeight="1">
      <c r="B59" s="1959"/>
      <c r="C59" s="1734" t="s">
        <v>811</v>
      </c>
      <c r="D59" s="1985" t="s">
        <v>812</v>
      </c>
      <c r="E59" s="1986"/>
      <c r="F59" s="1986"/>
      <c r="G59" s="1986"/>
      <c r="H59" s="1987"/>
      <c r="J59" s="1735"/>
      <c r="K59" s="1734" t="s">
        <v>811</v>
      </c>
      <c r="L59" s="1985" t="s">
        <v>813</v>
      </c>
      <c r="M59" s="1986"/>
      <c r="N59" s="1986"/>
      <c r="O59" s="1986"/>
      <c r="P59" s="1987"/>
      <c r="R59" s="1959"/>
      <c r="S59" s="1964" t="s">
        <v>811</v>
      </c>
      <c r="T59" s="1956" t="s">
        <v>813</v>
      </c>
      <c r="U59" s="1957"/>
      <c r="V59" s="1957"/>
      <c r="W59" s="1957"/>
      <c r="X59" s="1958"/>
    </row>
    <row r="60" spans="2:24" s="1691" customFormat="1" ht="48.75" customHeight="1">
      <c r="B60" s="1960"/>
      <c r="C60" s="1736"/>
      <c r="D60" s="1737" t="s">
        <v>814</v>
      </c>
      <c r="E60" s="1737" t="s">
        <v>815</v>
      </c>
      <c r="F60" s="1737" t="s">
        <v>816</v>
      </c>
      <c r="G60" s="1013" t="s">
        <v>817</v>
      </c>
      <c r="H60" s="1738" t="s">
        <v>818</v>
      </c>
      <c r="I60" s="1739"/>
      <c r="J60" s="1740"/>
      <c r="K60" s="1741"/>
      <c r="L60" s="1013" t="s">
        <v>814</v>
      </c>
      <c r="M60" s="1013" t="s">
        <v>815</v>
      </c>
      <c r="N60" s="1013" t="s">
        <v>816</v>
      </c>
      <c r="O60" s="1013" t="s">
        <v>817</v>
      </c>
      <c r="P60" s="1738" t="s">
        <v>818</v>
      </c>
      <c r="R60" s="1960"/>
      <c r="S60" s="1967"/>
      <c r="T60" s="1013" t="s">
        <v>814</v>
      </c>
      <c r="U60" s="1013" t="s">
        <v>815</v>
      </c>
      <c r="V60" s="1013" t="s">
        <v>816</v>
      </c>
      <c r="W60" s="1013" t="s">
        <v>817</v>
      </c>
      <c r="X60" s="1738" t="s">
        <v>818</v>
      </c>
    </row>
    <row r="61" spans="2:24" s="1691" customFormat="1" ht="15.75" customHeight="1">
      <c r="B61" s="1725" t="s">
        <v>731</v>
      </c>
      <c r="C61" s="1726">
        <f>SUM(D61:H61)</f>
        <v>0</v>
      </c>
      <c r="D61" s="700"/>
      <c r="E61" s="700"/>
      <c r="F61" s="700"/>
      <c r="G61" s="699"/>
      <c r="H61" s="701"/>
      <c r="I61" s="1739"/>
      <c r="J61" s="1742" t="s">
        <v>731</v>
      </c>
      <c r="K61" s="1743">
        <f>SUM(L61:P61)</f>
        <v>0</v>
      </c>
      <c r="L61" s="702"/>
      <c r="M61" s="702"/>
      <c r="N61" s="702"/>
      <c r="O61" s="703"/>
      <c r="P61" s="704"/>
      <c r="R61" s="1742" t="s">
        <v>731</v>
      </c>
      <c r="S61" s="1743">
        <f>SUM(T61:X61)</f>
        <v>0</v>
      </c>
      <c r="T61" s="702"/>
      <c r="U61" s="702"/>
      <c r="V61" s="702"/>
      <c r="W61" s="703"/>
      <c r="X61" s="704"/>
    </row>
    <row r="62" spans="2:24" s="1691" customFormat="1" ht="15.75" customHeight="1">
      <c r="B62" s="1725" t="s">
        <v>238</v>
      </c>
      <c r="C62" s="1743">
        <f>SUM(D62:H62)</f>
        <v>0</v>
      </c>
      <c r="D62" s="700"/>
      <c r="E62" s="700"/>
      <c r="F62" s="700"/>
      <c r="G62" s="699"/>
      <c r="H62" s="701"/>
      <c r="I62" s="1739"/>
      <c r="J62" s="1725" t="s">
        <v>238</v>
      </c>
      <c r="K62" s="1743">
        <f>SUM(L62:P62)</f>
        <v>0</v>
      </c>
      <c r="L62" s="700"/>
      <c r="M62" s="700"/>
      <c r="N62" s="700"/>
      <c r="O62" s="699"/>
      <c r="P62" s="701"/>
      <c r="R62" s="1725" t="s">
        <v>238</v>
      </c>
      <c r="S62" s="1743">
        <f>SUM(T62:X62)</f>
        <v>0</v>
      </c>
      <c r="T62" s="700"/>
      <c r="U62" s="700"/>
      <c r="V62" s="700"/>
      <c r="W62" s="699"/>
      <c r="X62" s="701"/>
    </row>
    <row r="63" spans="2:24" s="1691" customFormat="1" ht="15.75" customHeight="1">
      <c r="B63" s="1725" t="s">
        <v>244</v>
      </c>
      <c r="C63" s="1743">
        <f>SUM(D63:H63)</f>
        <v>0</v>
      </c>
      <c r="D63" s="700"/>
      <c r="E63" s="700"/>
      <c r="F63" s="700"/>
      <c r="G63" s="699"/>
      <c r="H63" s="701"/>
      <c r="I63" s="1739"/>
      <c r="J63" s="1725" t="s">
        <v>244</v>
      </c>
      <c r="K63" s="1743">
        <f>SUM(L63:P63)</f>
        <v>0</v>
      </c>
      <c r="L63" s="700"/>
      <c r="M63" s="700"/>
      <c r="N63" s="700"/>
      <c r="O63" s="699"/>
      <c r="P63" s="701"/>
      <c r="R63" s="1725" t="s">
        <v>244</v>
      </c>
      <c r="S63" s="1743">
        <f>SUM(T63:X63)</f>
        <v>0</v>
      </c>
      <c r="T63" s="700"/>
      <c r="U63" s="700"/>
      <c r="V63" s="700"/>
      <c r="W63" s="699"/>
      <c r="X63" s="701"/>
    </row>
    <row r="64" spans="2:24" s="1691" customFormat="1" ht="15.75" customHeight="1">
      <c r="B64" s="1725" t="s">
        <v>491</v>
      </c>
      <c r="C64" s="1743">
        <f>SUM(D64:H64)</f>
        <v>0</v>
      </c>
      <c r="D64" s="700"/>
      <c r="E64" s="700"/>
      <c r="F64" s="700"/>
      <c r="G64" s="699"/>
      <c r="H64" s="701"/>
      <c r="I64" s="1739"/>
      <c r="J64" s="1725" t="s">
        <v>491</v>
      </c>
      <c r="K64" s="1743">
        <f>SUM(L64:P64)</f>
        <v>0</v>
      </c>
      <c r="L64" s="700"/>
      <c r="M64" s="700"/>
      <c r="N64" s="700"/>
      <c r="O64" s="699"/>
      <c r="P64" s="701"/>
      <c r="R64" s="1725" t="s">
        <v>491</v>
      </c>
      <c r="S64" s="1743">
        <f>SUM(T64:X64)</f>
        <v>0</v>
      </c>
      <c r="T64" s="700"/>
      <c r="U64" s="700"/>
      <c r="V64" s="700"/>
      <c r="W64" s="699"/>
      <c r="X64" s="701"/>
    </row>
    <row r="65" spans="2:24" s="1691" customFormat="1" ht="15.75" customHeight="1" thickBot="1">
      <c r="B65" s="1729" t="s">
        <v>245</v>
      </c>
      <c r="C65" s="1730">
        <f t="shared" ref="C65:H65" si="5">SUM(C61:C64)</f>
        <v>0</v>
      </c>
      <c r="D65" s="1731">
        <f t="shared" si="5"/>
        <v>0</v>
      </c>
      <c r="E65" s="1731">
        <f t="shared" si="5"/>
        <v>0</v>
      </c>
      <c r="F65" s="1731">
        <f t="shared" si="5"/>
        <v>0</v>
      </c>
      <c r="G65" s="1731">
        <f t="shared" si="5"/>
        <v>0</v>
      </c>
      <c r="H65" s="1732">
        <f t="shared" si="5"/>
        <v>0</v>
      </c>
      <c r="I65" s="1739"/>
      <c r="J65" s="1729" t="s">
        <v>245</v>
      </c>
      <c r="K65" s="1730">
        <f t="shared" ref="K65:P65" si="6">SUM(K61:K64)</f>
        <v>0</v>
      </c>
      <c r="L65" s="1731">
        <f t="shared" si="6"/>
        <v>0</v>
      </c>
      <c r="M65" s="1731">
        <f t="shared" si="6"/>
        <v>0</v>
      </c>
      <c r="N65" s="1731">
        <f t="shared" si="6"/>
        <v>0</v>
      </c>
      <c r="O65" s="1731">
        <f t="shared" si="6"/>
        <v>0</v>
      </c>
      <c r="P65" s="1732">
        <f t="shared" si="6"/>
        <v>0</v>
      </c>
      <c r="R65" s="1729" t="s">
        <v>245</v>
      </c>
      <c r="S65" s="1730">
        <f t="shared" ref="S65:X65" si="7">SUM(S61:S64)</f>
        <v>0</v>
      </c>
      <c r="T65" s="1731">
        <f t="shared" si="7"/>
        <v>0</v>
      </c>
      <c r="U65" s="1731">
        <f t="shared" si="7"/>
        <v>0</v>
      </c>
      <c r="V65" s="1731">
        <f t="shared" si="7"/>
        <v>0</v>
      </c>
      <c r="W65" s="1731">
        <f t="shared" si="7"/>
        <v>0</v>
      </c>
      <c r="X65" s="1732">
        <f t="shared" si="7"/>
        <v>0</v>
      </c>
    </row>
    <row r="66" spans="2:24" s="1691" customFormat="1" ht="15.75" customHeight="1" thickBot="1">
      <c r="B66" s="1744"/>
      <c r="C66" s="1745"/>
      <c r="D66" s="1745"/>
      <c r="E66" s="1745"/>
      <c r="F66" s="1745"/>
      <c r="G66" s="1745"/>
      <c r="H66" s="1745"/>
      <c r="I66" s="1739"/>
      <c r="J66" s="1744"/>
      <c r="K66" s="1745"/>
      <c r="L66" s="1745"/>
      <c r="M66" s="1745"/>
      <c r="N66" s="1745"/>
      <c r="O66" s="1745"/>
      <c r="P66" s="1745"/>
      <c r="R66" s="1744"/>
      <c r="S66" s="1745"/>
      <c r="T66" s="1745"/>
      <c r="U66" s="1745"/>
      <c r="V66" s="1745"/>
      <c r="W66" s="1745"/>
      <c r="X66" s="1745"/>
    </row>
    <row r="67" spans="2:24" s="1691" customFormat="1" ht="15.75" customHeight="1">
      <c r="B67" s="1961" t="s">
        <v>809</v>
      </c>
      <c r="C67" s="1962"/>
      <c r="D67" s="1962"/>
      <c r="E67" s="1962"/>
      <c r="F67" s="1962"/>
      <c r="G67" s="1962"/>
      <c r="H67" s="1963"/>
      <c r="I67" s="1733"/>
      <c r="J67" s="1961" t="s">
        <v>810</v>
      </c>
      <c r="K67" s="1962"/>
      <c r="L67" s="1962"/>
      <c r="M67" s="1962"/>
      <c r="N67" s="1962"/>
      <c r="O67" s="1962"/>
      <c r="P67" s="1963"/>
      <c r="R67" s="1961" t="s">
        <v>117</v>
      </c>
      <c r="S67" s="1962"/>
      <c r="T67" s="1962"/>
      <c r="U67" s="1962"/>
      <c r="V67" s="1962"/>
      <c r="W67" s="1962"/>
      <c r="X67" s="1963"/>
    </row>
    <row r="68" spans="2:24" s="1691" customFormat="1" ht="15.75" customHeight="1">
      <c r="B68" s="1959"/>
      <c r="C68" s="1980" t="s">
        <v>819</v>
      </c>
      <c r="D68" s="1956" t="s">
        <v>812</v>
      </c>
      <c r="E68" s="1957"/>
      <c r="F68" s="1957"/>
      <c r="G68" s="1957"/>
      <c r="H68" s="1958"/>
      <c r="J68" s="1959"/>
      <c r="K68" s="1964" t="s">
        <v>819</v>
      </c>
      <c r="L68" s="1746" t="s">
        <v>813</v>
      </c>
      <c r="M68" s="1747"/>
      <c r="N68" s="1747"/>
      <c r="O68" s="1747"/>
      <c r="P68" s="1748"/>
      <c r="R68" s="1959"/>
      <c r="S68" s="1964" t="s">
        <v>819</v>
      </c>
      <c r="T68" s="1956" t="s">
        <v>813</v>
      </c>
      <c r="U68" s="1957"/>
      <c r="V68" s="1957"/>
      <c r="W68" s="1957"/>
      <c r="X68" s="1958"/>
    </row>
    <row r="69" spans="2:24" s="1691" customFormat="1" ht="30" customHeight="1">
      <c r="B69" s="1960"/>
      <c r="C69" s="1981"/>
      <c r="D69" s="1013" t="s">
        <v>814</v>
      </c>
      <c r="E69" s="1013" t="s">
        <v>815</v>
      </c>
      <c r="F69" s="1013" t="s">
        <v>816</v>
      </c>
      <c r="G69" s="1013" t="s">
        <v>817</v>
      </c>
      <c r="H69" s="1749" t="s">
        <v>818</v>
      </c>
      <c r="I69" s="1739"/>
      <c r="J69" s="1960"/>
      <c r="K69" s="1967"/>
      <c r="L69" s="1750" t="s">
        <v>814</v>
      </c>
      <c r="M69" s="1750" t="s">
        <v>815</v>
      </c>
      <c r="N69" s="1750" t="s">
        <v>816</v>
      </c>
      <c r="O69" s="1750" t="s">
        <v>817</v>
      </c>
      <c r="P69" s="1749" t="s">
        <v>818</v>
      </c>
      <c r="R69" s="1960"/>
      <c r="S69" s="1967"/>
      <c r="T69" s="1013" t="s">
        <v>814</v>
      </c>
      <c r="U69" s="1013" t="s">
        <v>815</v>
      </c>
      <c r="V69" s="1013" t="s">
        <v>816</v>
      </c>
      <c r="W69" s="1013" t="s">
        <v>817</v>
      </c>
      <c r="X69" s="1749" t="s">
        <v>818</v>
      </c>
    </row>
    <row r="70" spans="2:24" s="1691" customFormat="1" ht="15.75" customHeight="1">
      <c r="B70" s="1751" t="s">
        <v>731</v>
      </c>
      <c r="C70" s="702"/>
      <c r="D70" s="702"/>
      <c r="E70" s="702"/>
      <c r="F70" s="702"/>
      <c r="G70" s="703"/>
      <c r="H70" s="1752"/>
      <c r="I70" s="1739"/>
      <c r="J70" s="1742" t="s">
        <v>731</v>
      </c>
      <c r="K70" s="705"/>
      <c r="L70" s="702"/>
      <c r="M70" s="702"/>
      <c r="N70" s="702"/>
      <c r="O70" s="703"/>
      <c r="P70" s="706"/>
      <c r="R70" s="1742" t="s">
        <v>731</v>
      </c>
      <c r="S70" s="705"/>
      <c r="T70" s="702"/>
      <c r="U70" s="702"/>
      <c r="V70" s="702"/>
      <c r="W70" s="703"/>
      <c r="X70" s="706"/>
    </row>
    <row r="71" spans="2:24" s="1691" customFormat="1" ht="15.75" customHeight="1">
      <c r="B71" s="1753" t="s">
        <v>238</v>
      </c>
      <c r="C71" s="700"/>
      <c r="D71" s="700"/>
      <c r="E71" s="700"/>
      <c r="F71" s="700"/>
      <c r="G71" s="699"/>
      <c r="H71" s="1754"/>
      <c r="I71" s="1739"/>
      <c r="J71" s="1725" t="s">
        <v>238</v>
      </c>
      <c r="K71" s="707"/>
      <c r="L71" s="700"/>
      <c r="M71" s="700"/>
      <c r="N71" s="700"/>
      <c r="O71" s="699"/>
      <c r="P71" s="708"/>
      <c r="R71" s="1725" t="s">
        <v>238</v>
      </c>
      <c r="S71" s="707"/>
      <c r="T71" s="700"/>
      <c r="U71" s="700"/>
      <c r="V71" s="700"/>
      <c r="W71" s="699"/>
      <c r="X71" s="708"/>
    </row>
    <row r="72" spans="2:24" s="1691" customFormat="1" ht="15.75" customHeight="1">
      <c r="B72" s="1753" t="s">
        <v>244</v>
      </c>
      <c r="C72" s="700"/>
      <c r="D72" s="700"/>
      <c r="E72" s="700"/>
      <c r="F72" s="700"/>
      <c r="G72" s="699"/>
      <c r="H72" s="1754"/>
      <c r="I72" s="1739"/>
      <c r="J72" s="1725" t="s">
        <v>244</v>
      </c>
      <c r="K72" s="707"/>
      <c r="L72" s="700"/>
      <c r="M72" s="700"/>
      <c r="N72" s="700"/>
      <c r="O72" s="699"/>
      <c r="P72" s="708"/>
      <c r="R72" s="1725" t="s">
        <v>244</v>
      </c>
      <c r="S72" s="707"/>
      <c r="T72" s="700"/>
      <c r="U72" s="700"/>
      <c r="V72" s="700"/>
      <c r="W72" s="699"/>
      <c r="X72" s="708"/>
    </row>
    <row r="73" spans="2:24" s="1691" customFormat="1" ht="15.75" customHeight="1">
      <c r="B73" s="1753" t="s">
        <v>491</v>
      </c>
      <c r="C73" s="700"/>
      <c r="D73" s="700"/>
      <c r="E73" s="700"/>
      <c r="F73" s="700"/>
      <c r="G73" s="699"/>
      <c r="H73" s="1754"/>
      <c r="I73" s="1739"/>
      <c r="J73" s="1725" t="s">
        <v>491</v>
      </c>
      <c r="K73" s="707"/>
      <c r="L73" s="700"/>
      <c r="M73" s="700"/>
      <c r="N73" s="700"/>
      <c r="O73" s="699"/>
      <c r="P73" s="708"/>
      <c r="R73" s="1725" t="s">
        <v>491</v>
      </c>
      <c r="S73" s="707"/>
      <c r="T73" s="700"/>
      <c r="U73" s="700"/>
      <c r="V73" s="700"/>
      <c r="W73" s="699"/>
      <c r="X73" s="708"/>
    </row>
    <row r="74" spans="2:24" s="1691" customFormat="1" ht="15.75" customHeight="1" thickBot="1">
      <c r="B74" s="1755" t="s">
        <v>245</v>
      </c>
      <c r="C74" s="1756">
        <f t="shared" ref="C74:H74" si="8">SUM(C70:C73)</f>
        <v>0</v>
      </c>
      <c r="D74" s="1731">
        <f t="shared" si="8"/>
        <v>0</v>
      </c>
      <c r="E74" s="1731">
        <f t="shared" si="8"/>
        <v>0</v>
      </c>
      <c r="F74" s="1731">
        <f t="shared" si="8"/>
        <v>0</v>
      </c>
      <c r="G74" s="1731">
        <f t="shared" si="8"/>
        <v>0</v>
      </c>
      <c r="H74" s="1757">
        <f t="shared" si="8"/>
        <v>0</v>
      </c>
      <c r="I74" s="1739"/>
      <c r="J74" s="1729" t="s">
        <v>245</v>
      </c>
      <c r="K74" s="1730">
        <f t="shared" ref="K74:P74" si="9">SUM(K70:K73)</f>
        <v>0</v>
      </c>
      <c r="L74" s="1731">
        <f t="shared" si="9"/>
        <v>0</v>
      </c>
      <c r="M74" s="1731">
        <f t="shared" si="9"/>
        <v>0</v>
      </c>
      <c r="N74" s="1731">
        <f t="shared" si="9"/>
        <v>0</v>
      </c>
      <c r="O74" s="1731">
        <f t="shared" si="9"/>
        <v>0</v>
      </c>
      <c r="P74" s="1757">
        <f t="shared" si="9"/>
        <v>0</v>
      </c>
      <c r="R74" s="1729" t="s">
        <v>245</v>
      </c>
      <c r="S74" s="1730">
        <f t="shared" ref="S74:X74" si="10">SUM(S70:S73)</f>
        <v>0</v>
      </c>
      <c r="T74" s="1731">
        <f t="shared" si="10"/>
        <v>0</v>
      </c>
      <c r="U74" s="1731">
        <f t="shared" si="10"/>
        <v>0</v>
      </c>
      <c r="V74" s="1731">
        <f t="shared" si="10"/>
        <v>0</v>
      </c>
      <c r="W74" s="1731">
        <f t="shared" si="10"/>
        <v>0</v>
      </c>
      <c r="X74" s="1757">
        <f t="shared" si="10"/>
        <v>0</v>
      </c>
    </row>
    <row r="75" spans="2:24" s="1691" customFormat="1" ht="15.75" customHeight="1" thickBot="1">
      <c r="B75" s="1744"/>
      <c r="C75" s="1745"/>
      <c r="D75" s="1745"/>
      <c r="E75" s="1745"/>
      <c r="F75" s="1745"/>
      <c r="G75" s="1745"/>
      <c r="H75" s="1745"/>
      <c r="I75" s="1739"/>
      <c r="J75" s="1758"/>
      <c r="K75" s="1759"/>
      <c r="L75" s="1759"/>
      <c r="M75" s="1759"/>
      <c r="N75" s="1759"/>
      <c r="O75" s="1759"/>
      <c r="P75" s="1759"/>
      <c r="R75" s="1744"/>
      <c r="S75" s="1745"/>
      <c r="T75" s="1745"/>
      <c r="U75" s="1745"/>
      <c r="V75" s="1745"/>
      <c r="W75" s="1745"/>
      <c r="X75" s="1745"/>
    </row>
    <row r="76" spans="2:24" s="1691" customFormat="1" ht="15.75" customHeight="1">
      <c r="B76" s="1961" t="s">
        <v>809</v>
      </c>
      <c r="C76" s="1962"/>
      <c r="D76" s="1962"/>
      <c r="E76" s="1962"/>
      <c r="F76" s="1962"/>
      <c r="G76" s="1962"/>
      <c r="H76" s="1963"/>
      <c r="J76" s="1961" t="s">
        <v>810</v>
      </c>
      <c r="K76" s="1962"/>
      <c r="L76" s="1962"/>
      <c r="M76" s="1962"/>
      <c r="N76" s="1962"/>
      <c r="O76" s="1962"/>
      <c r="P76" s="1963"/>
      <c r="R76" s="1961" t="s">
        <v>117</v>
      </c>
      <c r="S76" s="1962"/>
      <c r="T76" s="1962"/>
      <c r="U76" s="1962"/>
      <c r="V76" s="1962"/>
      <c r="W76" s="1962"/>
      <c r="X76" s="1963"/>
    </row>
    <row r="77" spans="2:24" s="1691" customFormat="1" ht="15.75" customHeight="1">
      <c r="B77" s="1959"/>
      <c r="C77" s="1964" t="s">
        <v>820</v>
      </c>
      <c r="D77" s="1956" t="s">
        <v>821</v>
      </c>
      <c r="E77" s="1957"/>
      <c r="F77" s="1957"/>
      <c r="G77" s="1957"/>
      <c r="H77" s="1958"/>
      <c r="J77" s="1959"/>
      <c r="K77" s="1966" t="s">
        <v>820</v>
      </c>
      <c r="L77" s="1746" t="s">
        <v>822</v>
      </c>
      <c r="M77" s="1747"/>
      <c r="N77" s="1747"/>
      <c r="O77" s="1747"/>
      <c r="P77" s="1748"/>
      <c r="R77" s="1959"/>
      <c r="S77" s="1966" t="s">
        <v>820</v>
      </c>
      <c r="T77" s="1956" t="s">
        <v>822</v>
      </c>
      <c r="U77" s="1957"/>
      <c r="V77" s="1957"/>
      <c r="W77" s="1957"/>
      <c r="X77" s="1958"/>
    </row>
    <row r="78" spans="2:24" s="1691" customFormat="1" ht="30" customHeight="1">
      <c r="B78" s="1960"/>
      <c r="C78" s="1965"/>
      <c r="D78" s="1013" t="s">
        <v>814</v>
      </c>
      <c r="E78" s="1013" t="s">
        <v>815</v>
      </c>
      <c r="F78" s="1013" t="s">
        <v>816</v>
      </c>
      <c r="G78" s="1013" t="s">
        <v>817</v>
      </c>
      <c r="H78" s="1749" t="s">
        <v>818</v>
      </c>
      <c r="J78" s="1960"/>
      <c r="K78" s="1967"/>
      <c r="L78" s="1750" t="s">
        <v>814</v>
      </c>
      <c r="M78" s="1750" t="s">
        <v>815</v>
      </c>
      <c r="N78" s="1750" t="s">
        <v>816</v>
      </c>
      <c r="O78" s="1750" t="s">
        <v>817</v>
      </c>
      <c r="P78" s="1749" t="s">
        <v>818</v>
      </c>
      <c r="R78" s="1960"/>
      <c r="S78" s="1967"/>
      <c r="T78" s="1013" t="s">
        <v>814</v>
      </c>
      <c r="U78" s="1013" t="s">
        <v>815</v>
      </c>
      <c r="V78" s="1013" t="s">
        <v>816</v>
      </c>
      <c r="W78" s="1013" t="s">
        <v>817</v>
      </c>
      <c r="X78" s="1749" t="s">
        <v>818</v>
      </c>
    </row>
    <row r="79" spans="2:24" s="1691" customFormat="1" ht="15.75" customHeight="1">
      <c r="B79" s="1742" t="s">
        <v>731</v>
      </c>
      <c r="C79" s="1760">
        <f>SUM(D33:F33)</f>
        <v>0</v>
      </c>
      <c r="D79" s="709"/>
      <c r="E79" s="709"/>
      <c r="F79" s="709"/>
      <c r="G79" s="690"/>
      <c r="H79" s="710"/>
      <c r="J79" s="1742" t="s">
        <v>731</v>
      </c>
      <c r="K79" s="1760">
        <f>SUM(G33:H33)</f>
        <v>0</v>
      </c>
      <c r="L79" s="709"/>
      <c r="M79" s="709"/>
      <c r="N79" s="709"/>
      <c r="O79" s="711"/>
      <c r="P79" s="712"/>
      <c r="R79" s="1742" t="s">
        <v>731</v>
      </c>
      <c r="S79" s="1760">
        <f>SUM(I33:M33)</f>
        <v>0</v>
      </c>
      <c r="T79" s="709"/>
      <c r="U79" s="709"/>
      <c r="V79" s="709"/>
      <c r="W79" s="711"/>
      <c r="X79" s="712"/>
    </row>
    <row r="80" spans="2:24" s="1691" customFormat="1" ht="15.75" customHeight="1">
      <c r="B80" s="1725" t="s">
        <v>238</v>
      </c>
      <c r="C80" s="1760">
        <f>SUM(D34:F34)</f>
        <v>0</v>
      </c>
      <c r="D80" s="687"/>
      <c r="E80" s="687"/>
      <c r="F80" s="687"/>
      <c r="G80" s="690"/>
      <c r="H80" s="710"/>
      <c r="J80" s="1725" t="s">
        <v>238</v>
      </c>
      <c r="K80" s="1760">
        <f>SUM(G34:H34)</f>
        <v>0</v>
      </c>
      <c r="L80" s="687"/>
      <c r="M80" s="687"/>
      <c r="N80" s="687"/>
      <c r="O80" s="690"/>
      <c r="P80" s="710"/>
      <c r="R80" s="1725" t="s">
        <v>238</v>
      </c>
      <c r="S80" s="1760">
        <f>SUM(I34:M34)</f>
        <v>0</v>
      </c>
      <c r="T80" s="687"/>
      <c r="U80" s="687"/>
      <c r="V80" s="687"/>
      <c r="W80" s="690"/>
      <c r="X80" s="710"/>
    </row>
    <row r="81" spans="2:24" s="1691" customFormat="1" ht="15.75" customHeight="1">
      <c r="B81" s="1725" t="s">
        <v>244</v>
      </c>
      <c r="C81" s="1760">
        <f>SUM(D35:F35)</f>
        <v>0</v>
      </c>
      <c r="D81" s="687"/>
      <c r="E81" s="687"/>
      <c r="F81" s="687"/>
      <c r="G81" s="690"/>
      <c r="H81" s="710"/>
      <c r="J81" s="1725" t="s">
        <v>244</v>
      </c>
      <c r="K81" s="1760">
        <f>SUM(G35:H35)</f>
        <v>0</v>
      </c>
      <c r="L81" s="687"/>
      <c r="M81" s="687"/>
      <c r="N81" s="687"/>
      <c r="O81" s="690"/>
      <c r="P81" s="710"/>
      <c r="R81" s="1725" t="s">
        <v>244</v>
      </c>
      <c r="S81" s="1760">
        <f>SUM(I35:M35)</f>
        <v>0</v>
      </c>
      <c r="T81" s="687"/>
      <c r="U81" s="687"/>
      <c r="V81" s="687"/>
      <c r="W81" s="690"/>
      <c r="X81" s="710"/>
    </row>
    <row r="82" spans="2:24" s="1691" customFormat="1" ht="15.75" customHeight="1">
      <c r="B82" s="1725" t="s">
        <v>491</v>
      </c>
      <c r="C82" s="1760">
        <f>SUM(D36:F36)</f>
        <v>0</v>
      </c>
      <c r="D82" s="687"/>
      <c r="E82" s="687"/>
      <c r="F82" s="687"/>
      <c r="G82" s="690"/>
      <c r="H82" s="710"/>
      <c r="J82" s="1725" t="s">
        <v>491</v>
      </c>
      <c r="K82" s="1760">
        <f>SUM(G36:H36)</f>
        <v>0</v>
      </c>
      <c r="L82" s="687"/>
      <c r="M82" s="687"/>
      <c r="N82" s="687"/>
      <c r="O82" s="690"/>
      <c r="P82" s="710"/>
      <c r="R82" s="1725" t="s">
        <v>491</v>
      </c>
      <c r="S82" s="1760">
        <f>SUM(I36:M36)</f>
        <v>0</v>
      </c>
      <c r="T82" s="687"/>
      <c r="U82" s="687"/>
      <c r="V82" s="687"/>
      <c r="W82" s="690"/>
      <c r="X82" s="710"/>
    </row>
    <row r="83" spans="2:24" s="1691" customFormat="1" ht="15.75" customHeight="1" thickBot="1">
      <c r="B83" s="1729" t="s">
        <v>245</v>
      </c>
      <c r="C83" s="1761">
        <f t="shared" ref="C83:H83" si="11">SUM(C79:C82)</f>
        <v>0</v>
      </c>
      <c r="D83" s="1762">
        <f t="shared" si="11"/>
        <v>0</v>
      </c>
      <c r="E83" s="1762">
        <f t="shared" si="11"/>
        <v>0</v>
      </c>
      <c r="F83" s="1762">
        <f t="shared" si="11"/>
        <v>0</v>
      </c>
      <c r="G83" s="1762">
        <f t="shared" si="11"/>
        <v>0</v>
      </c>
      <c r="H83" s="1757">
        <f t="shared" si="11"/>
        <v>0</v>
      </c>
      <c r="J83" s="1729" t="s">
        <v>245</v>
      </c>
      <c r="K83" s="1761">
        <f t="shared" ref="K83:P83" si="12">SUM(K79:K82)</f>
        <v>0</v>
      </c>
      <c r="L83" s="1762">
        <f t="shared" si="12"/>
        <v>0</v>
      </c>
      <c r="M83" s="1762">
        <f t="shared" si="12"/>
        <v>0</v>
      </c>
      <c r="N83" s="1762">
        <f t="shared" si="12"/>
        <v>0</v>
      </c>
      <c r="O83" s="1762">
        <f t="shared" si="12"/>
        <v>0</v>
      </c>
      <c r="P83" s="1757">
        <f t="shared" si="12"/>
        <v>0</v>
      </c>
      <c r="R83" s="1729" t="s">
        <v>245</v>
      </c>
      <c r="S83" s="1761">
        <f t="shared" ref="S83:X83" si="13">SUM(S79:S82)</f>
        <v>0</v>
      </c>
      <c r="T83" s="1762">
        <f t="shared" si="13"/>
        <v>0</v>
      </c>
      <c r="U83" s="1762">
        <f t="shared" si="13"/>
        <v>0</v>
      </c>
      <c r="V83" s="1762">
        <f t="shared" si="13"/>
        <v>0</v>
      </c>
      <c r="W83" s="1762">
        <f t="shared" si="13"/>
        <v>0</v>
      </c>
      <c r="X83" s="1757">
        <f t="shared" si="13"/>
        <v>0</v>
      </c>
    </row>
    <row r="84" spans="2:24" s="1691" customFormat="1" ht="15.75" customHeight="1" thickBot="1">
      <c r="J84" s="1763"/>
      <c r="K84" s="1763"/>
      <c r="L84" s="1763"/>
      <c r="M84" s="1763"/>
      <c r="N84" s="1763"/>
      <c r="O84" s="1763"/>
      <c r="P84" s="1763"/>
    </row>
    <row r="85" spans="2:24" s="1691" customFormat="1" ht="15.75" customHeight="1">
      <c r="B85" s="1961" t="s">
        <v>809</v>
      </c>
      <c r="C85" s="1962"/>
      <c r="D85" s="1962"/>
      <c r="E85" s="1962"/>
      <c r="F85" s="1962"/>
      <c r="G85" s="1962"/>
      <c r="H85" s="1963"/>
      <c r="J85" s="1961" t="s">
        <v>810</v>
      </c>
      <c r="K85" s="1962"/>
      <c r="L85" s="1962"/>
      <c r="M85" s="1962"/>
      <c r="N85" s="1962"/>
      <c r="O85" s="1962"/>
      <c r="P85" s="1963"/>
      <c r="R85" s="1961" t="s">
        <v>117</v>
      </c>
      <c r="S85" s="1962"/>
      <c r="T85" s="1962"/>
      <c r="U85" s="1962"/>
      <c r="V85" s="1962"/>
      <c r="W85" s="1962"/>
      <c r="X85" s="1963"/>
    </row>
    <row r="86" spans="2:24" s="1691" customFormat="1" ht="15.75" customHeight="1">
      <c r="B86" s="1959"/>
      <c r="C86" s="1966" t="s">
        <v>823</v>
      </c>
      <c r="D86" s="1956" t="s">
        <v>824</v>
      </c>
      <c r="E86" s="1957"/>
      <c r="F86" s="1957"/>
      <c r="G86" s="1957"/>
      <c r="H86" s="1958"/>
      <c r="J86" s="1959"/>
      <c r="K86" s="1966" t="s">
        <v>823</v>
      </c>
      <c r="L86" s="1746" t="s">
        <v>825</v>
      </c>
      <c r="M86" s="1747"/>
      <c r="N86" s="1747"/>
      <c r="O86" s="1747"/>
      <c r="P86" s="1748"/>
      <c r="R86" s="1959"/>
      <c r="S86" s="1966" t="s">
        <v>823</v>
      </c>
      <c r="T86" s="1956" t="s">
        <v>825</v>
      </c>
      <c r="U86" s="1957"/>
      <c r="V86" s="1957"/>
      <c r="W86" s="1957"/>
      <c r="X86" s="1958"/>
    </row>
    <row r="87" spans="2:24" s="1691" customFormat="1" ht="30" customHeight="1" thickBot="1">
      <c r="B87" s="1960"/>
      <c r="C87" s="1967"/>
      <c r="D87" s="1013" t="s">
        <v>814</v>
      </c>
      <c r="E87" s="1013" t="s">
        <v>815</v>
      </c>
      <c r="F87" s="1013" t="s">
        <v>816</v>
      </c>
      <c r="G87" s="1013" t="s">
        <v>817</v>
      </c>
      <c r="H87" s="1764" t="s">
        <v>818</v>
      </c>
      <c r="J87" s="1960"/>
      <c r="K87" s="1967"/>
      <c r="L87" s="1750" t="s">
        <v>814</v>
      </c>
      <c r="M87" s="1750" t="s">
        <v>815</v>
      </c>
      <c r="N87" s="1750" t="s">
        <v>816</v>
      </c>
      <c r="O87" s="1750" t="s">
        <v>817</v>
      </c>
      <c r="P87" s="1749"/>
      <c r="R87" s="1960"/>
      <c r="S87" s="1967"/>
      <c r="T87" s="1013" t="s">
        <v>814</v>
      </c>
      <c r="U87" s="1013" t="s">
        <v>815</v>
      </c>
      <c r="V87" s="1013" t="s">
        <v>816</v>
      </c>
      <c r="W87" s="1013" t="s">
        <v>817</v>
      </c>
      <c r="X87" s="1749"/>
    </row>
    <row r="88" spans="2:24" s="1691" customFormat="1" ht="15.75" customHeight="1">
      <c r="B88" s="1742" t="s">
        <v>731</v>
      </c>
      <c r="C88" s="1760">
        <f t="shared" ref="C88:G91" si="14">IF(C70&gt;0,C79*1000/C70,0)</f>
        <v>0</v>
      </c>
      <c r="D88" s="1765">
        <f t="shared" si="14"/>
        <v>0</v>
      </c>
      <c r="E88" s="1765">
        <f t="shared" si="14"/>
        <v>0</v>
      </c>
      <c r="F88" s="1765">
        <f t="shared" si="14"/>
        <v>0</v>
      </c>
      <c r="G88" s="1765">
        <f t="shared" si="14"/>
        <v>0</v>
      </c>
      <c r="H88" s="713"/>
      <c r="J88" s="1742" t="s">
        <v>731</v>
      </c>
      <c r="K88" s="1760">
        <f t="shared" ref="K88:O91" si="15">IF(K70&gt;0,K79*1000/K70,0)</f>
        <v>0</v>
      </c>
      <c r="L88" s="1765">
        <f t="shared" si="15"/>
        <v>0</v>
      </c>
      <c r="M88" s="1765">
        <f t="shared" si="15"/>
        <v>0</v>
      </c>
      <c r="N88" s="1765">
        <f t="shared" si="15"/>
        <v>0</v>
      </c>
      <c r="O88" s="1765">
        <f t="shared" si="15"/>
        <v>0</v>
      </c>
      <c r="P88" s="712"/>
      <c r="R88" s="1742" t="s">
        <v>731</v>
      </c>
      <c r="S88" s="1760">
        <f t="shared" ref="S88:W91" si="16">IF(S70&gt;0,S79*1000/S70,0)</f>
        <v>0</v>
      </c>
      <c r="T88" s="1765">
        <f t="shared" si="16"/>
        <v>0</v>
      </c>
      <c r="U88" s="1765">
        <f t="shared" si="16"/>
        <v>0</v>
      </c>
      <c r="V88" s="1765">
        <f t="shared" si="16"/>
        <v>0</v>
      </c>
      <c r="W88" s="1765">
        <f t="shared" si="16"/>
        <v>0</v>
      </c>
      <c r="X88" s="712"/>
    </row>
    <row r="89" spans="2:24" s="1691" customFormat="1" ht="15.75" customHeight="1">
      <c r="B89" s="1725" t="s">
        <v>238</v>
      </c>
      <c r="C89" s="1766">
        <f t="shared" si="14"/>
        <v>0</v>
      </c>
      <c r="D89" s="1767">
        <f t="shared" si="14"/>
        <v>0</v>
      </c>
      <c r="E89" s="1767">
        <f t="shared" si="14"/>
        <v>0</v>
      </c>
      <c r="F89" s="1767">
        <f t="shared" si="14"/>
        <v>0</v>
      </c>
      <c r="G89" s="1767">
        <f t="shared" si="14"/>
        <v>0</v>
      </c>
      <c r="H89" s="710"/>
      <c r="J89" s="1725" t="s">
        <v>238</v>
      </c>
      <c r="K89" s="1766">
        <f t="shared" si="15"/>
        <v>0</v>
      </c>
      <c r="L89" s="1767">
        <f t="shared" si="15"/>
        <v>0</v>
      </c>
      <c r="M89" s="1767">
        <f t="shared" si="15"/>
        <v>0</v>
      </c>
      <c r="N89" s="1767">
        <f t="shared" si="15"/>
        <v>0</v>
      </c>
      <c r="O89" s="1767">
        <f t="shared" si="15"/>
        <v>0</v>
      </c>
      <c r="P89" s="710"/>
      <c r="R89" s="1725" t="s">
        <v>238</v>
      </c>
      <c r="S89" s="1766">
        <f t="shared" si="16"/>
        <v>0</v>
      </c>
      <c r="T89" s="1767">
        <f t="shared" si="16"/>
        <v>0</v>
      </c>
      <c r="U89" s="1767">
        <f t="shared" si="16"/>
        <v>0</v>
      </c>
      <c r="V89" s="1767">
        <f t="shared" si="16"/>
        <v>0</v>
      </c>
      <c r="W89" s="1767">
        <f t="shared" si="16"/>
        <v>0</v>
      </c>
      <c r="X89" s="710"/>
    </row>
    <row r="90" spans="2:24" s="1691" customFormat="1" ht="15.75" customHeight="1">
      <c r="B90" s="1725" t="s">
        <v>244</v>
      </c>
      <c r="C90" s="1766">
        <f t="shared" si="14"/>
        <v>0</v>
      </c>
      <c r="D90" s="1767">
        <f t="shared" si="14"/>
        <v>0</v>
      </c>
      <c r="E90" s="1767">
        <f t="shared" si="14"/>
        <v>0</v>
      </c>
      <c r="F90" s="1767">
        <f t="shared" si="14"/>
        <v>0</v>
      </c>
      <c r="G90" s="1767">
        <f t="shared" si="14"/>
        <v>0</v>
      </c>
      <c r="H90" s="710"/>
      <c r="J90" s="1725" t="s">
        <v>244</v>
      </c>
      <c r="K90" s="1766">
        <f t="shared" si="15"/>
        <v>0</v>
      </c>
      <c r="L90" s="1767">
        <f t="shared" si="15"/>
        <v>0</v>
      </c>
      <c r="M90" s="1767">
        <f t="shared" si="15"/>
        <v>0</v>
      </c>
      <c r="N90" s="1767">
        <f t="shared" si="15"/>
        <v>0</v>
      </c>
      <c r="O90" s="1767">
        <f t="shared" si="15"/>
        <v>0</v>
      </c>
      <c r="P90" s="710"/>
      <c r="R90" s="1725" t="s">
        <v>244</v>
      </c>
      <c r="S90" s="1766">
        <f t="shared" si="16"/>
        <v>0</v>
      </c>
      <c r="T90" s="1767">
        <f t="shared" si="16"/>
        <v>0</v>
      </c>
      <c r="U90" s="1767">
        <f t="shared" si="16"/>
        <v>0</v>
      </c>
      <c r="V90" s="1767">
        <f t="shared" si="16"/>
        <v>0</v>
      </c>
      <c r="W90" s="1767">
        <f t="shared" si="16"/>
        <v>0</v>
      </c>
      <c r="X90" s="710"/>
    </row>
    <row r="91" spans="2:24" s="1691" customFormat="1" ht="15.75" customHeight="1" thickBot="1">
      <c r="B91" s="1768" t="s">
        <v>491</v>
      </c>
      <c r="C91" s="1769">
        <f t="shared" si="14"/>
        <v>0</v>
      </c>
      <c r="D91" s="1770">
        <f t="shared" si="14"/>
        <v>0</v>
      </c>
      <c r="E91" s="1770">
        <f t="shared" si="14"/>
        <v>0</v>
      </c>
      <c r="F91" s="1770">
        <f t="shared" si="14"/>
        <v>0</v>
      </c>
      <c r="G91" s="1770">
        <f t="shared" si="14"/>
        <v>0</v>
      </c>
      <c r="H91" s="714"/>
      <c r="J91" s="1768" t="s">
        <v>491</v>
      </c>
      <c r="K91" s="1769">
        <f t="shared" si="15"/>
        <v>0</v>
      </c>
      <c r="L91" s="1770">
        <f t="shared" si="15"/>
        <v>0</v>
      </c>
      <c r="M91" s="1770">
        <f t="shared" si="15"/>
        <v>0</v>
      </c>
      <c r="N91" s="1770">
        <f t="shared" si="15"/>
        <v>0</v>
      </c>
      <c r="O91" s="1770">
        <f t="shared" si="15"/>
        <v>0</v>
      </c>
      <c r="P91" s="714"/>
      <c r="R91" s="1768" t="s">
        <v>491</v>
      </c>
      <c r="S91" s="1769">
        <f t="shared" si="16"/>
        <v>0</v>
      </c>
      <c r="T91" s="1770">
        <f t="shared" si="16"/>
        <v>0</v>
      </c>
      <c r="U91" s="1770">
        <f t="shared" si="16"/>
        <v>0</v>
      </c>
      <c r="V91" s="1770">
        <f t="shared" si="16"/>
        <v>0</v>
      </c>
      <c r="W91" s="1770">
        <f t="shared" si="16"/>
        <v>0</v>
      </c>
      <c r="X91" s="714"/>
    </row>
    <row r="92" spans="2:24" s="1691" customFormat="1" ht="15.75" customHeight="1"/>
    <row r="93" spans="2:24" s="1691" customFormat="1" ht="15.75" customHeight="1"/>
    <row r="94" spans="2:24" s="1691" customFormat="1" ht="15.75" customHeight="1">
      <c r="B94" s="1692" t="s">
        <v>826</v>
      </c>
    </row>
    <row r="95" spans="2:24" s="1691" customFormat="1" ht="15.75" customHeight="1" thickBot="1"/>
    <row r="96" spans="2:24" s="1691" customFormat="1" ht="42" customHeight="1">
      <c r="B96" s="1771"/>
      <c r="C96" s="1722" t="s">
        <v>803</v>
      </c>
      <c r="D96" s="1723" t="s">
        <v>804</v>
      </c>
      <c r="E96" s="1723" t="s">
        <v>805</v>
      </c>
      <c r="F96" s="1723" t="s">
        <v>806</v>
      </c>
      <c r="G96" s="1723" t="s">
        <v>807</v>
      </c>
      <c r="H96" s="1724" t="s">
        <v>808</v>
      </c>
      <c r="I96" s="1692"/>
    </row>
    <row r="97" spans="2:24" s="1691" customFormat="1" ht="15.75" customHeight="1">
      <c r="B97" s="1742" t="s">
        <v>731</v>
      </c>
      <c r="C97" s="1743">
        <f>D97+E97</f>
        <v>0</v>
      </c>
      <c r="D97" s="1772">
        <f>C107</f>
        <v>0</v>
      </c>
      <c r="E97" s="703"/>
      <c r="F97" s="1772">
        <f>K107</f>
        <v>0</v>
      </c>
      <c r="G97" s="1772">
        <f>S107</f>
        <v>0</v>
      </c>
      <c r="H97" s="1773">
        <f>E97-SUM(F97:G97)</f>
        <v>0</v>
      </c>
      <c r="I97" s="1692"/>
    </row>
    <row r="98" spans="2:24" s="1691" customFormat="1" ht="15.75" customHeight="1">
      <c r="B98" s="1725" t="s">
        <v>238</v>
      </c>
      <c r="C98" s="1743">
        <f>D98+E98</f>
        <v>0</v>
      </c>
      <c r="D98" s="1772">
        <f>C108</f>
        <v>0</v>
      </c>
      <c r="E98" s="703"/>
      <c r="F98" s="1772">
        <f>K108</f>
        <v>0</v>
      </c>
      <c r="G98" s="1772">
        <f>S108</f>
        <v>0</v>
      </c>
      <c r="H98" s="1773">
        <f>E98-SUM(F98:G98)</f>
        <v>0</v>
      </c>
      <c r="I98" s="1692"/>
    </row>
    <row r="99" spans="2:24" s="1691" customFormat="1" ht="15.75" customHeight="1">
      <c r="B99" s="1725" t="s">
        <v>244</v>
      </c>
      <c r="C99" s="1743">
        <f>D99+E99</f>
        <v>0</v>
      </c>
      <c r="D99" s="1772">
        <f>C109</f>
        <v>0</v>
      </c>
      <c r="E99" s="703"/>
      <c r="F99" s="1772">
        <f>K109</f>
        <v>0</v>
      </c>
      <c r="G99" s="1772">
        <f>S109</f>
        <v>0</v>
      </c>
      <c r="H99" s="1773">
        <f>E99-SUM(F99:G99)</f>
        <v>0</v>
      </c>
      <c r="I99" s="1692"/>
    </row>
    <row r="100" spans="2:24" s="1691" customFormat="1" ht="15.75" customHeight="1">
      <c r="B100" s="1725" t="s">
        <v>491</v>
      </c>
      <c r="C100" s="1743">
        <f>D100+E100</f>
        <v>0</v>
      </c>
      <c r="D100" s="1772">
        <f>C110</f>
        <v>0</v>
      </c>
      <c r="E100" s="703"/>
      <c r="F100" s="1772">
        <f>K110</f>
        <v>0</v>
      </c>
      <c r="G100" s="1772">
        <f>S110</f>
        <v>0</v>
      </c>
      <c r="H100" s="1773">
        <f>E100-SUM(F100:G100)</f>
        <v>0</v>
      </c>
      <c r="I100" s="1692"/>
    </row>
    <row r="101" spans="2:24" s="1691" customFormat="1" ht="15.75" customHeight="1" thickBot="1">
      <c r="B101" s="1729" t="s">
        <v>245</v>
      </c>
      <c r="C101" s="1730">
        <f t="shared" ref="C101:H101" si="17">SUM(C97:C100)</f>
        <v>0</v>
      </c>
      <c r="D101" s="1731">
        <f t="shared" si="17"/>
        <v>0</v>
      </c>
      <c r="E101" s="1731">
        <f t="shared" si="17"/>
        <v>0</v>
      </c>
      <c r="F101" s="1731">
        <f t="shared" si="17"/>
        <v>0</v>
      </c>
      <c r="G101" s="1731">
        <f t="shared" si="17"/>
        <v>0</v>
      </c>
      <c r="H101" s="1732">
        <f t="shared" si="17"/>
        <v>0</v>
      </c>
      <c r="I101" s="1692"/>
    </row>
    <row r="102" spans="2:24" s="1691" customFormat="1" ht="15.75" customHeight="1">
      <c r="B102" s="1692"/>
      <c r="C102" s="1692"/>
      <c r="D102" s="1692"/>
      <c r="E102" s="1692"/>
      <c r="F102" s="1692"/>
      <c r="G102" s="1692"/>
      <c r="H102" s="1692"/>
      <c r="I102" s="1692"/>
    </row>
    <row r="103" spans="2:24" s="1691" customFormat="1" ht="15.75" customHeight="1" thickBot="1"/>
    <row r="104" spans="2:24" s="1691" customFormat="1" ht="15.75" customHeight="1">
      <c r="B104" s="1961" t="s">
        <v>809</v>
      </c>
      <c r="C104" s="1962"/>
      <c r="D104" s="1962"/>
      <c r="E104" s="1962"/>
      <c r="F104" s="1962"/>
      <c r="G104" s="1962"/>
      <c r="H104" s="1963"/>
      <c r="I104" s="1733"/>
      <c r="J104" s="1961" t="s">
        <v>810</v>
      </c>
      <c r="K104" s="1962"/>
      <c r="L104" s="1962"/>
      <c r="M104" s="1962"/>
      <c r="N104" s="1962"/>
      <c r="O104" s="1962"/>
      <c r="P104" s="1963"/>
      <c r="R104" s="1961" t="s">
        <v>117</v>
      </c>
      <c r="S104" s="1962"/>
      <c r="T104" s="1962"/>
      <c r="U104" s="1962"/>
      <c r="V104" s="1962"/>
      <c r="W104" s="1962"/>
      <c r="X104" s="1963"/>
    </row>
    <row r="105" spans="2:24" s="1691" customFormat="1" ht="15.75" customHeight="1">
      <c r="B105" s="1959"/>
      <c r="C105" s="1964" t="s">
        <v>811</v>
      </c>
      <c r="D105" s="1975" t="s">
        <v>812</v>
      </c>
      <c r="E105" s="1976"/>
      <c r="F105" s="1976"/>
      <c r="G105" s="1976"/>
      <c r="H105" s="1977"/>
      <c r="J105" s="1959"/>
      <c r="K105" s="1978" t="s">
        <v>811</v>
      </c>
      <c r="L105" s="1774" t="s">
        <v>813</v>
      </c>
      <c r="M105" s="1775"/>
      <c r="N105" s="1775"/>
      <c r="O105" s="1775"/>
      <c r="P105" s="1776"/>
      <c r="R105" s="1959"/>
      <c r="S105" s="1964" t="s">
        <v>811</v>
      </c>
      <c r="T105" s="1956" t="s">
        <v>813</v>
      </c>
      <c r="U105" s="1957"/>
      <c r="V105" s="1957"/>
      <c r="W105" s="1957"/>
      <c r="X105" s="1958"/>
    </row>
    <row r="106" spans="2:24" s="1691" customFormat="1" ht="39.75" customHeight="1">
      <c r="B106" s="1960"/>
      <c r="C106" s="1967"/>
      <c r="D106" s="1013" t="s">
        <v>827</v>
      </c>
      <c r="E106" s="1013" t="s">
        <v>816</v>
      </c>
      <c r="F106" s="1013" t="s">
        <v>646</v>
      </c>
      <c r="G106" s="1013" t="s">
        <v>828</v>
      </c>
      <c r="H106" s="1738" t="s">
        <v>818</v>
      </c>
      <c r="I106" s="1739"/>
      <c r="J106" s="1960"/>
      <c r="K106" s="1979"/>
      <c r="L106" s="1013" t="s">
        <v>827</v>
      </c>
      <c r="M106" s="1013" t="s">
        <v>816</v>
      </c>
      <c r="N106" s="1013" t="s">
        <v>646</v>
      </c>
      <c r="O106" s="1013" t="s">
        <v>828</v>
      </c>
      <c r="P106" s="1738" t="s">
        <v>818</v>
      </c>
      <c r="R106" s="1960"/>
      <c r="S106" s="1974"/>
      <c r="T106" s="1013" t="s">
        <v>827</v>
      </c>
      <c r="U106" s="1013" t="s">
        <v>816</v>
      </c>
      <c r="V106" s="1013" t="s">
        <v>646</v>
      </c>
      <c r="W106" s="1013" t="s">
        <v>828</v>
      </c>
      <c r="X106" s="1738" t="s">
        <v>818</v>
      </c>
    </row>
    <row r="107" spans="2:24" s="1691" customFormat="1" ht="15.75" customHeight="1">
      <c r="B107" s="1742" t="s">
        <v>731</v>
      </c>
      <c r="C107" s="1743">
        <f>SUM(D107:H107)</f>
        <v>0</v>
      </c>
      <c r="D107" s="702"/>
      <c r="E107" s="702"/>
      <c r="F107" s="702"/>
      <c r="G107" s="703"/>
      <c r="H107" s="704"/>
      <c r="I107" s="1739"/>
      <c r="J107" s="1742" t="s">
        <v>731</v>
      </c>
      <c r="K107" s="1743">
        <f>SUM(L107:P107)</f>
        <v>0</v>
      </c>
      <c r="L107" s="702"/>
      <c r="M107" s="702"/>
      <c r="N107" s="702"/>
      <c r="O107" s="703"/>
      <c r="P107" s="704"/>
      <c r="R107" s="1742" t="s">
        <v>731</v>
      </c>
      <c r="S107" s="1743">
        <f>SUM(T107:X107)</f>
        <v>0</v>
      </c>
      <c r="T107" s="702"/>
      <c r="U107" s="702"/>
      <c r="V107" s="702"/>
      <c r="W107" s="703"/>
      <c r="X107" s="704"/>
    </row>
    <row r="108" spans="2:24" s="1691" customFormat="1" ht="15.75" customHeight="1">
      <c r="B108" s="1725" t="s">
        <v>238</v>
      </c>
      <c r="C108" s="1743">
        <f>SUM(D108:H108)</f>
        <v>0</v>
      </c>
      <c r="D108" s="700"/>
      <c r="E108" s="700"/>
      <c r="F108" s="700"/>
      <c r="G108" s="699"/>
      <c r="H108" s="701"/>
      <c r="I108" s="1739"/>
      <c r="J108" s="1725" t="s">
        <v>238</v>
      </c>
      <c r="K108" s="1743">
        <f>SUM(L108:P108)</f>
        <v>0</v>
      </c>
      <c r="L108" s="700"/>
      <c r="M108" s="700"/>
      <c r="N108" s="700"/>
      <c r="O108" s="699"/>
      <c r="P108" s="701"/>
      <c r="R108" s="1725" t="s">
        <v>238</v>
      </c>
      <c r="S108" s="1743">
        <f>SUM(T108:X108)</f>
        <v>0</v>
      </c>
      <c r="T108" s="700"/>
      <c r="U108" s="700"/>
      <c r="V108" s="700"/>
      <c r="W108" s="699"/>
      <c r="X108" s="701"/>
    </row>
    <row r="109" spans="2:24" s="1691" customFormat="1" ht="15.75" customHeight="1">
      <c r="B109" s="1725" t="s">
        <v>244</v>
      </c>
      <c r="C109" s="1743">
        <f>SUM(D109:H109)</f>
        <v>0</v>
      </c>
      <c r="D109" s="700"/>
      <c r="E109" s="700"/>
      <c r="F109" s="700"/>
      <c r="G109" s="699"/>
      <c r="H109" s="701"/>
      <c r="I109" s="1739"/>
      <c r="J109" s="1725" t="s">
        <v>244</v>
      </c>
      <c r="K109" s="1743">
        <f>SUM(L109:P109)</f>
        <v>0</v>
      </c>
      <c r="L109" s="700"/>
      <c r="M109" s="700"/>
      <c r="N109" s="700"/>
      <c r="O109" s="699"/>
      <c r="P109" s="701"/>
      <c r="R109" s="1725" t="s">
        <v>244</v>
      </c>
      <c r="S109" s="1743">
        <f>SUM(T109:X109)</f>
        <v>0</v>
      </c>
      <c r="T109" s="700"/>
      <c r="U109" s="700"/>
      <c r="V109" s="700"/>
      <c r="W109" s="699"/>
      <c r="X109" s="701"/>
    </row>
    <row r="110" spans="2:24" s="1691" customFormat="1" ht="15.75" customHeight="1">
      <c r="B110" s="1725" t="s">
        <v>491</v>
      </c>
      <c r="C110" s="1743">
        <f>SUM(D110:H110)</f>
        <v>0</v>
      </c>
      <c r="D110" s="700"/>
      <c r="E110" s="700"/>
      <c r="F110" s="700"/>
      <c r="G110" s="699"/>
      <c r="H110" s="701"/>
      <c r="I110" s="1739"/>
      <c r="J110" s="1725" t="s">
        <v>491</v>
      </c>
      <c r="K110" s="1743">
        <f>SUM(L110:P110)</f>
        <v>0</v>
      </c>
      <c r="L110" s="700"/>
      <c r="M110" s="700"/>
      <c r="N110" s="700"/>
      <c r="O110" s="699"/>
      <c r="P110" s="701"/>
      <c r="R110" s="1725" t="s">
        <v>491</v>
      </c>
      <c r="S110" s="1743">
        <f>SUM(T110:X110)</f>
        <v>0</v>
      </c>
      <c r="T110" s="700"/>
      <c r="U110" s="700"/>
      <c r="V110" s="700"/>
      <c r="W110" s="699"/>
      <c r="X110" s="701"/>
    </row>
    <row r="111" spans="2:24" s="1691" customFormat="1" ht="15.75" customHeight="1" thickBot="1">
      <c r="B111" s="1729" t="s">
        <v>245</v>
      </c>
      <c r="C111" s="1730">
        <f t="shared" ref="C111:H111" si="18">SUM(C107:C110)</f>
        <v>0</v>
      </c>
      <c r="D111" s="1731">
        <f t="shared" si="18"/>
        <v>0</v>
      </c>
      <c r="E111" s="1731">
        <f t="shared" si="18"/>
        <v>0</v>
      </c>
      <c r="F111" s="1731">
        <f t="shared" si="18"/>
        <v>0</v>
      </c>
      <c r="G111" s="1731">
        <f t="shared" si="18"/>
        <v>0</v>
      </c>
      <c r="H111" s="1732">
        <f t="shared" si="18"/>
        <v>0</v>
      </c>
      <c r="I111" s="1739"/>
      <c r="J111" s="1729" t="s">
        <v>245</v>
      </c>
      <c r="K111" s="1730">
        <f t="shared" ref="K111:P111" si="19">SUM(K107:K110)</f>
        <v>0</v>
      </c>
      <c r="L111" s="1731">
        <f t="shared" si="19"/>
        <v>0</v>
      </c>
      <c r="M111" s="1731">
        <f t="shared" si="19"/>
        <v>0</v>
      </c>
      <c r="N111" s="1731">
        <f t="shared" si="19"/>
        <v>0</v>
      </c>
      <c r="O111" s="1731">
        <f t="shared" si="19"/>
        <v>0</v>
      </c>
      <c r="P111" s="1732">
        <f t="shared" si="19"/>
        <v>0</v>
      </c>
      <c r="R111" s="1729" t="s">
        <v>245</v>
      </c>
      <c r="S111" s="1730">
        <f t="shared" ref="S111:X111" si="20">SUM(S107:S110)</f>
        <v>0</v>
      </c>
      <c r="T111" s="1731">
        <f t="shared" si="20"/>
        <v>0</v>
      </c>
      <c r="U111" s="1731">
        <f t="shared" si="20"/>
        <v>0</v>
      </c>
      <c r="V111" s="1731">
        <f t="shared" si="20"/>
        <v>0</v>
      </c>
      <c r="W111" s="1731">
        <f t="shared" si="20"/>
        <v>0</v>
      </c>
      <c r="X111" s="1732">
        <f t="shared" si="20"/>
        <v>0</v>
      </c>
    </row>
    <row r="112" spans="2:24" s="1691" customFormat="1" ht="15.75" customHeight="1" thickBot="1">
      <c r="B112" s="1744"/>
      <c r="C112" s="1745"/>
      <c r="D112" s="1745"/>
      <c r="E112" s="1745"/>
      <c r="F112" s="1745"/>
      <c r="G112" s="1745"/>
      <c r="H112" s="1745"/>
      <c r="I112" s="1739"/>
      <c r="J112" s="1744"/>
      <c r="K112" s="1745"/>
      <c r="L112" s="1745"/>
      <c r="M112" s="1745"/>
      <c r="N112" s="1745"/>
      <c r="O112" s="1745"/>
      <c r="P112" s="1745"/>
      <c r="R112" s="1744"/>
      <c r="S112" s="1745"/>
      <c r="T112" s="1745"/>
      <c r="U112" s="1745"/>
      <c r="V112" s="1745"/>
      <c r="W112" s="1745"/>
      <c r="X112" s="1745"/>
    </row>
    <row r="113" spans="2:24" s="1691" customFormat="1" ht="15.75" customHeight="1">
      <c r="B113" s="1961" t="s">
        <v>809</v>
      </c>
      <c r="C113" s="1962"/>
      <c r="D113" s="1962"/>
      <c r="E113" s="1962"/>
      <c r="F113" s="1962"/>
      <c r="G113" s="1962"/>
      <c r="H113" s="1963"/>
      <c r="I113" s="1733"/>
      <c r="J113" s="1961" t="s">
        <v>810</v>
      </c>
      <c r="K113" s="1962"/>
      <c r="L113" s="1962"/>
      <c r="M113" s="1962"/>
      <c r="N113" s="1962"/>
      <c r="O113" s="1962"/>
      <c r="P113" s="1963"/>
      <c r="R113" s="1961" t="s">
        <v>117</v>
      </c>
      <c r="S113" s="1962"/>
      <c r="T113" s="1962"/>
      <c r="U113" s="1962"/>
      <c r="V113" s="1962"/>
      <c r="W113" s="1962"/>
      <c r="X113" s="1963"/>
    </row>
    <row r="114" spans="2:24" s="1691" customFormat="1" ht="15.75" customHeight="1">
      <c r="B114" s="1959"/>
      <c r="C114" s="1964" t="s">
        <v>819</v>
      </c>
      <c r="D114" s="1746" t="s">
        <v>812</v>
      </c>
      <c r="E114" s="1747"/>
      <c r="F114" s="1747"/>
      <c r="G114" s="1747"/>
      <c r="H114" s="1748"/>
      <c r="J114" s="1959"/>
      <c r="K114" s="1964" t="s">
        <v>819</v>
      </c>
      <c r="L114" s="1774" t="s">
        <v>813</v>
      </c>
      <c r="M114" s="1775"/>
      <c r="N114" s="1775"/>
      <c r="O114" s="1775"/>
      <c r="P114" s="1776"/>
      <c r="R114" s="1959"/>
      <c r="S114" s="1964" t="s">
        <v>819</v>
      </c>
      <c r="T114" s="1956" t="s">
        <v>813</v>
      </c>
      <c r="U114" s="1957"/>
      <c r="V114" s="1957"/>
      <c r="W114" s="1957"/>
      <c r="X114" s="1958"/>
    </row>
    <row r="115" spans="2:24" s="1691" customFormat="1" ht="42.75" customHeight="1">
      <c r="B115" s="1960"/>
      <c r="C115" s="1967"/>
      <c r="D115" s="1013" t="s">
        <v>827</v>
      </c>
      <c r="E115" s="1013" t="s">
        <v>816</v>
      </c>
      <c r="F115" s="1013" t="s">
        <v>646</v>
      </c>
      <c r="G115" s="1013" t="s">
        <v>828</v>
      </c>
      <c r="H115" s="1738" t="s">
        <v>818</v>
      </c>
      <c r="I115" s="1739"/>
      <c r="J115" s="1960"/>
      <c r="K115" s="1967"/>
      <c r="L115" s="1013" t="s">
        <v>827</v>
      </c>
      <c r="M115" s="1013" t="s">
        <v>816</v>
      </c>
      <c r="N115" s="1013" t="s">
        <v>646</v>
      </c>
      <c r="O115" s="1013" t="s">
        <v>828</v>
      </c>
      <c r="P115" s="1738" t="s">
        <v>818</v>
      </c>
      <c r="R115" s="1960"/>
      <c r="S115" s="1967"/>
      <c r="T115" s="1013" t="s">
        <v>827</v>
      </c>
      <c r="U115" s="1013" t="s">
        <v>816</v>
      </c>
      <c r="V115" s="1013" t="s">
        <v>646</v>
      </c>
      <c r="W115" s="1013" t="s">
        <v>828</v>
      </c>
      <c r="X115" s="1738" t="s">
        <v>818</v>
      </c>
    </row>
    <row r="116" spans="2:24" s="1691" customFormat="1" ht="15.75" customHeight="1">
      <c r="B116" s="1751" t="s">
        <v>731</v>
      </c>
      <c r="C116" s="702"/>
      <c r="D116" s="702"/>
      <c r="E116" s="702"/>
      <c r="F116" s="702"/>
      <c r="G116" s="706"/>
      <c r="H116" s="1752"/>
      <c r="I116" s="1739"/>
      <c r="J116" s="1742" t="s">
        <v>731</v>
      </c>
      <c r="K116" s="705"/>
      <c r="L116" s="702"/>
      <c r="M116" s="702"/>
      <c r="N116" s="702"/>
      <c r="O116" s="703"/>
      <c r="P116" s="706"/>
      <c r="R116" s="1742" t="s">
        <v>731</v>
      </c>
      <c r="S116" s="705"/>
      <c r="T116" s="702"/>
      <c r="U116" s="702"/>
      <c r="V116" s="702"/>
      <c r="W116" s="703"/>
      <c r="X116" s="706"/>
    </row>
    <row r="117" spans="2:24" s="1691" customFormat="1" ht="15.75" customHeight="1">
      <c r="B117" s="1753" t="s">
        <v>238</v>
      </c>
      <c r="C117" s="700"/>
      <c r="D117" s="700"/>
      <c r="E117" s="700"/>
      <c r="F117" s="700"/>
      <c r="G117" s="708"/>
      <c r="H117" s="1754"/>
      <c r="I117" s="1739"/>
      <c r="J117" s="1725" t="s">
        <v>238</v>
      </c>
      <c r="K117" s="707"/>
      <c r="L117" s="700"/>
      <c r="M117" s="700"/>
      <c r="N117" s="700"/>
      <c r="O117" s="699"/>
      <c r="P117" s="708"/>
      <c r="R117" s="1725" t="s">
        <v>238</v>
      </c>
      <c r="S117" s="707"/>
      <c r="T117" s="700"/>
      <c r="U117" s="700"/>
      <c r="V117" s="700"/>
      <c r="W117" s="699"/>
      <c r="X117" s="708"/>
    </row>
    <row r="118" spans="2:24" s="1691" customFormat="1" ht="15.75" customHeight="1">
      <c r="B118" s="1753" t="s">
        <v>244</v>
      </c>
      <c r="C118" s="700"/>
      <c r="D118" s="700"/>
      <c r="E118" s="700"/>
      <c r="F118" s="700"/>
      <c r="G118" s="708"/>
      <c r="H118" s="1754"/>
      <c r="I118" s="1739"/>
      <c r="J118" s="1725" t="s">
        <v>244</v>
      </c>
      <c r="K118" s="707"/>
      <c r="L118" s="700"/>
      <c r="M118" s="700"/>
      <c r="N118" s="700"/>
      <c r="O118" s="699"/>
      <c r="P118" s="708"/>
      <c r="R118" s="1725" t="s">
        <v>244</v>
      </c>
      <c r="S118" s="707"/>
      <c r="T118" s="700"/>
      <c r="U118" s="700"/>
      <c r="V118" s="700"/>
      <c r="W118" s="699"/>
      <c r="X118" s="708"/>
    </row>
    <row r="119" spans="2:24" s="1691" customFormat="1" ht="15.75" customHeight="1">
      <c r="B119" s="1753" t="s">
        <v>491</v>
      </c>
      <c r="C119" s="700"/>
      <c r="D119" s="700"/>
      <c r="E119" s="700"/>
      <c r="F119" s="700"/>
      <c r="G119" s="708"/>
      <c r="H119" s="1754"/>
      <c r="I119" s="1739"/>
      <c r="J119" s="1725" t="s">
        <v>491</v>
      </c>
      <c r="K119" s="707"/>
      <c r="L119" s="700"/>
      <c r="M119" s="700"/>
      <c r="N119" s="700"/>
      <c r="O119" s="699"/>
      <c r="P119" s="708"/>
      <c r="R119" s="1725" t="s">
        <v>491</v>
      </c>
      <c r="S119" s="707"/>
      <c r="T119" s="700"/>
      <c r="U119" s="700"/>
      <c r="V119" s="700"/>
      <c r="W119" s="699"/>
      <c r="X119" s="708"/>
    </row>
    <row r="120" spans="2:24" s="1691" customFormat="1" ht="15.75" customHeight="1" thickBot="1">
      <c r="B120" s="1755" t="s">
        <v>245</v>
      </c>
      <c r="C120" s="1756">
        <f>SUM(C116:C119)</f>
        <v>0</v>
      </c>
      <c r="D120" s="1731">
        <f>SUM(D116:D119)</f>
        <v>0</v>
      </c>
      <c r="E120" s="1731">
        <f>SUM(E116:E119)</f>
        <v>0</v>
      </c>
      <c r="F120" s="1731">
        <f>SUM(F116:F119)</f>
        <v>0</v>
      </c>
      <c r="G120" s="1777"/>
      <c r="H120" s="1757">
        <f>SUM(H116:H119)</f>
        <v>0</v>
      </c>
      <c r="I120" s="1739"/>
      <c r="J120" s="1729" t="s">
        <v>245</v>
      </c>
      <c r="K120" s="1730">
        <f t="shared" ref="K120:P120" si="21">SUM(K116:K119)</f>
        <v>0</v>
      </c>
      <c r="L120" s="1731">
        <f t="shared" si="21"/>
        <v>0</v>
      </c>
      <c r="M120" s="1731">
        <f t="shared" si="21"/>
        <v>0</v>
      </c>
      <c r="N120" s="1731">
        <f t="shared" si="21"/>
        <v>0</v>
      </c>
      <c r="O120" s="1731">
        <f t="shared" si="21"/>
        <v>0</v>
      </c>
      <c r="P120" s="1757">
        <f t="shared" si="21"/>
        <v>0</v>
      </c>
      <c r="R120" s="1729" t="s">
        <v>245</v>
      </c>
      <c r="S120" s="1730">
        <f t="shared" ref="S120:X120" si="22">SUM(S116:S119)</f>
        <v>0</v>
      </c>
      <c r="T120" s="1731">
        <f t="shared" si="22"/>
        <v>0</v>
      </c>
      <c r="U120" s="1731">
        <f t="shared" si="22"/>
        <v>0</v>
      </c>
      <c r="V120" s="1731">
        <f t="shared" si="22"/>
        <v>0</v>
      </c>
      <c r="W120" s="1731">
        <f t="shared" si="22"/>
        <v>0</v>
      </c>
      <c r="X120" s="1757">
        <f t="shared" si="22"/>
        <v>0</v>
      </c>
    </row>
    <row r="121" spans="2:24" s="1691" customFormat="1" ht="15.75" customHeight="1" thickBot="1">
      <c r="B121" s="1744"/>
      <c r="C121" s="1745"/>
      <c r="D121" s="1745"/>
      <c r="E121" s="1745"/>
      <c r="F121" s="1745"/>
      <c r="G121" s="1745"/>
      <c r="H121" s="1745"/>
      <c r="I121" s="1739"/>
      <c r="J121" s="1744"/>
      <c r="K121" s="1745"/>
      <c r="L121" s="1745"/>
      <c r="M121" s="1745"/>
      <c r="N121" s="1745"/>
      <c r="O121" s="1745"/>
      <c r="P121" s="1745"/>
      <c r="R121" s="1744"/>
      <c r="S121" s="1745"/>
      <c r="T121" s="1745"/>
      <c r="U121" s="1745"/>
      <c r="V121" s="1745"/>
      <c r="W121" s="1745"/>
      <c r="X121" s="1745"/>
    </row>
    <row r="122" spans="2:24" s="1691" customFormat="1" ht="15.75" customHeight="1">
      <c r="B122" s="1961" t="s">
        <v>809</v>
      </c>
      <c r="C122" s="1962"/>
      <c r="D122" s="1962"/>
      <c r="E122" s="1962"/>
      <c r="F122" s="1962"/>
      <c r="G122" s="1962"/>
      <c r="H122" s="1963"/>
      <c r="J122" s="1961" t="s">
        <v>810</v>
      </c>
      <c r="K122" s="1962"/>
      <c r="L122" s="1962"/>
      <c r="M122" s="1962"/>
      <c r="N122" s="1962"/>
      <c r="O122" s="1962"/>
      <c r="P122" s="1963"/>
      <c r="R122" s="1961" t="s">
        <v>117</v>
      </c>
      <c r="S122" s="1962"/>
      <c r="T122" s="1962"/>
      <c r="U122" s="1962"/>
      <c r="V122" s="1962"/>
      <c r="W122" s="1962"/>
      <c r="X122" s="1963"/>
    </row>
    <row r="123" spans="2:24" s="1691" customFormat="1" ht="15.75" customHeight="1">
      <c r="B123" s="1959"/>
      <c r="C123" s="1964" t="s">
        <v>820</v>
      </c>
      <c r="D123" s="1774" t="s">
        <v>821</v>
      </c>
      <c r="E123" s="1775"/>
      <c r="F123" s="1775"/>
      <c r="G123" s="1775"/>
      <c r="H123" s="1776"/>
      <c r="J123" s="1959"/>
      <c r="K123" s="1966" t="s">
        <v>820</v>
      </c>
      <c r="L123" s="1746" t="s">
        <v>822</v>
      </c>
      <c r="M123" s="1747"/>
      <c r="N123" s="1747"/>
      <c r="O123" s="1747"/>
      <c r="P123" s="1748"/>
      <c r="R123" s="1959"/>
      <c r="S123" s="1964" t="s">
        <v>820</v>
      </c>
      <c r="T123" s="1956" t="s">
        <v>822</v>
      </c>
      <c r="U123" s="1957"/>
      <c r="V123" s="1957"/>
      <c r="W123" s="1957"/>
      <c r="X123" s="1958"/>
    </row>
    <row r="124" spans="2:24" s="1691" customFormat="1" ht="39.75" customHeight="1">
      <c r="B124" s="1960"/>
      <c r="C124" s="1967"/>
      <c r="D124" s="1013" t="s">
        <v>827</v>
      </c>
      <c r="E124" s="1013" t="s">
        <v>816</v>
      </c>
      <c r="F124" s="1013" t="s">
        <v>646</v>
      </c>
      <c r="G124" s="1013" t="s">
        <v>828</v>
      </c>
      <c r="H124" s="1738" t="s">
        <v>818</v>
      </c>
      <c r="J124" s="1960"/>
      <c r="K124" s="1967"/>
      <c r="L124" s="1013" t="s">
        <v>827</v>
      </c>
      <c r="M124" s="1013" t="s">
        <v>816</v>
      </c>
      <c r="N124" s="1013" t="s">
        <v>646</v>
      </c>
      <c r="O124" s="1013" t="s">
        <v>828</v>
      </c>
      <c r="P124" s="1738" t="s">
        <v>818</v>
      </c>
      <c r="R124" s="1960"/>
      <c r="S124" s="1967"/>
      <c r="T124" s="1013" t="s">
        <v>827</v>
      </c>
      <c r="U124" s="1013" t="s">
        <v>816</v>
      </c>
      <c r="V124" s="1013" t="s">
        <v>646</v>
      </c>
      <c r="W124" s="1013" t="s">
        <v>828</v>
      </c>
      <c r="X124" s="1738" t="s">
        <v>818</v>
      </c>
    </row>
    <row r="125" spans="2:24" s="1691" customFormat="1" ht="15.75" customHeight="1">
      <c r="B125" s="1742" t="s">
        <v>731</v>
      </c>
      <c r="C125" s="1760">
        <f>SUM(D42:F42)</f>
        <v>0</v>
      </c>
      <c r="D125" s="709"/>
      <c r="E125" s="709"/>
      <c r="F125" s="709"/>
      <c r="G125" s="706"/>
      <c r="H125" s="712"/>
      <c r="J125" s="1742" t="s">
        <v>731</v>
      </c>
      <c r="K125" s="1760">
        <f>SUM(G42:H42)</f>
        <v>0</v>
      </c>
      <c r="L125" s="709"/>
      <c r="M125" s="709"/>
      <c r="N125" s="709"/>
      <c r="O125" s="706"/>
      <c r="P125" s="712"/>
      <c r="R125" s="1742" t="s">
        <v>731</v>
      </c>
      <c r="S125" s="1760">
        <f>SUM(I42:M42)</f>
        <v>0</v>
      </c>
      <c r="T125" s="709"/>
      <c r="U125" s="709"/>
      <c r="V125" s="709"/>
      <c r="W125" s="706"/>
      <c r="X125" s="712"/>
    </row>
    <row r="126" spans="2:24" s="1691" customFormat="1" ht="15.75" customHeight="1">
      <c r="B126" s="1725" t="s">
        <v>238</v>
      </c>
      <c r="C126" s="1760">
        <f>SUM(D43:F43)</f>
        <v>0</v>
      </c>
      <c r="D126" s="687"/>
      <c r="E126" s="687"/>
      <c r="F126" s="687"/>
      <c r="G126" s="708"/>
      <c r="H126" s="710"/>
      <c r="J126" s="1725" t="s">
        <v>238</v>
      </c>
      <c r="K126" s="1760">
        <f>SUM(G43:H43)</f>
        <v>0</v>
      </c>
      <c r="L126" s="687"/>
      <c r="M126" s="687"/>
      <c r="N126" s="687"/>
      <c r="O126" s="708"/>
      <c r="P126" s="710"/>
      <c r="R126" s="1725" t="s">
        <v>238</v>
      </c>
      <c r="S126" s="1760">
        <f>SUM(I43:M43)</f>
        <v>0</v>
      </c>
      <c r="T126" s="687"/>
      <c r="U126" s="687"/>
      <c r="V126" s="687"/>
      <c r="W126" s="708"/>
      <c r="X126" s="710"/>
    </row>
    <row r="127" spans="2:24" s="1691" customFormat="1" ht="15.75" customHeight="1">
      <c r="B127" s="1725" t="s">
        <v>244</v>
      </c>
      <c r="C127" s="1760">
        <f>SUM(D44:F44)</f>
        <v>0</v>
      </c>
      <c r="D127" s="687"/>
      <c r="E127" s="687"/>
      <c r="F127" s="687"/>
      <c r="G127" s="708"/>
      <c r="H127" s="710"/>
      <c r="J127" s="1725" t="s">
        <v>244</v>
      </c>
      <c r="K127" s="1760">
        <f>SUM(G44:H44)</f>
        <v>0</v>
      </c>
      <c r="L127" s="687"/>
      <c r="M127" s="687"/>
      <c r="N127" s="687"/>
      <c r="O127" s="708"/>
      <c r="P127" s="710"/>
      <c r="R127" s="1725" t="s">
        <v>244</v>
      </c>
      <c r="S127" s="1760">
        <f>SUM(I44:M44)</f>
        <v>0</v>
      </c>
      <c r="T127" s="687"/>
      <c r="U127" s="687"/>
      <c r="V127" s="687"/>
      <c r="W127" s="708"/>
      <c r="X127" s="710"/>
    </row>
    <row r="128" spans="2:24" s="1691" customFormat="1" ht="15.75" customHeight="1">
      <c r="B128" s="1725" t="s">
        <v>491</v>
      </c>
      <c r="C128" s="1760">
        <f>SUM(D45:F45)</f>
        <v>0</v>
      </c>
      <c r="D128" s="687"/>
      <c r="E128" s="687"/>
      <c r="F128" s="687"/>
      <c r="G128" s="708"/>
      <c r="H128" s="710"/>
      <c r="J128" s="1725" t="s">
        <v>491</v>
      </c>
      <c r="K128" s="1760">
        <f>SUM(G45:H45)</f>
        <v>0</v>
      </c>
      <c r="L128" s="687"/>
      <c r="M128" s="687"/>
      <c r="N128" s="687"/>
      <c r="O128" s="708"/>
      <c r="P128" s="710"/>
      <c r="R128" s="1725" t="s">
        <v>491</v>
      </c>
      <c r="S128" s="1760">
        <f>SUM(I45:M45)</f>
        <v>0</v>
      </c>
      <c r="T128" s="687"/>
      <c r="U128" s="687"/>
      <c r="V128" s="687"/>
      <c r="W128" s="708"/>
      <c r="X128" s="710"/>
    </row>
    <row r="129" spans="2:24" s="1691" customFormat="1" ht="15.75" customHeight="1" thickBot="1">
      <c r="B129" s="1729" t="s">
        <v>245</v>
      </c>
      <c r="C129" s="1761">
        <f>SUM(C125:C128)</f>
        <v>0</v>
      </c>
      <c r="D129" s="1762">
        <f>SUM(D125:D128)</f>
        <v>0</v>
      </c>
      <c r="E129" s="1762">
        <f>SUM(E125:E128)</f>
        <v>0</v>
      </c>
      <c r="F129" s="1762">
        <f>SUM(F125:F128)</f>
        <v>0</v>
      </c>
      <c r="G129" s="1777"/>
      <c r="H129" s="1757">
        <f>SUM(H125:H128)</f>
        <v>0</v>
      </c>
      <c r="J129" s="1729" t="s">
        <v>245</v>
      </c>
      <c r="K129" s="1761">
        <f>SUM(K125:K128)</f>
        <v>0</v>
      </c>
      <c r="L129" s="1762">
        <f>SUM(L125:L128)</f>
        <v>0</v>
      </c>
      <c r="M129" s="1762">
        <f>SUM(M125:M128)</f>
        <v>0</v>
      </c>
      <c r="N129" s="1762">
        <f>SUM(N125:N128)</f>
        <v>0</v>
      </c>
      <c r="O129" s="1777"/>
      <c r="P129" s="1757">
        <f>SUM(P125:P128)</f>
        <v>0</v>
      </c>
      <c r="R129" s="1729" t="s">
        <v>245</v>
      </c>
      <c r="S129" s="1761">
        <f>SUM(S125:S128)</f>
        <v>0</v>
      </c>
      <c r="T129" s="1762">
        <f>SUM(T125:T128)</f>
        <v>0</v>
      </c>
      <c r="U129" s="1762">
        <f>SUM(U125:U128)</f>
        <v>0</v>
      </c>
      <c r="V129" s="1762">
        <f>SUM(V125:V128)</f>
        <v>0</v>
      </c>
      <c r="W129" s="1777"/>
      <c r="X129" s="1757">
        <f>SUM(X125:X128)</f>
        <v>0</v>
      </c>
    </row>
    <row r="130" spans="2:24" s="1691" customFormat="1" ht="15.75" customHeight="1" thickBot="1"/>
    <row r="131" spans="2:24" s="1691" customFormat="1" ht="15.75" customHeight="1">
      <c r="B131" s="1961" t="s">
        <v>809</v>
      </c>
      <c r="C131" s="1962"/>
      <c r="D131" s="1962"/>
      <c r="E131" s="1962"/>
      <c r="F131" s="1962"/>
      <c r="G131" s="1962"/>
      <c r="H131" s="1963"/>
      <c r="J131" s="1961" t="s">
        <v>810</v>
      </c>
      <c r="K131" s="1962"/>
      <c r="L131" s="1962"/>
      <c r="M131" s="1962"/>
      <c r="N131" s="1962"/>
      <c r="O131" s="1962"/>
      <c r="P131" s="1963"/>
      <c r="R131" s="1961" t="s">
        <v>117</v>
      </c>
      <c r="S131" s="1962"/>
      <c r="T131" s="1962"/>
      <c r="U131" s="1962"/>
      <c r="V131" s="1962"/>
      <c r="W131" s="1962"/>
      <c r="X131" s="1963"/>
    </row>
    <row r="132" spans="2:24" s="1691" customFormat="1" ht="15.75" customHeight="1">
      <c r="B132" s="1959"/>
      <c r="C132" s="1964" t="s">
        <v>823</v>
      </c>
      <c r="D132" s="1774" t="s">
        <v>824</v>
      </c>
      <c r="E132" s="1775"/>
      <c r="F132" s="1775"/>
      <c r="G132" s="1775"/>
      <c r="H132" s="1776"/>
      <c r="J132" s="1959"/>
      <c r="K132" s="1964" t="s">
        <v>823</v>
      </c>
      <c r="L132" s="1774" t="s">
        <v>825</v>
      </c>
      <c r="M132" s="1775"/>
      <c r="N132" s="1775"/>
      <c r="O132" s="1775"/>
      <c r="P132" s="1776"/>
      <c r="R132" s="1959"/>
      <c r="S132" s="1964" t="s">
        <v>823</v>
      </c>
      <c r="T132" s="1956" t="s">
        <v>825</v>
      </c>
      <c r="U132" s="1957"/>
      <c r="V132" s="1957"/>
      <c r="W132" s="1957"/>
      <c r="X132" s="1958"/>
    </row>
    <row r="133" spans="2:24" s="1691" customFormat="1" ht="40.5" customHeight="1">
      <c r="B133" s="1960"/>
      <c r="C133" s="1974"/>
      <c r="D133" s="1013" t="s">
        <v>827</v>
      </c>
      <c r="E133" s="1013" t="s">
        <v>816</v>
      </c>
      <c r="F133" s="1013" t="s">
        <v>646</v>
      </c>
      <c r="G133" s="1013" t="s">
        <v>828</v>
      </c>
      <c r="H133" s="1738" t="s">
        <v>818</v>
      </c>
      <c r="J133" s="1960"/>
      <c r="K133" s="1967"/>
      <c r="L133" s="1013" t="s">
        <v>827</v>
      </c>
      <c r="M133" s="1013" t="s">
        <v>816</v>
      </c>
      <c r="N133" s="1013" t="s">
        <v>646</v>
      </c>
      <c r="O133" s="1013" t="s">
        <v>828</v>
      </c>
      <c r="P133" s="1738" t="s">
        <v>818</v>
      </c>
      <c r="R133" s="1960"/>
      <c r="S133" s="1967"/>
      <c r="T133" s="1013" t="s">
        <v>827</v>
      </c>
      <c r="U133" s="1013" t="s">
        <v>816</v>
      </c>
      <c r="V133" s="1013" t="s">
        <v>646</v>
      </c>
      <c r="W133" s="1013" t="s">
        <v>828</v>
      </c>
      <c r="X133" s="1738" t="s">
        <v>818</v>
      </c>
    </row>
    <row r="134" spans="2:24" s="1691" customFormat="1" ht="15.75" customHeight="1">
      <c r="B134" s="1742" t="s">
        <v>731</v>
      </c>
      <c r="C134" s="1760">
        <f t="shared" ref="C134:F137" si="23">IF(C116&gt;0,C125*1000/C116,0)</f>
        <v>0</v>
      </c>
      <c r="D134" s="1765">
        <f t="shared" si="23"/>
        <v>0</v>
      </c>
      <c r="E134" s="1765">
        <f t="shared" si="23"/>
        <v>0</v>
      </c>
      <c r="F134" s="1765">
        <f t="shared" si="23"/>
        <v>0</v>
      </c>
      <c r="G134" s="1752"/>
      <c r="H134" s="712"/>
      <c r="J134" s="1742" t="s">
        <v>731</v>
      </c>
      <c r="K134" s="1760">
        <f t="shared" ref="K134:N137" si="24">IF(K116&gt;0,K125*1000/K116,0)</f>
        <v>0</v>
      </c>
      <c r="L134" s="1765"/>
      <c r="M134" s="1765"/>
      <c r="N134" s="1765">
        <f t="shared" si="24"/>
        <v>0</v>
      </c>
      <c r="O134" s="1752"/>
      <c r="P134" s="712"/>
      <c r="R134" s="1742" t="s">
        <v>731</v>
      </c>
      <c r="S134" s="1760">
        <f t="shared" ref="S134:V137" si="25">IF(S116&gt;0,S125*1000/S116,0)</f>
        <v>0</v>
      </c>
      <c r="T134" s="1765">
        <f t="shared" si="25"/>
        <v>0</v>
      </c>
      <c r="U134" s="1765">
        <f t="shared" si="25"/>
        <v>0</v>
      </c>
      <c r="V134" s="1765">
        <f t="shared" si="25"/>
        <v>0</v>
      </c>
      <c r="W134" s="1752"/>
      <c r="X134" s="712"/>
    </row>
    <row r="135" spans="2:24" s="1691" customFormat="1" ht="15.75" customHeight="1">
      <c r="B135" s="1725" t="s">
        <v>238</v>
      </c>
      <c r="C135" s="1766">
        <f t="shared" si="23"/>
        <v>0</v>
      </c>
      <c r="D135" s="1767">
        <f t="shared" si="23"/>
        <v>0</v>
      </c>
      <c r="E135" s="1767">
        <f t="shared" si="23"/>
        <v>0</v>
      </c>
      <c r="F135" s="1767">
        <f t="shared" si="23"/>
        <v>0</v>
      </c>
      <c r="G135" s="1754"/>
      <c r="H135" s="710"/>
      <c r="J135" s="1725" t="s">
        <v>238</v>
      </c>
      <c r="K135" s="1766">
        <f t="shared" si="24"/>
        <v>0</v>
      </c>
      <c r="L135" s="1767">
        <f t="shared" si="24"/>
        <v>0</v>
      </c>
      <c r="M135" s="1767">
        <f t="shared" si="24"/>
        <v>0</v>
      </c>
      <c r="N135" s="1767">
        <f t="shared" si="24"/>
        <v>0</v>
      </c>
      <c r="O135" s="1754"/>
      <c r="P135" s="710"/>
      <c r="R135" s="1725" t="s">
        <v>238</v>
      </c>
      <c r="S135" s="1766">
        <f t="shared" si="25"/>
        <v>0</v>
      </c>
      <c r="T135" s="1767">
        <f t="shared" si="25"/>
        <v>0</v>
      </c>
      <c r="U135" s="1767">
        <f t="shared" si="25"/>
        <v>0</v>
      </c>
      <c r="V135" s="1767">
        <f t="shared" si="25"/>
        <v>0</v>
      </c>
      <c r="W135" s="1754"/>
      <c r="X135" s="710"/>
    </row>
    <row r="136" spans="2:24" s="1691" customFormat="1" ht="15.75" customHeight="1">
      <c r="B136" s="1725" t="s">
        <v>244</v>
      </c>
      <c r="C136" s="1766">
        <f t="shared" si="23"/>
        <v>0</v>
      </c>
      <c r="D136" s="1767">
        <f t="shared" si="23"/>
        <v>0</v>
      </c>
      <c r="E136" s="1767">
        <f t="shared" si="23"/>
        <v>0</v>
      </c>
      <c r="F136" s="1767">
        <f t="shared" si="23"/>
        <v>0</v>
      </c>
      <c r="G136" s="1754"/>
      <c r="H136" s="710"/>
      <c r="J136" s="1725" t="s">
        <v>244</v>
      </c>
      <c r="K136" s="1766">
        <f t="shared" si="24"/>
        <v>0</v>
      </c>
      <c r="L136" s="1767">
        <f t="shared" si="24"/>
        <v>0</v>
      </c>
      <c r="M136" s="1767">
        <f t="shared" si="24"/>
        <v>0</v>
      </c>
      <c r="N136" s="1767">
        <f t="shared" si="24"/>
        <v>0</v>
      </c>
      <c r="O136" s="1754"/>
      <c r="P136" s="710"/>
      <c r="R136" s="1725" t="s">
        <v>244</v>
      </c>
      <c r="S136" s="1766">
        <f t="shared" si="25"/>
        <v>0</v>
      </c>
      <c r="T136" s="1767">
        <f t="shared" si="25"/>
        <v>0</v>
      </c>
      <c r="U136" s="1767">
        <f t="shared" si="25"/>
        <v>0</v>
      </c>
      <c r="V136" s="1767">
        <f t="shared" si="25"/>
        <v>0</v>
      </c>
      <c r="W136" s="1754"/>
      <c r="X136" s="710"/>
    </row>
    <row r="137" spans="2:24" s="1691" customFormat="1" ht="15.75" customHeight="1" thickBot="1">
      <c r="B137" s="1768" t="s">
        <v>491</v>
      </c>
      <c r="C137" s="1769">
        <f t="shared" si="23"/>
        <v>0</v>
      </c>
      <c r="D137" s="1770">
        <f t="shared" si="23"/>
        <v>0</v>
      </c>
      <c r="E137" s="1770">
        <f t="shared" si="23"/>
        <v>0</v>
      </c>
      <c r="F137" s="1770">
        <f t="shared" si="23"/>
        <v>0</v>
      </c>
      <c r="G137" s="1778"/>
      <c r="H137" s="714"/>
      <c r="J137" s="1768" t="s">
        <v>491</v>
      </c>
      <c r="K137" s="1769">
        <f t="shared" si="24"/>
        <v>0</v>
      </c>
      <c r="L137" s="1770">
        <f t="shared" si="24"/>
        <v>0</v>
      </c>
      <c r="M137" s="1770">
        <f t="shared" si="24"/>
        <v>0</v>
      </c>
      <c r="N137" s="1770">
        <f t="shared" si="24"/>
        <v>0</v>
      </c>
      <c r="O137" s="1778"/>
      <c r="P137" s="714"/>
      <c r="R137" s="1768" t="s">
        <v>491</v>
      </c>
      <c r="S137" s="1769">
        <f t="shared" si="25"/>
        <v>0</v>
      </c>
      <c r="T137" s="1770">
        <f t="shared" si="25"/>
        <v>0</v>
      </c>
      <c r="U137" s="1770">
        <f t="shared" si="25"/>
        <v>0</v>
      </c>
      <c r="V137" s="1770">
        <f t="shared" si="25"/>
        <v>0</v>
      </c>
      <c r="W137" s="1778"/>
      <c r="X137" s="714"/>
    </row>
  </sheetData>
  <sheetProtection insertRows="0"/>
  <mergeCells count="86">
    <mergeCell ref="J58:P58"/>
    <mergeCell ref="R58:X58"/>
    <mergeCell ref="S59:S60"/>
    <mergeCell ref="D59:H59"/>
    <mergeCell ref="L59:P59"/>
    <mergeCell ref="R59:R60"/>
    <mergeCell ref="T59:X59"/>
    <mergeCell ref="B85:H85"/>
    <mergeCell ref="J85:P85"/>
    <mergeCell ref="R85:X85"/>
    <mergeCell ref="C86:C87"/>
    <mergeCell ref="K86:K87"/>
    <mergeCell ref="S86:S87"/>
    <mergeCell ref="B86:B87"/>
    <mergeCell ref="J86:J87"/>
    <mergeCell ref="D86:H86"/>
    <mergeCell ref="T86:X86"/>
    <mergeCell ref="R86:R87"/>
    <mergeCell ref="J67:P67"/>
    <mergeCell ref="R67:X67"/>
    <mergeCell ref="S68:S69"/>
    <mergeCell ref="B67:H67"/>
    <mergeCell ref="C68:C69"/>
    <mergeCell ref="K68:K69"/>
    <mergeCell ref="J68:J69"/>
    <mergeCell ref="D68:H68"/>
    <mergeCell ref="R68:R69"/>
    <mergeCell ref="T68:X68"/>
    <mergeCell ref="B104:H104"/>
    <mergeCell ref="J104:P104"/>
    <mergeCell ref="R104:X104"/>
    <mergeCell ref="C105:C106"/>
    <mergeCell ref="D105:H105"/>
    <mergeCell ref="K105:K106"/>
    <mergeCell ref="S105:S106"/>
    <mergeCell ref="B105:B106"/>
    <mergeCell ref="J105:J106"/>
    <mergeCell ref="T105:X105"/>
    <mergeCell ref="R105:R106"/>
    <mergeCell ref="K114:K115"/>
    <mergeCell ref="S114:S115"/>
    <mergeCell ref="C114:C115"/>
    <mergeCell ref="B113:H113"/>
    <mergeCell ref="J113:P113"/>
    <mergeCell ref="R113:X113"/>
    <mergeCell ref="B114:B115"/>
    <mergeCell ref="J114:J115"/>
    <mergeCell ref="T114:X114"/>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B7:C8"/>
    <mergeCell ref="B31:C32"/>
    <mergeCell ref="B40:C41"/>
    <mergeCell ref="B59:B60"/>
    <mergeCell ref="B68:B69"/>
    <mergeCell ref="B58:H58"/>
    <mergeCell ref="B76:H76"/>
    <mergeCell ref="J76:P76"/>
    <mergeCell ref="C77:C78"/>
    <mergeCell ref="K77:K78"/>
    <mergeCell ref="R76:X76"/>
    <mergeCell ref="S77:S78"/>
    <mergeCell ref="B77:B78"/>
    <mergeCell ref="J77:J78"/>
    <mergeCell ref="D77:H77"/>
    <mergeCell ref="R77:R78"/>
    <mergeCell ref="T77:X77"/>
    <mergeCell ref="T123:X123"/>
    <mergeCell ref="T132:X132"/>
    <mergeCell ref="R132:R133"/>
    <mergeCell ref="R123:R124"/>
    <mergeCell ref="R114:R115"/>
  </mergeCells>
  <phoneticPr fontId="43"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topLeftCell="A13"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342" t="s">
        <v>852</v>
      </c>
      <c r="F1" s="230" t="s">
        <v>1021</v>
      </c>
    </row>
    <row r="2" spans="1:11">
      <c r="A2" s="1342"/>
    </row>
    <row r="3" spans="1:11">
      <c r="A3" s="1342" t="s">
        <v>479</v>
      </c>
    </row>
    <row r="4" spans="1:11">
      <c r="A4" s="1342"/>
    </row>
    <row r="6" spans="1:11" ht="13.5" thickBot="1"/>
    <row r="7" spans="1:11" ht="15" customHeight="1">
      <c r="B7" s="1988" t="s">
        <v>635</v>
      </c>
      <c r="C7" s="1989"/>
      <c r="D7" s="1989"/>
      <c r="E7" s="1990"/>
      <c r="F7" s="1997" t="s">
        <v>31</v>
      </c>
      <c r="G7" s="1780" t="s">
        <v>636</v>
      </c>
      <c r="H7" s="353"/>
      <c r="I7" s="1780" t="s">
        <v>637</v>
      </c>
      <c r="J7" s="353"/>
    </row>
    <row r="8" spans="1:11" ht="50.25" customHeight="1">
      <c r="B8" s="1991"/>
      <c r="C8" s="1992"/>
      <c r="D8" s="1992"/>
      <c r="E8" s="1993"/>
      <c r="F8" s="1998"/>
      <c r="G8" s="1781" t="s">
        <v>638</v>
      </c>
      <c r="H8" s="1782" t="s">
        <v>648</v>
      </c>
      <c r="I8" s="1781" t="s">
        <v>638</v>
      </c>
      <c r="J8" s="1782" t="s">
        <v>648</v>
      </c>
    </row>
    <row r="9" spans="1:11" ht="15" customHeight="1" thickBot="1">
      <c r="B9" s="1994"/>
      <c r="C9" s="1995"/>
      <c r="D9" s="1995"/>
      <c r="E9" s="1996"/>
      <c r="F9" s="1999"/>
      <c r="G9" s="1783" t="s">
        <v>649</v>
      </c>
      <c r="H9" s="1784" t="s">
        <v>649</v>
      </c>
      <c r="I9" s="1783" t="s">
        <v>649</v>
      </c>
      <c r="J9" s="1784" t="s">
        <v>649</v>
      </c>
    </row>
    <row r="10" spans="1:11" ht="15" customHeight="1">
      <c r="B10" s="508"/>
      <c r="C10" s="1785" t="s">
        <v>459</v>
      </c>
      <c r="D10" s="1785"/>
      <c r="E10" s="509"/>
      <c r="F10" s="510"/>
      <c r="G10" s="511"/>
      <c r="H10" s="512"/>
      <c r="I10" s="511"/>
      <c r="J10" s="512"/>
    </row>
    <row r="11" spans="1:11" ht="15" customHeight="1">
      <c r="B11" s="508"/>
      <c r="C11" s="509"/>
      <c r="D11" s="1786" t="s">
        <v>224</v>
      </c>
      <c r="E11" s="509"/>
      <c r="F11" s="513"/>
      <c r="G11" s="514"/>
      <c r="H11" s="515"/>
      <c r="I11" s="514"/>
      <c r="J11" s="515"/>
    </row>
    <row r="12" spans="1:11" ht="15" customHeight="1">
      <c r="B12" s="516"/>
      <c r="C12" s="509"/>
      <c r="D12" s="509"/>
      <c r="E12" s="509" t="s">
        <v>460</v>
      </c>
      <c r="F12" s="517" t="s">
        <v>177</v>
      </c>
      <c r="G12" s="354"/>
      <c r="H12" s="355"/>
      <c r="I12" s="354"/>
      <c r="J12" s="355">
        <v>39.50991010706953</v>
      </c>
      <c r="K12" s="747"/>
    </row>
    <row r="13" spans="1:11" ht="15" customHeight="1">
      <c r="B13" s="516"/>
      <c r="C13" s="509"/>
      <c r="D13" s="509"/>
      <c r="E13" s="509" t="s">
        <v>461</v>
      </c>
      <c r="F13" s="517" t="s">
        <v>738</v>
      </c>
      <c r="G13" s="354"/>
      <c r="H13" s="355"/>
      <c r="I13" s="354"/>
      <c r="J13" s="355">
        <v>0.48182817203743339</v>
      </c>
      <c r="K13" s="747"/>
    </row>
    <row r="14" spans="1:11" ht="15" customHeight="1">
      <c r="B14" s="516"/>
      <c r="C14" s="509"/>
      <c r="D14" s="509"/>
      <c r="E14" s="509"/>
      <c r="F14" s="517"/>
      <c r="G14" s="518"/>
      <c r="H14" s="519"/>
      <c r="I14" s="518"/>
      <c r="J14" s="519"/>
    </row>
    <row r="15" spans="1:11" ht="15" customHeight="1">
      <c r="B15" s="516"/>
      <c r="C15" s="509"/>
      <c r="D15" s="1786" t="s">
        <v>739</v>
      </c>
      <c r="E15" s="509"/>
      <c r="F15" s="517"/>
      <c r="G15" s="518"/>
      <c r="H15" s="519"/>
      <c r="I15" s="518"/>
      <c r="J15" s="519"/>
    </row>
    <row r="16" spans="1:11" ht="15" customHeight="1">
      <c r="B16" s="516"/>
      <c r="C16" s="509"/>
      <c r="D16" s="509"/>
      <c r="E16" s="509" t="s">
        <v>740</v>
      </c>
      <c r="F16" s="517" t="s">
        <v>738</v>
      </c>
      <c r="G16" s="354"/>
      <c r="H16" s="355"/>
      <c r="I16" s="354"/>
      <c r="J16" s="355">
        <v>0</v>
      </c>
      <c r="K16" s="747"/>
    </row>
    <row r="17" spans="2:11" ht="15" customHeight="1">
      <c r="B17" s="516"/>
      <c r="C17" s="509"/>
      <c r="D17" s="509"/>
      <c r="E17" s="509"/>
      <c r="F17" s="517"/>
      <c r="G17" s="518"/>
      <c r="H17" s="519"/>
      <c r="I17" s="518"/>
      <c r="J17" s="519"/>
    </row>
    <row r="18" spans="2:11" ht="15" customHeight="1">
      <c r="B18" s="516"/>
      <c r="C18" s="509"/>
      <c r="D18" s="1786" t="s">
        <v>872</v>
      </c>
      <c r="E18" s="509"/>
      <c r="F18" s="517"/>
      <c r="G18" s="518"/>
      <c r="H18" s="519"/>
      <c r="I18" s="518"/>
      <c r="J18" s="519"/>
    </row>
    <row r="19" spans="2:11" ht="15" customHeight="1">
      <c r="B19" s="516"/>
      <c r="C19" s="509"/>
      <c r="D19" s="1786"/>
      <c r="E19" s="509" t="s">
        <v>767</v>
      </c>
      <c r="F19" s="517" t="s">
        <v>177</v>
      </c>
      <c r="G19" s="354"/>
      <c r="H19" s="355"/>
      <c r="I19" s="354"/>
      <c r="J19" s="355">
        <v>120.45704300935833</v>
      </c>
      <c r="K19" s="747"/>
    </row>
    <row r="20" spans="2:11" ht="15" customHeight="1">
      <c r="B20" s="516"/>
      <c r="C20" s="509"/>
      <c r="D20" s="1786"/>
      <c r="E20" s="509" t="s">
        <v>628</v>
      </c>
      <c r="F20" s="517" t="s">
        <v>177</v>
      </c>
      <c r="G20" s="354"/>
      <c r="H20" s="355"/>
      <c r="I20" s="354"/>
      <c r="J20" s="355">
        <v>120.45704300935833</v>
      </c>
      <c r="K20" s="747"/>
    </row>
    <row r="21" spans="2:11" ht="15" customHeight="1">
      <c r="B21" s="516"/>
      <c r="C21" s="509"/>
      <c r="D21" s="1786"/>
      <c r="E21" s="509" t="s">
        <v>629</v>
      </c>
      <c r="F21" s="517" t="s">
        <v>177</v>
      </c>
      <c r="G21" s="354"/>
      <c r="H21" s="355"/>
      <c r="I21" s="354"/>
      <c r="J21" s="355">
        <v>120.45704300935833</v>
      </c>
      <c r="K21" s="747"/>
    </row>
    <row r="22" spans="2:11" ht="15" customHeight="1">
      <c r="B22" s="516"/>
      <c r="C22" s="509"/>
      <c r="D22" s="1786"/>
      <c r="E22" s="509" t="s">
        <v>630</v>
      </c>
      <c r="F22" s="517" t="s">
        <v>738</v>
      </c>
      <c r="G22" s="354"/>
      <c r="H22" s="355"/>
      <c r="I22" s="354"/>
      <c r="J22" s="355">
        <v>1.6107756705297416</v>
      </c>
      <c r="K22" s="747"/>
    </row>
    <row r="23" spans="2:11" ht="15" customHeight="1">
      <c r="B23" s="516"/>
      <c r="C23" s="509"/>
      <c r="D23" s="509"/>
      <c r="E23" s="509"/>
      <c r="F23" s="517"/>
      <c r="G23" s="518"/>
      <c r="H23" s="519"/>
      <c r="I23" s="518"/>
      <c r="J23" s="519"/>
    </row>
    <row r="24" spans="2:11" ht="15" customHeight="1">
      <c r="B24" s="516"/>
      <c r="C24" s="509"/>
      <c r="D24" s="1786" t="s">
        <v>631</v>
      </c>
      <c r="E24" s="509"/>
      <c r="F24" s="517"/>
      <c r="G24" s="518"/>
      <c r="H24" s="519"/>
      <c r="I24" s="518"/>
      <c r="J24" s="519"/>
    </row>
    <row r="25" spans="2:11" ht="15" customHeight="1">
      <c r="B25" s="516"/>
      <c r="C25" s="509"/>
      <c r="D25" s="1786"/>
      <c r="E25" s="509" t="s">
        <v>632</v>
      </c>
      <c r="F25" s="517" t="s">
        <v>738</v>
      </c>
      <c r="G25" s="354"/>
      <c r="H25" s="355"/>
      <c r="I25" s="354"/>
      <c r="J25" s="355">
        <v>5.4205669354211254</v>
      </c>
      <c r="K25" s="747"/>
    </row>
    <row r="26" spans="2:11" ht="15" customHeight="1">
      <c r="B26" s="516"/>
      <c r="C26" s="509"/>
      <c r="D26" s="1786"/>
      <c r="E26" s="509" t="s">
        <v>633</v>
      </c>
      <c r="F26" s="517" t="s">
        <v>738</v>
      </c>
      <c r="G26" s="354"/>
      <c r="H26" s="355"/>
      <c r="I26" s="354"/>
      <c r="J26" s="355">
        <v>5.4205669354211254</v>
      </c>
      <c r="K26" s="747"/>
    </row>
    <row r="27" spans="2:11" ht="15" customHeight="1">
      <c r="B27" s="516"/>
      <c r="C27" s="509"/>
      <c r="D27" s="1786"/>
      <c r="E27" s="509" t="s">
        <v>752</v>
      </c>
      <c r="F27" s="517" t="s">
        <v>738</v>
      </c>
      <c r="G27" s="354"/>
      <c r="H27" s="355"/>
      <c r="I27" s="354"/>
      <c r="J27" s="355">
        <v>5.4205669354211254</v>
      </c>
      <c r="K27" s="747"/>
    </row>
    <row r="28" spans="2:11" ht="15" customHeight="1">
      <c r="B28" s="516"/>
      <c r="C28" s="509"/>
      <c r="D28" s="1786"/>
      <c r="E28" s="509" t="s">
        <v>753</v>
      </c>
      <c r="F28" s="517" t="s">
        <v>738</v>
      </c>
      <c r="G28" s="354"/>
      <c r="H28" s="355"/>
      <c r="I28" s="354"/>
      <c r="J28" s="355">
        <v>4.5773676343556167</v>
      </c>
      <c r="K28" s="747"/>
    </row>
    <row r="29" spans="2:11" ht="15" customHeight="1">
      <c r="B29" s="516"/>
      <c r="C29" s="509"/>
      <c r="D29" s="1786"/>
      <c r="E29" s="509" t="s">
        <v>41</v>
      </c>
      <c r="F29" s="517" t="s">
        <v>738</v>
      </c>
      <c r="G29" s="520"/>
      <c r="H29" s="521"/>
      <c r="I29" s="520"/>
      <c r="J29" s="521"/>
    </row>
    <row r="30" spans="2:11" ht="15" customHeight="1">
      <c r="B30" s="516"/>
      <c r="C30" s="509"/>
      <c r="D30" s="1786"/>
      <c r="E30" s="509" t="s">
        <v>42</v>
      </c>
      <c r="F30" s="517" t="s">
        <v>738</v>
      </c>
      <c r="G30" s="520"/>
      <c r="H30" s="521"/>
      <c r="I30" s="520"/>
      <c r="J30" s="521"/>
    </row>
    <row r="31" spans="2:11" ht="15" customHeight="1" thickBot="1">
      <c r="B31" s="1787"/>
      <c r="C31" s="1788"/>
      <c r="D31" s="1788"/>
      <c r="E31" s="1788"/>
      <c r="F31" s="356"/>
      <c r="G31" s="522"/>
      <c r="H31" s="523"/>
      <c r="I31" s="522"/>
      <c r="J31" s="523"/>
    </row>
    <row r="32" spans="2:11" ht="15" customHeight="1">
      <c r="B32" s="524"/>
      <c r="C32" s="1789" t="s">
        <v>43</v>
      </c>
      <c r="D32" s="1789"/>
      <c r="E32" s="525"/>
      <c r="F32" s="526"/>
      <c r="G32" s="518"/>
      <c r="H32" s="519"/>
      <c r="I32" s="518"/>
      <c r="J32" s="519"/>
    </row>
    <row r="33" spans="2:11" ht="15" customHeight="1">
      <c r="B33" s="516"/>
      <c r="C33" s="509"/>
      <c r="D33" s="1786" t="s">
        <v>224</v>
      </c>
      <c r="E33" s="509"/>
      <c r="F33" s="526"/>
      <c r="G33" s="518"/>
      <c r="H33" s="519"/>
      <c r="I33" s="518"/>
      <c r="J33" s="519"/>
    </row>
    <row r="34" spans="2:11" ht="15" customHeight="1">
      <c r="B34" s="516"/>
      <c r="C34" s="509"/>
      <c r="D34" s="1786"/>
      <c r="E34" s="509" t="s">
        <v>44</v>
      </c>
      <c r="F34" s="517" t="s">
        <v>177</v>
      </c>
      <c r="G34" s="354"/>
      <c r="H34" s="355"/>
      <c r="I34" s="354"/>
      <c r="J34" s="355">
        <v>40.834937580172472</v>
      </c>
      <c r="K34" s="747"/>
    </row>
    <row r="35" spans="2:11" ht="15" customHeight="1">
      <c r="B35" s="516"/>
      <c r="C35" s="509"/>
      <c r="D35" s="1786"/>
      <c r="E35" s="509" t="s">
        <v>45</v>
      </c>
      <c r="F35" s="517" t="s">
        <v>177</v>
      </c>
      <c r="G35" s="354"/>
      <c r="H35" s="355"/>
      <c r="I35" s="354"/>
      <c r="J35" s="355">
        <v>40.834937580172472</v>
      </c>
      <c r="K35" s="747"/>
    </row>
    <row r="36" spans="2:11" ht="15" customHeight="1">
      <c r="B36" s="516"/>
      <c r="C36" s="509"/>
      <c r="D36" s="509"/>
      <c r="E36" s="509" t="s">
        <v>46</v>
      </c>
      <c r="F36" s="517" t="s">
        <v>177</v>
      </c>
      <c r="G36" s="354"/>
      <c r="H36" s="355"/>
      <c r="I36" s="354"/>
      <c r="J36" s="355">
        <v>0</v>
      </c>
      <c r="K36" s="747"/>
    </row>
    <row r="37" spans="2:11" ht="15" customHeight="1">
      <c r="B37" s="516"/>
      <c r="C37" s="509"/>
      <c r="D37" s="509"/>
      <c r="E37" s="509" t="s">
        <v>643</v>
      </c>
      <c r="F37" s="517" t="s">
        <v>177</v>
      </c>
      <c r="G37" s="354"/>
      <c r="H37" s="355"/>
      <c r="I37" s="354"/>
      <c r="J37" s="355">
        <v>0</v>
      </c>
      <c r="K37" s="747"/>
    </row>
    <row r="38" spans="2:11" ht="15" customHeight="1">
      <c r="B38" s="516"/>
      <c r="C38" s="509"/>
      <c r="D38" s="509"/>
      <c r="E38" s="509"/>
      <c r="F38" s="517"/>
      <c r="G38" s="518"/>
      <c r="H38" s="519"/>
      <c r="I38" s="518"/>
      <c r="J38" s="519"/>
    </row>
    <row r="39" spans="2:11" ht="15" customHeight="1">
      <c r="B39" s="516"/>
      <c r="C39" s="509"/>
      <c r="D39" s="1786" t="s">
        <v>739</v>
      </c>
      <c r="E39" s="509"/>
      <c r="F39" s="517"/>
      <c r="G39" s="518"/>
      <c r="H39" s="519"/>
      <c r="I39" s="518"/>
      <c r="J39" s="519"/>
    </row>
    <row r="40" spans="2:11" ht="15" customHeight="1">
      <c r="B40" s="516"/>
      <c r="C40" s="509"/>
      <c r="D40" s="525"/>
      <c r="E40" s="509" t="s">
        <v>761</v>
      </c>
      <c r="F40" s="517" t="s">
        <v>738</v>
      </c>
      <c r="G40" s="354"/>
      <c r="H40" s="355"/>
      <c r="I40" s="354"/>
      <c r="J40" s="355">
        <v>0</v>
      </c>
      <c r="K40" s="747"/>
    </row>
    <row r="41" spans="2:11" ht="15" customHeight="1">
      <c r="B41" s="516"/>
      <c r="C41" s="509"/>
      <c r="D41" s="1786"/>
      <c r="E41" s="509" t="s">
        <v>762</v>
      </c>
      <c r="F41" s="517" t="s">
        <v>738</v>
      </c>
      <c r="G41" s="354"/>
      <c r="H41" s="355"/>
      <c r="I41" s="354"/>
      <c r="J41" s="355">
        <v>0</v>
      </c>
      <c r="K41" s="747"/>
    </row>
    <row r="42" spans="2:11" ht="15" customHeight="1">
      <c r="B42" s="516"/>
      <c r="C42" s="509"/>
      <c r="D42" s="509"/>
      <c r="E42" s="509"/>
      <c r="F42" s="517"/>
      <c r="G42" s="518"/>
      <c r="H42" s="519"/>
      <c r="I42" s="518"/>
      <c r="J42" s="519"/>
    </row>
    <row r="43" spans="2:11" ht="15" customHeight="1">
      <c r="B43" s="516"/>
      <c r="C43" s="509"/>
      <c r="D43" s="1786" t="s">
        <v>763</v>
      </c>
      <c r="E43" s="509"/>
      <c r="F43" s="517"/>
      <c r="G43" s="518"/>
      <c r="H43" s="519"/>
      <c r="I43" s="518"/>
      <c r="J43" s="519"/>
    </row>
    <row r="44" spans="2:11" ht="15" customHeight="1">
      <c r="B44" s="516"/>
      <c r="C44" s="509"/>
      <c r="D44" s="1786"/>
      <c r="E44" s="509" t="s">
        <v>764</v>
      </c>
      <c r="F44" s="517" t="s">
        <v>177</v>
      </c>
      <c r="G44" s="354"/>
      <c r="H44" s="355"/>
      <c r="I44" s="354"/>
      <c r="J44" s="355">
        <v>80.103933601223289</v>
      </c>
      <c r="K44" s="747"/>
    </row>
    <row r="45" spans="2:11" ht="15" customHeight="1">
      <c r="B45" s="516"/>
      <c r="C45" s="509"/>
      <c r="D45" s="1786"/>
      <c r="E45" s="509" t="s">
        <v>765</v>
      </c>
      <c r="F45" s="517" t="s">
        <v>177</v>
      </c>
      <c r="G45" s="354"/>
      <c r="H45" s="355"/>
      <c r="I45" s="354"/>
      <c r="J45" s="355">
        <v>0</v>
      </c>
      <c r="K45" s="747"/>
    </row>
    <row r="46" spans="2:11" ht="15" customHeight="1">
      <c r="B46" s="516"/>
      <c r="C46" s="509"/>
      <c r="D46" s="1786"/>
      <c r="E46" s="509"/>
      <c r="F46" s="517"/>
      <c r="G46" s="518"/>
      <c r="H46" s="519"/>
      <c r="I46" s="518"/>
      <c r="J46" s="519"/>
    </row>
    <row r="47" spans="2:11" ht="15" customHeight="1">
      <c r="B47" s="516"/>
      <c r="C47" s="509"/>
      <c r="D47" s="1786" t="s">
        <v>68</v>
      </c>
      <c r="E47" s="509"/>
      <c r="F47" s="517"/>
      <c r="G47" s="518"/>
      <c r="H47" s="519"/>
      <c r="I47" s="518"/>
      <c r="J47" s="519"/>
    </row>
    <row r="48" spans="2:11" ht="15" customHeight="1">
      <c r="B48" s="516"/>
      <c r="C48" s="509"/>
      <c r="D48" s="1786"/>
      <c r="E48" s="509" t="s">
        <v>69</v>
      </c>
      <c r="F48" s="517" t="s">
        <v>177</v>
      </c>
      <c r="G48" s="354"/>
      <c r="H48" s="355"/>
      <c r="I48" s="354"/>
      <c r="J48" s="355">
        <v>0</v>
      </c>
      <c r="K48" s="747"/>
    </row>
    <row r="49" spans="2:11" ht="15" customHeight="1">
      <c r="B49" s="516"/>
      <c r="C49" s="509"/>
      <c r="D49" s="1786"/>
      <c r="E49" s="509"/>
      <c r="F49" s="517"/>
      <c r="G49" s="518"/>
      <c r="H49" s="519"/>
      <c r="I49" s="518"/>
      <c r="J49" s="519"/>
    </row>
    <row r="50" spans="2:11" ht="15" customHeight="1">
      <c r="B50" s="516"/>
      <c r="C50" s="509"/>
      <c r="D50" s="1786" t="s">
        <v>631</v>
      </c>
      <c r="E50" s="509"/>
      <c r="F50" s="517"/>
      <c r="G50" s="518"/>
      <c r="H50" s="519"/>
      <c r="I50" s="518"/>
      <c r="J50" s="519"/>
    </row>
    <row r="51" spans="2:11" ht="15" customHeight="1">
      <c r="B51" s="516"/>
      <c r="C51" s="509"/>
      <c r="D51" s="1786"/>
      <c r="E51" s="509" t="s">
        <v>70</v>
      </c>
      <c r="F51" s="517" t="s">
        <v>738</v>
      </c>
      <c r="G51" s="354"/>
      <c r="H51" s="355"/>
      <c r="I51" s="354"/>
      <c r="J51" s="355">
        <v>13.250274731029416</v>
      </c>
      <c r="K51" s="747"/>
    </row>
    <row r="52" spans="2:11" ht="15" customHeight="1">
      <c r="B52" s="516"/>
      <c r="C52" s="509"/>
      <c r="D52" s="1786"/>
      <c r="E52" s="509" t="s">
        <v>80</v>
      </c>
      <c r="F52" s="517" t="s">
        <v>738</v>
      </c>
      <c r="G52" s="354"/>
      <c r="H52" s="355"/>
      <c r="I52" s="354"/>
      <c r="J52" s="355">
        <v>29.271061451274075</v>
      </c>
      <c r="K52" s="747"/>
    </row>
    <row r="53" spans="2:11" ht="15" customHeight="1">
      <c r="B53" s="516"/>
      <c r="C53" s="509"/>
      <c r="D53" s="1786"/>
      <c r="E53" s="509" t="s">
        <v>81</v>
      </c>
      <c r="F53" s="517" t="s">
        <v>738</v>
      </c>
      <c r="G53" s="354"/>
      <c r="H53" s="355"/>
      <c r="I53" s="354"/>
      <c r="J53" s="355">
        <v>1.5659415591216583</v>
      </c>
      <c r="K53" s="747"/>
    </row>
    <row r="54" spans="2:11" ht="15" customHeight="1">
      <c r="B54" s="516"/>
      <c r="C54" s="509"/>
      <c r="D54" s="1786"/>
      <c r="E54" s="509" t="s">
        <v>82</v>
      </c>
      <c r="F54" s="517" t="s">
        <v>738</v>
      </c>
      <c r="G54" s="354"/>
      <c r="H54" s="355"/>
      <c r="I54" s="354"/>
      <c r="J54" s="355">
        <v>4.9387387633836912</v>
      </c>
      <c r="K54" s="747"/>
    </row>
    <row r="55" spans="2:11" ht="15" customHeight="1">
      <c r="B55" s="516"/>
      <c r="C55" s="509"/>
      <c r="D55" s="1786"/>
      <c r="E55" s="509" t="s">
        <v>776</v>
      </c>
      <c r="F55" s="517" t="s">
        <v>738</v>
      </c>
      <c r="G55" s="354"/>
      <c r="H55" s="355"/>
      <c r="I55" s="354"/>
      <c r="J55" s="355">
        <v>15.538958548207226</v>
      </c>
      <c r="K55" s="747"/>
    </row>
    <row r="56" spans="2:11" ht="15" customHeight="1">
      <c r="B56" s="516"/>
      <c r="C56" s="509"/>
      <c r="D56" s="1786"/>
      <c r="E56" s="509" t="s">
        <v>777</v>
      </c>
      <c r="F56" s="517" t="s">
        <v>738</v>
      </c>
      <c r="G56" s="520"/>
      <c r="H56" s="521"/>
      <c r="I56" s="520"/>
      <c r="J56" s="521"/>
    </row>
    <row r="57" spans="2:11" ht="15" customHeight="1">
      <c r="B57" s="516"/>
      <c r="C57" s="509"/>
      <c r="D57" s="1786"/>
      <c r="E57" s="509" t="s">
        <v>72</v>
      </c>
      <c r="F57" s="517" t="s">
        <v>738</v>
      </c>
      <c r="G57" s="520"/>
      <c r="H57" s="521"/>
      <c r="I57" s="520"/>
      <c r="J57" s="521"/>
    </row>
    <row r="58" spans="2:11" ht="15" customHeight="1">
      <c r="B58" s="516"/>
      <c r="C58" s="509"/>
      <c r="D58" s="509"/>
      <c r="E58" s="509" t="s">
        <v>656</v>
      </c>
      <c r="F58" s="517" t="s">
        <v>738</v>
      </c>
      <c r="G58" s="354"/>
      <c r="H58" s="355"/>
      <c r="I58" s="354"/>
      <c r="J58" s="355">
        <v>0</v>
      </c>
      <c r="K58" s="747"/>
    </row>
    <row r="59" spans="2:11" ht="15" customHeight="1">
      <c r="B59" s="516"/>
      <c r="C59" s="509"/>
      <c r="D59" s="509"/>
      <c r="E59" s="509" t="s">
        <v>495</v>
      </c>
      <c r="F59" s="517" t="s">
        <v>738</v>
      </c>
      <c r="G59" s="354"/>
      <c r="H59" s="355"/>
      <c r="I59" s="354"/>
      <c r="J59" s="355">
        <v>0</v>
      </c>
      <c r="K59" s="747"/>
    </row>
    <row r="60" spans="2:11" ht="15" customHeight="1">
      <c r="B60" s="516"/>
      <c r="C60" s="509"/>
      <c r="D60" s="1786"/>
      <c r="E60" s="509" t="s">
        <v>496</v>
      </c>
      <c r="F60" s="517" t="s">
        <v>738</v>
      </c>
      <c r="G60" s="354"/>
      <c r="H60" s="355"/>
      <c r="I60" s="354"/>
      <c r="J60" s="355">
        <v>0</v>
      </c>
      <c r="K60" s="747"/>
    </row>
    <row r="61" spans="2:11" ht="15" customHeight="1">
      <c r="B61" s="516"/>
      <c r="C61" s="509"/>
      <c r="D61" s="1786"/>
      <c r="E61" s="509" t="s">
        <v>497</v>
      </c>
      <c r="F61" s="517" t="s">
        <v>738</v>
      </c>
      <c r="G61" s="354"/>
      <c r="H61" s="355"/>
      <c r="I61" s="354"/>
      <c r="J61" s="355">
        <v>0</v>
      </c>
      <c r="K61" s="747"/>
    </row>
    <row r="62" spans="2:11" ht="15" customHeight="1">
      <c r="B62" s="516"/>
      <c r="C62" s="509"/>
      <c r="D62" s="1786"/>
      <c r="E62" s="509" t="s">
        <v>500</v>
      </c>
      <c r="F62" s="517" t="s">
        <v>738</v>
      </c>
      <c r="G62" s="354"/>
      <c r="H62" s="355"/>
      <c r="I62" s="354"/>
      <c r="J62" s="355">
        <v>0</v>
      </c>
      <c r="K62" s="747"/>
    </row>
    <row r="63" spans="2:11" ht="15" customHeight="1">
      <c r="B63" s="516"/>
      <c r="C63" s="509"/>
      <c r="D63" s="1786"/>
      <c r="E63" s="509" t="s">
        <v>659</v>
      </c>
      <c r="F63" s="517" t="s">
        <v>738</v>
      </c>
      <c r="G63" s="520"/>
      <c r="H63" s="521"/>
      <c r="I63" s="520"/>
      <c r="J63" s="521"/>
    </row>
    <row r="64" spans="2:11" ht="15" customHeight="1">
      <c r="B64" s="516"/>
      <c r="C64" s="509"/>
      <c r="D64" s="1786"/>
      <c r="E64" s="509" t="s">
        <v>505</v>
      </c>
      <c r="F64" s="517" t="s">
        <v>738</v>
      </c>
      <c r="G64" s="520"/>
      <c r="H64" s="521"/>
      <c r="I64" s="520"/>
      <c r="J64" s="521"/>
    </row>
    <row r="65" spans="2:11" ht="15" customHeight="1">
      <c r="B65" s="516"/>
      <c r="C65" s="509"/>
      <c r="D65" s="1786"/>
      <c r="E65" s="509"/>
      <c r="F65" s="526"/>
      <c r="G65" s="518"/>
      <c r="H65" s="519"/>
      <c r="I65" s="518"/>
      <c r="J65" s="519"/>
    </row>
    <row r="66" spans="2:11" ht="15" customHeight="1">
      <c r="B66" s="516"/>
      <c r="C66" s="509"/>
      <c r="D66" s="1786" t="s">
        <v>506</v>
      </c>
      <c r="E66" s="509"/>
      <c r="F66" s="526"/>
      <c r="G66" s="518"/>
      <c r="H66" s="519"/>
      <c r="I66" s="518"/>
      <c r="J66" s="519"/>
    </row>
    <row r="67" spans="2:11" ht="15" customHeight="1">
      <c r="B67" s="516"/>
      <c r="C67" s="509"/>
      <c r="D67" s="1786"/>
      <c r="E67" s="509" t="s">
        <v>507</v>
      </c>
      <c r="F67" s="517" t="s">
        <v>738</v>
      </c>
      <c r="G67" s="354"/>
      <c r="H67" s="355"/>
      <c r="I67" s="354"/>
      <c r="J67" s="355">
        <v>3.4932542472713912</v>
      </c>
      <c r="K67" s="747"/>
    </row>
    <row r="68" spans="2:11" ht="15" customHeight="1">
      <c r="B68" s="516"/>
      <c r="C68" s="509"/>
      <c r="D68" s="1786"/>
      <c r="E68" s="509" t="s">
        <v>508</v>
      </c>
      <c r="F68" s="517" t="s">
        <v>738</v>
      </c>
      <c r="G68" s="354"/>
      <c r="H68" s="355"/>
      <c r="I68" s="354"/>
      <c r="J68" s="355">
        <v>11.322962042879682</v>
      </c>
      <c r="K68" s="747"/>
    </row>
    <row r="69" spans="2:11" ht="15" customHeight="1">
      <c r="B69" s="516"/>
      <c r="C69" s="509"/>
      <c r="D69" s="1786"/>
      <c r="E69" s="509" t="s">
        <v>509</v>
      </c>
      <c r="F69" s="517" t="s">
        <v>738</v>
      </c>
      <c r="G69" s="354"/>
      <c r="H69" s="355"/>
      <c r="I69" s="354"/>
      <c r="J69" s="355">
        <v>0</v>
      </c>
      <c r="K69" s="747"/>
    </row>
    <row r="70" spans="2:11" ht="15" customHeight="1">
      <c r="B70" s="516"/>
      <c r="C70" s="509"/>
      <c r="D70" s="1786"/>
      <c r="E70" s="509" t="s">
        <v>510</v>
      </c>
      <c r="F70" s="517" t="s">
        <v>738</v>
      </c>
      <c r="G70" s="354"/>
      <c r="H70" s="355"/>
      <c r="I70" s="354"/>
      <c r="J70" s="355">
        <v>0</v>
      </c>
      <c r="K70" s="747"/>
    </row>
    <row r="71" spans="2:11" ht="15" customHeight="1" thickBot="1">
      <c r="B71" s="1787"/>
      <c r="C71" s="1788"/>
      <c r="D71" s="1788"/>
      <c r="E71" s="1788"/>
      <c r="F71" s="356"/>
      <c r="G71" s="522"/>
      <c r="H71" s="523"/>
      <c r="I71" s="522"/>
      <c r="J71" s="523"/>
    </row>
    <row r="72" spans="2:11" ht="15" customHeight="1">
      <c r="B72" s="524"/>
      <c r="C72" s="1789" t="s">
        <v>524</v>
      </c>
      <c r="D72" s="1789"/>
      <c r="E72" s="525"/>
      <c r="F72" s="526"/>
      <c r="G72" s="518"/>
      <c r="H72" s="519"/>
      <c r="I72" s="518"/>
      <c r="J72" s="519"/>
    </row>
    <row r="73" spans="2:11" ht="15" customHeight="1">
      <c r="B73" s="516"/>
      <c r="C73" s="509"/>
      <c r="D73" s="1786" t="s">
        <v>224</v>
      </c>
      <c r="E73" s="509"/>
      <c r="F73" s="517"/>
      <c r="G73" s="518"/>
      <c r="H73" s="519"/>
      <c r="I73" s="518"/>
      <c r="J73" s="519"/>
    </row>
    <row r="74" spans="2:11" ht="15" customHeight="1">
      <c r="B74" s="516"/>
      <c r="C74" s="509"/>
      <c r="D74" s="509"/>
      <c r="E74" s="509" t="s">
        <v>525</v>
      </c>
      <c r="F74" s="517" t="s">
        <v>177</v>
      </c>
      <c r="G74" s="354"/>
      <c r="H74" s="355"/>
      <c r="I74" s="354"/>
      <c r="J74" s="355">
        <v>93.233751289243358</v>
      </c>
      <c r="K74" s="747"/>
    </row>
    <row r="75" spans="2:11" ht="15" customHeight="1">
      <c r="B75" s="516"/>
      <c r="C75" s="509"/>
      <c r="D75" s="1786"/>
      <c r="E75" s="509" t="s">
        <v>526</v>
      </c>
      <c r="F75" s="517" t="s">
        <v>177</v>
      </c>
      <c r="G75" s="354"/>
      <c r="H75" s="355"/>
      <c r="I75" s="354"/>
      <c r="J75" s="355">
        <v>148.5235340305388</v>
      </c>
      <c r="K75" s="747"/>
    </row>
    <row r="76" spans="2:11" ht="15" customHeight="1">
      <c r="B76" s="516"/>
      <c r="C76" s="509"/>
      <c r="D76" s="1786"/>
      <c r="E76" s="509" t="s">
        <v>527</v>
      </c>
      <c r="F76" s="517" t="s">
        <v>177</v>
      </c>
      <c r="G76" s="354"/>
      <c r="H76" s="355"/>
      <c r="I76" s="354"/>
      <c r="J76" s="355">
        <v>175.86728279366315</v>
      </c>
      <c r="K76" s="747"/>
    </row>
    <row r="77" spans="2:11" ht="15" customHeight="1">
      <c r="B77" s="516"/>
      <c r="C77" s="509"/>
      <c r="D77" s="1786"/>
      <c r="E77" s="509" t="s">
        <v>528</v>
      </c>
      <c r="F77" s="517" t="s">
        <v>177</v>
      </c>
      <c r="G77" s="354"/>
      <c r="H77" s="355"/>
      <c r="I77" s="354"/>
      <c r="J77" s="355">
        <v>175.86728279366315</v>
      </c>
      <c r="K77" s="747"/>
    </row>
    <row r="78" spans="2:11" ht="15" customHeight="1">
      <c r="B78" s="516"/>
      <c r="C78" s="509"/>
      <c r="D78" s="1786"/>
      <c r="E78" s="509"/>
      <c r="F78" s="517"/>
      <c r="G78" s="518"/>
      <c r="H78" s="519"/>
      <c r="I78" s="518"/>
      <c r="J78" s="519"/>
    </row>
    <row r="79" spans="2:11" ht="15" customHeight="1">
      <c r="B79" s="516"/>
      <c r="C79" s="509"/>
      <c r="D79" s="1786" t="s">
        <v>739</v>
      </c>
      <c r="E79" s="509"/>
      <c r="F79" s="517"/>
      <c r="G79" s="518"/>
      <c r="H79" s="519"/>
      <c r="I79" s="518"/>
      <c r="J79" s="519"/>
    </row>
    <row r="80" spans="2:11" ht="15" customHeight="1">
      <c r="B80" s="516"/>
      <c r="C80" s="509"/>
      <c r="D80" s="509"/>
      <c r="E80" s="509" t="s">
        <v>529</v>
      </c>
      <c r="F80" s="517" t="s">
        <v>738</v>
      </c>
      <c r="G80" s="354"/>
      <c r="H80" s="355"/>
      <c r="I80" s="354"/>
      <c r="J80" s="355">
        <v>0</v>
      </c>
      <c r="K80" s="747"/>
    </row>
    <row r="81" spans="2:11" ht="15" customHeight="1">
      <c r="B81" s="516"/>
      <c r="C81" s="509"/>
      <c r="D81" s="509"/>
      <c r="E81" s="509" t="s">
        <v>530</v>
      </c>
      <c r="F81" s="517" t="s">
        <v>738</v>
      </c>
      <c r="G81" s="354"/>
      <c r="H81" s="355"/>
      <c r="I81" s="354"/>
      <c r="J81" s="355">
        <v>0</v>
      </c>
      <c r="K81" s="747"/>
    </row>
    <row r="82" spans="2:11" ht="15" customHeight="1">
      <c r="B82" s="516"/>
      <c r="C82" s="509"/>
      <c r="D82" s="1786"/>
      <c r="E82" s="509" t="s">
        <v>531</v>
      </c>
      <c r="F82" s="517" t="s">
        <v>738</v>
      </c>
      <c r="G82" s="354"/>
      <c r="H82" s="355"/>
      <c r="I82" s="354"/>
      <c r="J82" s="355">
        <v>0</v>
      </c>
      <c r="K82" s="747"/>
    </row>
    <row r="83" spans="2:11" ht="15" customHeight="1">
      <c r="B83" s="516"/>
      <c r="C83" s="509"/>
      <c r="D83" s="1786"/>
      <c r="E83" s="509" t="s">
        <v>532</v>
      </c>
      <c r="F83" s="517" t="s">
        <v>738</v>
      </c>
      <c r="G83" s="354"/>
      <c r="H83" s="355"/>
      <c r="I83" s="354"/>
      <c r="J83" s="355">
        <v>0</v>
      </c>
      <c r="K83" s="747"/>
    </row>
    <row r="84" spans="2:11" ht="15" customHeight="1">
      <c r="B84" s="516"/>
      <c r="C84" s="509"/>
      <c r="D84" s="509"/>
      <c r="E84" s="509"/>
      <c r="F84" s="517"/>
      <c r="G84" s="518"/>
      <c r="H84" s="519"/>
      <c r="I84" s="518"/>
      <c r="J84" s="519"/>
    </row>
    <row r="85" spans="2:11" ht="15" customHeight="1">
      <c r="B85" s="508"/>
      <c r="C85" s="509"/>
      <c r="D85" s="1786" t="s">
        <v>763</v>
      </c>
      <c r="E85" s="509"/>
      <c r="F85" s="517"/>
      <c r="G85" s="518"/>
      <c r="H85" s="519"/>
      <c r="I85" s="518"/>
      <c r="J85" s="519"/>
    </row>
    <row r="86" spans="2:11" ht="15" customHeight="1">
      <c r="B86" s="508"/>
      <c r="C86" s="509"/>
      <c r="D86" s="1786"/>
      <c r="E86" s="509" t="s">
        <v>413</v>
      </c>
      <c r="F86" s="517" t="s">
        <v>177</v>
      </c>
      <c r="G86" s="354"/>
      <c r="H86" s="355"/>
      <c r="I86" s="354"/>
      <c r="J86" s="355">
        <v>243.56414096492253</v>
      </c>
      <c r="K86" s="747"/>
    </row>
    <row r="87" spans="2:11" ht="15" customHeight="1">
      <c r="B87" s="508"/>
      <c r="C87" s="509"/>
      <c r="D87" s="1786"/>
      <c r="E87" s="509" t="s">
        <v>414</v>
      </c>
      <c r="F87" s="517" t="s">
        <v>177</v>
      </c>
      <c r="G87" s="354"/>
      <c r="H87" s="355"/>
      <c r="I87" s="354"/>
      <c r="J87" s="355">
        <v>243.56414096492253</v>
      </c>
      <c r="K87" s="747"/>
    </row>
    <row r="88" spans="2:11" ht="15" customHeight="1">
      <c r="B88" s="508"/>
      <c r="C88" s="509"/>
      <c r="D88" s="1786"/>
      <c r="E88" s="509" t="s">
        <v>415</v>
      </c>
      <c r="F88" s="517" t="s">
        <v>177</v>
      </c>
      <c r="G88" s="354"/>
      <c r="H88" s="355"/>
      <c r="I88" s="354"/>
      <c r="J88" s="355">
        <v>0</v>
      </c>
      <c r="K88" s="747"/>
    </row>
    <row r="89" spans="2:11" ht="15" customHeight="1">
      <c r="B89" s="508"/>
      <c r="C89" s="509"/>
      <c r="D89" s="1786"/>
      <c r="E89" s="509" t="s">
        <v>537</v>
      </c>
      <c r="F89" s="517" t="s">
        <v>177</v>
      </c>
      <c r="G89" s="354"/>
      <c r="H89" s="355"/>
      <c r="I89" s="354"/>
      <c r="J89" s="355">
        <v>1143.1373381588107</v>
      </c>
      <c r="K89" s="747"/>
    </row>
    <row r="90" spans="2:11" ht="15" customHeight="1">
      <c r="B90" s="508"/>
      <c r="C90" s="509"/>
      <c r="D90" s="1786"/>
      <c r="E90" s="509" t="s">
        <v>425</v>
      </c>
      <c r="F90" s="517" t="s">
        <v>177</v>
      </c>
      <c r="G90" s="354"/>
      <c r="H90" s="355"/>
      <c r="I90" s="354"/>
      <c r="J90" s="355">
        <v>1143.1373381588107</v>
      </c>
      <c r="K90" s="747"/>
    </row>
    <row r="91" spans="2:11" ht="15" customHeight="1">
      <c r="B91" s="508"/>
      <c r="C91" s="509"/>
      <c r="D91" s="1786"/>
      <c r="E91" s="509" t="s">
        <v>426</v>
      </c>
      <c r="F91" s="517" t="s">
        <v>177</v>
      </c>
      <c r="G91" s="354"/>
      <c r="H91" s="355"/>
      <c r="I91" s="354"/>
      <c r="J91" s="355">
        <v>0</v>
      </c>
      <c r="K91" s="747"/>
    </row>
    <row r="92" spans="2:11" ht="15" customHeight="1">
      <c r="B92" s="508"/>
      <c r="C92" s="509"/>
      <c r="D92" s="509"/>
      <c r="E92" s="509"/>
      <c r="F92" s="517"/>
      <c r="G92" s="518"/>
      <c r="H92" s="519"/>
      <c r="I92" s="518"/>
      <c r="J92" s="519"/>
    </row>
    <row r="93" spans="2:11" ht="15" customHeight="1">
      <c r="B93" s="508"/>
      <c r="C93" s="509"/>
      <c r="D93" s="1786" t="s">
        <v>68</v>
      </c>
      <c r="E93" s="509"/>
      <c r="F93" s="517"/>
      <c r="G93" s="518"/>
      <c r="H93" s="519"/>
      <c r="I93" s="518"/>
      <c r="J93" s="519"/>
    </row>
    <row r="94" spans="2:11" ht="15" customHeight="1">
      <c r="B94" s="508"/>
      <c r="C94" s="509"/>
      <c r="D94" s="509"/>
      <c r="E94" s="509" t="s">
        <v>387</v>
      </c>
      <c r="F94" s="517" t="s">
        <v>177</v>
      </c>
      <c r="G94" s="354"/>
      <c r="H94" s="355"/>
      <c r="I94" s="354"/>
      <c r="J94" s="355">
        <v>0</v>
      </c>
      <c r="K94" s="747"/>
    </row>
    <row r="95" spans="2:11" ht="15" customHeight="1">
      <c r="B95" s="508"/>
      <c r="C95" s="509"/>
      <c r="D95" s="1786"/>
      <c r="E95" s="509"/>
      <c r="F95" s="517"/>
      <c r="G95" s="518"/>
      <c r="H95" s="519"/>
      <c r="I95" s="518"/>
      <c r="J95" s="519"/>
    </row>
    <row r="96" spans="2:11" ht="15" customHeight="1">
      <c r="B96" s="508"/>
      <c r="C96" s="509"/>
      <c r="D96" s="1786" t="s">
        <v>631</v>
      </c>
      <c r="E96" s="509"/>
      <c r="F96" s="517"/>
      <c r="G96" s="518"/>
      <c r="H96" s="519"/>
      <c r="I96" s="518"/>
      <c r="J96" s="519"/>
    </row>
    <row r="97" spans="2:11" ht="15" customHeight="1">
      <c r="B97" s="508"/>
      <c r="C97" s="509"/>
      <c r="D97" s="1786"/>
      <c r="E97" s="525" t="s">
        <v>388</v>
      </c>
      <c r="F97" s="517" t="s">
        <v>738</v>
      </c>
      <c r="G97" s="354"/>
      <c r="H97" s="355"/>
      <c r="I97" s="354"/>
      <c r="J97" s="355">
        <v>175.26499757861637</v>
      </c>
      <c r="K97" s="747"/>
    </row>
    <row r="98" spans="2:11" ht="15" customHeight="1">
      <c r="B98" s="508"/>
      <c r="C98" s="509"/>
      <c r="D98" s="1786"/>
      <c r="E98" s="525" t="s">
        <v>389</v>
      </c>
      <c r="F98" s="517" t="s">
        <v>738</v>
      </c>
      <c r="G98" s="354"/>
      <c r="H98" s="355"/>
      <c r="I98" s="354"/>
      <c r="J98" s="355">
        <v>175.26499757861637</v>
      </c>
      <c r="K98" s="747"/>
    </row>
    <row r="99" spans="2:11" ht="15" customHeight="1">
      <c r="B99" s="508"/>
      <c r="C99" s="509"/>
      <c r="D99" s="1786"/>
      <c r="E99" s="525" t="s">
        <v>390</v>
      </c>
      <c r="F99" s="517" t="s">
        <v>738</v>
      </c>
      <c r="G99" s="354"/>
      <c r="H99" s="355"/>
      <c r="I99" s="354"/>
      <c r="J99" s="355">
        <v>0</v>
      </c>
      <c r="K99" s="747"/>
    </row>
    <row r="100" spans="2:11" ht="15" customHeight="1">
      <c r="B100" s="508"/>
      <c r="C100" s="509"/>
      <c r="D100" s="1786"/>
      <c r="E100" s="525" t="s">
        <v>391</v>
      </c>
      <c r="F100" s="517" t="s">
        <v>738</v>
      </c>
      <c r="G100" s="354"/>
      <c r="H100" s="355"/>
      <c r="I100" s="354"/>
      <c r="J100" s="355">
        <v>0</v>
      </c>
      <c r="K100" s="747"/>
    </row>
    <row r="101" spans="2:11" ht="15" customHeight="1">
      <c r="B101" s="508"/>
      <c r="C101" s="509"/>
      <c r="D101" s="1786"/>
      <c r="E101" s="525" t="s">
        <v>392</v>
      </c>
      <c r="F101" s="517" t="s">
        <v>738</v>
      </c>
      <c r="G101" s="354"/>
      <c r="H101" s="355"/>
      <c r="I101" s="354"/>
      <c r="J101" s="355">
        <v>557.59565209031973</v>
      </c>
      <c r="K101" s="747"/>
    </row>
    <row r="102" spans="2:11" ht="15" customHeight="1">
      <c r="B102" s="508"/>
      <c r="C102" s="509"/>
      <c r="D102" s="1786"/>
      <c r="E102" s="525" t="s">
        <v>393</v>
      </c>
      <c r="F102" s="517" t="s">
        <v>738</v>
      </c>
      <c r="G102" s="520"/>
      <c r="H102" s="521"/>
      <c r="I102" s="520"/>
      <c r="J102" s="521"/>
    </row>
    <row r="103" spans="2:11" ht="15" customHeight="1">
      <c r="B103" s="508"/>
      <c r="C103" s="509"/>
      <c r="D103" s="1786"/>
      <c r="E103" s="525" t="s">
        <v>394</v>
      </c>
      <c r="F103" s="517" t="s">
        <v>738</v>
      </c>
      <c r="G103" s="354"/>
      <c r="H103" s="355"/>
      <c r="I103" s="354"/>
      <c r="J103" s="355">
        <v>661.18870907836788</v>
      </c>
      <c r="K103" s="747"/>
    </row>
    <row r="104" spans="2:11" ht="15" customHeight="1">
      <c r="B104" s="508"/>
      <c r="C104" s="509"/>
      <c r="D104" s="1786"/>
      <c r="E104" s="525" t="s">
        <v>395</v>
      </c>
      <c r="F104" s="517" t="s">
        <v>738</v>
      </c>
      <c r="G104" s="520"/>
      <c r="H104" s="521"/>
      <c r="I104" s="520"/>
      <c r="J104" s="521"/>
    </row>
    <row r="105" spans="2:11" ht="15" customHeight="1">
      <c r="B105" s="508"/>
      <c r="C105" s="509"/>
      <c r="D105" s="1786"/>
      <c r="E105" s="509"/>
      <c r="F105" s="517"/>
      <c r="G105" s="518"/>
      <c r="H105" s="519"/>
      <c r="I105" s="518"/>
      <c r="J105" s="519"/>
    </row>
    <row r="106" spans="2:11" ht="15" customHeight="1">
      <c r="B106" s="508"/>
      <c r="C106" s="509"/>
      <c r="D106" s="1786" t="s">
        <v>506</v>
      </c>
      <c r="E106" s="509"/>
      <c r="F106" s="517"/>
      <c r="G106" s="518"/>
      <c r="H106" s="519"/>
      <c r="I106" s="518"/>
      <c r="J106" s="519"/>
    </row>
    <row r="107" spans="2:11" ht="15" customHeight="1">
      <c r="B107" s="508"/>
      <c r="C107" s="509"/>
      <c r="D107" s="509"/>
      <c r="E107" s="525" t="s">
        <v>396</v>
      </c>
      <c r="F107" s="517" t="s">
        <v>738</v>
      </c>
      <c r="G107" s="354"/>
      <c r="H107" s="355"/>
      <c r="I107" s="354"/>
      <c r="J107" s="355">
        <v>504.59455316620199</v>
      </c>
      <c r="K107" s="747"/>
    </row>
    <row r="108" spans="2:11" ht="15" customHeight="1">
      <c r="B108" s="508"/>
      <c r="C108" s="509"/>
      <c r="D108" s="509"/>
      <c r="E108" s="525" t="s">
        <v>397</v>
      </c>
      <c r="F108" s="517" t="s">
        <v>738</v>
      </c>
      <c r="G108" s="354"/>
      <c r="H108" s="355"/>
      <c r="I108" s="354"/>
      <c r="J108" s="355">
        <v>541.93623649910307</v>
      </c>
      <c r="K108" s="747"/>
    </row>
    <row r="109" spans="2:11" ht="15" customHeight="1">
      <c r="B109" s="508"/>
      <c r="C109" s="509"/>
      <c r="D109" s="509"/>
      <c r="E109" s="509" t="s">
        <v>398</v>
      </c>
      <c r="F109" s="517" t="s">
        <v>738</v>
      </c>
      <c r="G109" s="520"/>
      <c r="H109" s="521"/>
      <c r="I109" s="520"/>
      <c r="J109" s="521"/>
      <c r="K109" s="747"/>
    </row>
    <row r="110" spans="2:11" ht="15" customHeight="1">
      <c r="B110" s="508"/>
      <c r="C110" s="509"/>
      <c r="D110" s="509"/>
      <c r="E110" s="525" t="s">
        <v>589</v>
      </c>
      <c r="F110" s="517" t="s">
        <v>738</v>
      </c>
      <c r="G110" s="354"/>
      <c r="H110" s="355"/>
      <c r="I110" s="354"/>
      <c r="J110" s="355">
        <v>2117.5143590615103</v>
      </c>
      <c r="K110" s="747"/>
    </row>
    <row r="111" spans="2:11" ht="15" customHeight="1">
      <c r="B111" s="508"/>
      <c r="C111" s="509"/>
      <c r="D111" s="1786"/>
      <c r="E111" s="509" t="s">
        <v>590</v>
      </c>
      <c r="F111" s="517" t="s">
        <v>738</v>
      </c>
      <c r="G111" s="520"/>
      <c r="H111" s="521"/>
      <c r="I111" s="520"/>
      <c r="J111" s="521"/>
    </row>
    <row r="112" spans="2:11" ht="15" customHeight="1" thickBot="1">
      <c r="B112" s="1787"/>
      <c r="C112" s="1788"/>
      <c r="D112" s="1788"/>
      <c r="E112" s="1788"/>
      <c r="F112" s="356"/>
      <c r="G112" s="527"/>
      <c r="H112" s="528"/>
      <c r="I112" s="527"/>
      <c r="J112" s="528"/>
    </row>
    <row r="113" spans="2:11" ht="15" customHeight="1">
      <c r="B113" s="524"/>
      <c r="C113" s="1789" t="s">
        <v>591</v>
      </c>
      <c r="D113" s="1789"/>
      <c r="E113" s="525"/>
      <c r="F113" s="526"/>
      <c r="G113" s="518"/>
      <c r="H113" s="519"/>
      <c r="I113" s="518"/>
      <c r="J113" s="519"/>
    </row>
    <row r="114" spans="2:11" ht="15" customHeight="1">
      <c r="B114" s="508"/>
      <c r="C114" s="509"/>
      <c r="D114" s="1786" t="s">
        <v>224</v>
      </c>
      <c r="E114" s="509"/>
      <c r="F114" s="517"/>
      <c r="G114" s="518"/>
      <c r="H114" s="519"/>
      <c r="I114" s="518"/>
      <c r="J114" s="519"/>
    </row>
    <row r="115" spans="2:11" ht="15" customHeight="1">
      <c r="B115" s="508"/>
      <c r="C115" s="509"/>
      <c r="D115" s="1786"/>
      <c r="E115" s="509" t="s">
        <v>592</v>
      </c>
      <c r="F115" s="517" t="s">
        <v>177</v>
      </c>
      <c r="G115" s="354"/>
      <c r="H115" s="355"/>
      <c r="I115" s="354"/>
      <c r="J115" s="355">
        <v>677.32995284162189</v>
      </c>
      <c r="K115" s="747"/>
    </row>
    <row r="116" spans="2:11" ht="15" customHeight="1">
      <c r="B116" s="508"/>
      <c r="C116" s="509"/>
      <c r="D116" s="1786"/>
      <c r="E116" s="509" t="s">
        <v>593</v>
      </c>
      <c r="F116" s="517" t="s">
        <v>177</v>
      </c>
      <c r="G116" s="354"/>
      <c r="H116" s="355"/>
      <c r="I116" s="354"/>
      <c r="J116" s="355">
        <v>1163.9764065994295</v>
      </c>
      <c r="K116" s="747"/>
    </row>
    <row r="117" spans="2:11" ht="15" customHeight="1">
      <c r="B117" s="508"/>
      <c r="C117" s="509"/>
      <c r="D117" s="1786"/>
      <c r="E117" s="525"/>
      <c r="F117" s="517"/>
      <c r="G117" s="518"/>
      <c r="H117" s="519"/>
      <c r="I117" s="518"/>
      <c r="J117" s="519"/>
    </row>
    <row r="118" spans="2:11" ht="15" customHeight="1">
      <c r="B118" s="508"/>
      <c r="C118" s="509"/>
      <c r="D118" s="1786" t="s">
        <v>739</v>
      </c>
      <c r="E118" s="509"/>
      <c r="F118" s="526"/>
      <c r="G118" s="518"/>
      <c r="H118" s="519"/>
      <c r="I118" s="518"/>
      <c r="J118" s="519"/>
    </row>
    <row r="119" spans="2:11" ht="15" customHeight="1">
      <c r="B119" s="508"/>
      <c r="C119" s="509"/>
      <c r="D119" s="1786"/>
      <c r="E119" s="509" t="s">
        <v>594</v>
      </c>
      <c r="F119" s="517" t="s">
        <v>738</v>
      </c>
      <c r="G119" s="354"/>
      <c r="H119" s="355"/>
      <c r="I119" s="354"/>
      <c r="J119" s="355">
        <v>0</v>
      </c>
      <c r="K119" s="747"/>
    </row>
    <row r="120" spans="2:11" ht="15" customHeight="1">
      <c r="B120" s="508"/>
      <c r="C120" s="509"/>
      <c r="D120" s="1786"/>
      <c r="E120" s="509" t="s">
        <v>595</v>
      </c>
      <c r="F120" s="517" t="s">
        <v>738</v>
      </c>
      <c r="G120" s="354"/>
      <c r="H120" s="355"/>
      <c r="I120" s="354"/>
      <c r="J120" s="355">
        <v>0</v>
      </c>
      <c r="K120" s="747"/>
    </row>
    <row r="121" spans="2:11" ht="15" customHeight="1">
      <c r="B121" s="508"/>
      <c r="C121" s="509"/>
      <c r="D121" s="1786"/>
      <c r="E121" s="525" t="s">
        <v>438</v>
      </c>
      <c r="F121" s="517" t="s">
        <v>738</v>
      </c>
      <c r="G121" s="354"/>
      <c r="H121" s="355"/>
      <c r="I121" s="354"/>
      <c r="J121" s="355">
        <v>0</v>
      </c>
      <c r="K121" s="747"/>
    </row>
    <row r="122" spans="2:11" ht="15" customHeight="1">
      <c r="B122" s="508"/>
      <c r="C122" s="509"/>
      <c r="D122" s="509"/>
      <c r="E122" s="509"/>
      <c r="F122" s="517"/>
      <c r="G122" s="518"/>
      <c r="H122" s="519"/>
      <c r="I122" s="518"/>
      <c r="J122" s="519"/>
    </row>
    <row r="123" spans="2:11" ht="15" customHeight="1">
      <c r="B123" s="508"/>
      <c r="C123" s="509"/>
      <c r="D123" s="1786" t="s">
        <v>763</v>
      </c>
      <c r="E123" s="509"/>
      <c r="F123" s="526"/>
      <c r="G123" s="518"/>
      <c r="H123" s="519"/>
      <c r="I123" s="518"/>
      <c r="J123" s="519"/>
    </row>
    <row r="124" spans="2:11" ht="15" customHeight="1">
      <c r="B124" s="508"/>
      <c r="C124" s="509"/>
      <c r="D124" s="509"/>
      <c r="E124" s="509" t="s">
        <v>704</v>
      </c>
      <c r="F124" s="517" t="s">
        <v>177</v>
      </c>
      <c r="G124" s="354"/>
      <c r="H124" s="355"/>
      <c r="I124" s="354"/>
      <c r="J124" s="355">
        <v>1174.4561693412438</v>
      </c>
      <c r="K124" s="747"/>
    </row>
    <row r="125" spans="2:11" ht="15" customHeight="1">
      <c r="B125" s="508"/>
      <c r="C125" s="509"/>
      <c r="D125" s="509"/>
      <c r="E125" s="509" t="s">
        <v>703</v>
      </c>
      <c r="F125" s="517" t="s">
        <v>177</v>
      </c>
      <c r="G125" s="354"/>
      <c r="H125" s="355"/>
      <c r="I125" s="354"/>
      <c r="J125" s="355">
        <v>1174.4561693412438</v>
      </c>
      <c r="K125" s="747"/>
    </row>
    <row r="126" spans="2:11" ht="15" customHeight="1">
      <c r="B126" s="508"/>
      <c r="C126" s="509"/>
      <c r="D126" s="509"/>
      <c r="E126" s="509" t="s">
        <v>667</v>
      </c>
      <c r="F126" s="517" t="s">
        <v>177</v>
      </c>
      <c r="G126" s="354"/>
      <c r="H126" s="355"/>
      <c r="I126" s="354"/>
      <c r="J126" s="355">
        <v>0</v>
      </c>
      <c r="K126" s="747"/>
    </row>
    <row r="127" spans="2:11" ht="15" customHeight="1">
      <c r="B127" s="508"/>
      <c r="C127" s="509"/>
      <c r="D127" s="509"/>
      <c r="E127" s="509"/>
      <c r="F127" s="513"/>
      <c r="G127" s="518"/>
      <c r="H127" s="519"/>
      <c r="I127" s="518"/>
      <c r="J127" s="519"/>
    </row>
    <row r="128" spans="2:11" ht="15" customHeight="1">
      <c r="B128" s="508"/>
      <c r="C128" s="509"/>
      <c r="D128" s="1786" t="s">
        <v>68</v>
      </c>
      <c r="E128" s="509"/>
      <c r="F128" s="513"/>
      <c r="G128" s="518"/>
      <c r="H128" s="519"/>
      <c r="I128" s="518"/>
      <c r="J128" s="519"/>
    </row>
    <row r="129" spans="2:11" ht="15" customHeight="1">
      <c r="B129" s="508"/>
      <c r="C129" s="509"/>
      <c r="D129" s="509"/>
      <c r="E129" s="525" t="s">
        <v>668</v>
      </c>
      <c r="F129" s="517" t="s">
        <v>177</v>
      </c>
      <c r="G129" s="354"/>
      <c r="H129" s="355"/>
      <c r="I129" s="354"/>
      <c r="J129" s="355">
        <v>0</v>
      </c>
      <c r="K129" s="747"/>
    </row>
    <row r="130" spans="2:11" ht="15" customHeight="1">
      <c r="B130" s="508"/>
      <c r="C130" s="509"/>
      <c r="D130" s="509"/>
      <c r="E130" s="509"/>
      <c r="F130" s="513"/>
      <c r="G130" s="518"/>
      <c r="H130" s="519"/>
      <c r="I130" s="518"/>
      <c r="J130" s="519"/>
    </row>
    <row r="131" spans="2:11" ht="15" customHeight="1">
      <c r="B131" s="508"/>
      <c r="C131" s="509"/>
      <c r="D131" s="1786" t="s">
        <v>631</v>
      </c>
      <c r="E131" s="509"/>
      <c r="F131" s="513"/>
      <c r="G131" s="518"/>
      <c r="H131" s="519"/>
      <c r="I131" s="518"/>
      <c r="J131" s="519"/>
    </row>
    <row r="132" spans="2:11" ht="15" customHeight="1">
      <c r="B132" s="508"/>
      <c r="C132" s="509"/>
      <c r="D132" s="509"/>
      <c r="E132" s="509" t="s">
        <v>669</v>
      </c>
      <c r="F132" s="517" t="s">
        <v>738</v>
      </c>
      <c r="G132" s="354"/>
      <c r="H132" s="355"/>
      <c r="I132" s="354"/>
      <c r="J132" s="355">
        <v>1048.3376453104456</v>
      </c>
      <c r="K132" s="747"/>
    </row>
    <row r="133" spans="2:11" ht="15" customHeight="1">
      <c r="B133" s="508"/>
      <c r="C133" s="509"/>
      <c r="D133" s="509"/>
      <c r="E133" s="509" t="s">
        <v>670</v>
      </c>
      <c r="F133" s="517" t="s">
        <v>738</v>
      </c>
      <c r="G133" s="520"/>
      <c r="H133" s="521"/>
      <c r="I133" s="520"/>
      <c r="J133" s="521"/>
    </row>
    <row r="134" spans="2:11" ht="15" customHeight="1">
      <c r="B134" s="508"/>
      <c r="C134" s="509"/>
      <c r="D134" s="509"/>
      <c r="E134" s="509"/>
      <c r="F134" s="513"/>
      <c r="G134" s="518"/>
      <c r="H134" s="519"/>
      <c r="I134" s="518"/>
      <c r="J134" s="519"/>
    </row>
    <row r="135" spans="2:11" ht="15" customHeight="1">
      <c r="B135" s="508"/>
      <c r="C135" s="509"/>
      <c r="D135" s="1786" t="s">
        <v>506</v>
      </c>
      <c r="E135" s="509"/>
      <c r="F135" s="517"/>
      <c r="G135" s="518"/>
      <c r="H135" s="519"/>
      <c r="I135" s="518"/>
      <c r="J135" s="519"/>
    </row>
    <row r="136" spans="2:11" ht="15" customHeight="1">
      <c r="B136" s="508"/>
      <c r="C136" s="509"/>
      <c r="D136" s="509"/>
      <c r="E136" s="525" t="s">
        <v>671</v>
      </c>
      <c r="F136" s="517" t="s">
        <v>738</v>
      </c>
      <c r="G136" s="354"/>
      <c r="H136" s="355"/>
      <c r="I136" s="354"/>
      <c r="J136" s="355">
        <v>2117.5143590615103</v>
      </c>
      <c r="K136" s="747"/>
    </row>
    <row r="137" spans="2:11" ht="15" customHeight="1">
      <c r="B137" s="508"/>
      <c r="C137" s="509"/>
      <c r="D137" s="509"/>
      <c r="E137" s="525" t="s">
        <v>672</v>
      </c>
      <c r="F137" s="517" t="s">
        <v>738</v>
      </c>
      <c r="G137" s="520"/>
      <c r="H137" s="521"/>
      <c r="I137" s="520"/>
      <c r="J137" s="521"/>
    </row>
    <row r="138" spans="2:11" ht="15" customHeight="1" thickBot="1">
      <c r="B138" s="1787"/>
      <c r="C138" s="1788"/>
      <c r="D138" s="1788"/>
      <c r="E138" s="1788"/>
      <c r="F138" s="356"/>
      <c r="G138" s="527"/>
      <c r="H138" s="528"/>
      <c r="I138" s="527"/>
      <c r="J138" s="528"/>
    </row>
    <row r="139" spans="2:11" ht="15" customHeight="1">
      <c r="B139" s="524"/>
      <c r="C139" s="1789" t="s">
        <v>677</v>
      </c>
      <c r="D139" s="1789"/>
      <c r="E139" s="525"/>
      <c r="F139" s="526"/>
      <c r="G139" s="518"/>
      <c r="H139" s="519"/>
      <c r="I139" s="518"/>
      <c r="J139" s="519"/>
    </row>
    <row r="140" spans="2:11" ht="15" customHeight="1">
      <c r="B140" s="508"/>
      <c r="C140" s="509"/>
      <c r="D140" s="1786" t="s">
        <v>678</v>
      </c>
      <c r="E140" s="509"/>
      <c r="F140" s="517"/>
      <c r="G140" s="518"/>
      <c r="H140" s="519"/>
      <c r="I140" s="518"/>
      <c r="J140" s="519"/>
    </row>
    <row r="141" spans="2:11" ht="15" customHeight="1">
      <c r="B141" s="508"/>
      <c r="C141" s="509"/>
      <c r="D141" s="509"/>
      <c r="E141" s="525" t="s">
        <v>679</v>
      </c>
      <c r="F141" s="517" t="s">
        <v>738</v>
      </c>
      <c r="G141" s="520"/>
      <c r="H141" s="521"/>
      <c r="I141" s="520"/>
      <c r="J141" s="521"/>
    </row>
    <row r="142" spans="2:11" ht="15" customHeight="1">
      <c r="B142" s="508"/>
      <c r="C142" s="509"/>
      <c r="D142" s="509"/>
      <c r="E142" s="525" t="s">
        <v>848</v>
      </c>
      <c r="F142" s="517" t="s">
        <v>738</v>
      </c>
      <c r="G142" s="520"/>
      <c r="H142" s="521"/>
      <c r="I142" s="520"/>
      <c r="J142" s="521"/>
    </row>
    <row r="143" spans="2:11" ht="15" customHeight="1">
      <c r="B143" s="508"/>
      <c r="C143" s="525"/>
      <c r="D143" s="1786"/>
      <c r="E143" s="509"/>
      <c r="F143" s="517"/>
      <c r="G143" s="518"/>
      <c r="H143" s="519"/>
      <c r="I143" s="518"/>
      <c r="J143" s="519"/>
    </row>
    <row r="144" spans="2:11" ht="15" customHeight="1">
      <c r="B144" s="508"/>
      <c r="C144" s="509"/>
      <c r="D144" s="1786" t="s">
        <v>849</v>
      </c>
      <c r="E144" s="509"/>
      <c r="F144" s="517"/>
      <c r="G144" s="518"/>
      <c r="H144" s="519"/>
      <c r="I144" s="518"/>
      <c r="J144" s="519"/>
    </row>
    <row r="145" spans="2:11" ht="15" customHeight="1">
      <c r="B145" s="508"/>
      <c r="C145" s="509"/>
      <c r="D145" s="509"/>
      <c r="E145" s="525" t="s">
        <v>681</v>
      </c>
      <c r="F145" s="517" t="s">
        <v>738</v>
      </c>
      <c r="G145" s="520"/>
      <c r="H145" s="521"/>
      <c r="I145" s="520"/>
      <c r="J145" s="521"/>
    </row>
    <row r="146" spans="2:11" ht="15" customHeight="1">
      <c r="B146" s="508"/>
      <c r="C146" s="509"/>
      <c r="D146" s="509"/>
      <c r="E146" s="525" t="s">
        <v>682</v>
      </c>
      <c r="F146" s="517" t="s">
        <v>738</v>
      </c>
      <c r="G146" s="520"/>
      <c r="H146" s="521"/>
      <c r="I146" s="520"/>
      <c r="J146" s="521"/>
    </row>
    <row r="147" spans="2:11" ht="15" customHeight="1" thickBot="1">
      <c r="B147" s="1787"/>
      <c r="C147" s="1788"/>
      <c r="D147" s="1788"/>
      <c r="E147" s="1788"/>
      <c r="F147" s="356"/>
      <c r="G147" s="529"/>
      <c r="H147" s="530"/>
      <c r="I147" s="529"/>
      <c r="J147" s="530"/>
    </row>
    <row r="148" spans="2:11" ht="15" customHeight="1" thickBot="1">
      <c r="B148" s="525"/>
      <c r="C148" s="525"/>
      <c r="D148" s="525"/>
      <c r="E148" s="525"/>
      <c r="F148" s="525"/>
      <c r="G148" s="349"/>
      <c r="H148" s="349"/>
      <c r="I148" s="349"/>
      <c r="J148" s="349"/>
    </row>
    <row r="149" spans="2:11" ht="15" customHeight="1">
      <c r="B149" s="531"/>
      <c r="C149" s="1790" t="s">
        <v>683</v>
      </c>
      <c r="D149" s="1790"/>
      <c r="E149" s="532"/>
      <c r="F149" s="533"/>
      <c r="G149" s="534"/>
      <c r="H149" s="535"/>
      <c r="I149" s="534"/>
      <c r="J149" s="535"/>
    </row>
    <row r="150" spans="2:11" ht="15" customHeight="1">
      <c r="B150" s="516"/>
      <c r="C150" s="509"/>
      <c r="D150" s="1786"/>
      <c r="E150" s="1786" t="s">
        <v>80</v>
      </c>
      <c r="F150" s="517"/>
      <c r="G150" s="357"/>
      <c r="H150" s="358"/>
      <c r="I150" s="357"/>
      <c r="J150" s="358"/>
    </row>
    <row r="151" spans="2:11" ht="15" customHeight="1">
      <c r="B151" s="516"/>
      <c r="C151" s="509"/>
      <c r="D151" s="1786"/>
      <c r="E151" s="536" t="s">
        <v>684</v>
      </c>
      <c r="F151" s="517" t="s">
        <v>738</v>
      </c>
      <c r="G151" s="354"/>
      <c r="H151" s="355"/>
      <c r="I151" s="354"/>
      <c r="J151" s="355">
        <v>29.271061451274075</v>
      </c>
      <c r="K151" s="747"/>
    </row>
    <row r="152" spans="2:11" ht="15" customHeight="1">
      <c r="B152" s="516"/>
      <c r="C152" s="509"/>
      <c r="D152" s="1786"/>
      <c r="E152" s="536" t="s">
        <v>685</v>
      </c>
      <c r="F152" s="517" t="s">
        <v>738</v>
      </c>
      <c r="G152" s="354"/>
      <c r="H152" s="355"/>
      <c r="I152" s="354"/>
      <c r="J152" s="355">
        <v>7.4683366665802167</v>
      </c>
      <c r="K152" s="747"/>
    </row>
    <row r="153" spans="2:11" ht="15" customHeight="1">
      <c r="B153" s="516"/>
      <c r="C153" s="509"/>
      <c r="D153" s="1786"/>
      <c r="E153" s="1786" t="s">
        <v>497</v>
      </c>
      <c r="F153" s="517"/>
      <c r="G153" s="357"/>
      <c r="H153" s="358"/>
      <c r="I153" s="357"/>
      <c r="J153" s="358"/>
    </row>
    <row r="154" spans="2:11" ht="15" customHeight="1">
      <c r="B154" s="516"/>
      <c r="C154" s="509"/>
      <c r="D154" s="1786"/>
      <c r="E154" s="536" t="s">
        <v>684</v>
      </c>
      <c r="F154" s="517" t="s">
        <v>738</v>
      </c>
      <c r="G154" s="354"/>
      <c r="H154" s="355"/>
      <c r="I154" s="354"/>
      <c r="J154" s="355">
        <v>0</v>
      </c>
      <c r="K154" s="747"/>
    </row>
    <row r="155" spans="2:11" ht="15" customHeight="1" thickBot="1">
      <c r="B155" s="537"/>
      <c r="C155" s="538"/>
      <c r="D155" s="1791"/>
      <c r="E155" s="539" t="s">
        <v>685</v>
      </c>
      <c r="F155" s="540" t="s">
        <v>738</v>
      </c>
      <c r="G155" s="359"/>
      <c r="H155" s="360"/>
      <c r="I155" s="359"/>
      <c r="J155" s="360">
        <v>0</v>
      </c>
      <c r="K155" s="747"/>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theme="3" tint="0.79998168889431442"/>
  </sheetPr>
  <dimension ref="J3:P10"/>
  <sheetViews>
    <sheetView workbookViewId="0">
      <selection sqref="A1:XFD1048576"/>
    </sheetView>
  </sheetViews>
  <sheetFormatPr defaultColWidth="11.42578125" defaultRowHeight="12.75"/>
  <sheetData>
    <row r="3" spans="10:16" ht="24" customHeight="1">
      <c r="J3" s="2000" t="s">
        <v>1003</v>
      </c>
      <c r="K3" s="2001"/>
      <c r="L3" s="2002"/>
      <c r="N3" s="2000" t="s">
        <v>1004</v>
      </c>
      <c r="O3" s="2001"/>
      <c r="P3" s="2002"/>
    </row>
    <row r="4" spans="10:16">
      <c r="J4" s="2003" t="s">
        <v>1005</v>
      </c>
      <c r="K4" s="2004"/>
      <c r="L4" s="2005"/>
      <c r="N4" s="2006" t="s">
        <v>1006</v>
      </c>
      <c r="O4" s="2007"/>
      <c r="P4" s="2008"/>
    </row>
    <row r="5" spans="10:16">
      <c r="J5" s="1311" t="s">
        <v>244</v>
      </c>
      <c r="K5" s="1315"/>
      <c r="L5" s="21"/>
      <c r="N5" s="14"/>
      <c r="O5" s="716" t="s">
        <v>14</v>
      </c>
      <c r="P5" s="715"/>
    </row>
    <row r="6" spans="10:16">
      <c r="J6" s="22" t="s">
        <v>242</v>
      </c>
      <c r="K6" s="1312"/>
      <c r="L6" s="23"/>
      <c r="N6" s="1313" t="s">
        <v>239</v>
      </c>
      <c r="O6" s="1316"/>
      <c r="P6" s="1314"/>
    </row>
    <row r="7" spans="10:16">
      <c r="J7" s="7"/>
      <c r="K7" s="7"/>
      <c r="L7" s="7"/>
      <c r="N7" s="222" t="s">
        <v>373</v>
      </c>
      <c r="O7" s="1317"/>
      <c r="P7" s="21"/>
    </row>
    <row r="8" spans="10:16">
      <c r="N8" s="222" t="s">
        <v>238</v>
      </c>
      <c r="O8" s="1317"/>
      <c r="P8" s="21"/>
    </row>
    <row r="9" spans="10:16">
      <c r="N9" s="222" t="s">
        <v>244</v>
      </c>
      <c r="O9" s="1317"/>
      <c r="P9" s="21"/>
    </row>
    <row r="10" spans="10:16">
      <c r="N10" s="225" t="s">
        <v>491</v>
      </c>
      <c r="O10" s="1318"/>
      <c r="P10" s="23"/>
    </row>
  </sheetData>
  <mergeCells count="4">
    <mergeCell ref="J3:L3"/>
    <mergeCell ref="N3:P3"/>
    <mergeCell ref="J4:L4"/>
    <mergeCell ref="N4:P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342" t="s">
        <v>16</v>
      </c>
      <c r="F1" s="230" t="s">
        <v>1021</v>
      </c>
      <c r="H1" t="s">
        <v>1170</v>
      </c>
    </row>
    <row r="3" spans="1:38">
      <c r="A3" s="1342" t="s">
        <v>29</v>
      </c>
    </row>
    <row r="5" spans="1:38">
      <c r="C5" s="361" t="s">
        <v>409</v>
      </c>
      <c r="D5" s="362"/>
      <c r="E5" s="362"/>
      <c r="F5" s="362"/>
      <c r="G5" s="362"/>
      <c r="H5" s="362"/>
      <c r="I5" s="361"/>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3"/>
    </row>
    <row r="6" spans="1:38">
      <c r="C6" s="364"/>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6"/>
    </row>
    <row r="7" spans="1:38">
      <c r="C7" s="364"/>
      <c r="D7" s="2021" t="s">
        <v>406</v>
      </c>
      <c r="E7" s="2022"/>
      <c r="F7" s="2022"/>
      <c r="G7" s="2022"/>
      <c r="H7" s="2022"/>
      <c r="I7" s="2022"/>
      <c r="J7" s="2022"/>
      <c r="K7" s="2022"/>
      <c r="L7" s="2022"/>
      <c r="M7" s="2022"/>
      <c r="N7" s="2022"/>
      <c r="O7" s="2022"/>
      <c r="P7" s="2022"/>
      <c r="Q7" s="2022"/>
      <c r="R7" s="2022"/>
      <c r="S7" s="2022"/>
      <c r="T7" s="2022"/>
      <c r="U7" s="2022"/>
      <c r="V7" s="2022"/>
      <c r="W7" s="2022"/>
      <c r="X7" s="2023"/>
      <c r="Y7" s="2012" t="s">
        <v>469</v>
      </c>
      <c r="Z7" s="2012" t="s">
        <v>470</v>
      </c>
      <c r="AA7" s="2012" t="s">
        <v>768</v>
      </c>
      <c r="AB7" s="2012" t="s">
        <v>769</v>
      </c>
      <c r="AC7" s="2012" t="s">
        <v>754</v>
      </c>
      <c r="AD7" s="2012" t="s">
        <v>58</v>
      </c>
      <c r="AE7" s="2012" t="s">
        <v>755</v>
      </c>
      <c r="AF7" s="2012" t="s">
        <v>756</v>
      </c>
      <c r="AG7" s="2012" t="s">
        <v>757</v>
      </c>
      <c r="AH7" s="2012" t="s">
        <v>639</v>
      </c>
      <c r="AI7" s="2012" t="s">
        <v>641</v>
      </c>
      <c r="AJ7" s="2012" t="s">
        <v>642</v>
      </c>
      <c r="AK7" s="2009" t="s">
        <v>653</v>
      </c>
      <c r="AL7" s="367"/>
    </row>
    <row r="8" spans="1:38">
      <c r="C8" s="364"/>
      <c r="D8" s="2015" t="s">
        <v>650</v>
      </c>
      <c r="E8" s="2016"/>
      <c r="F8" s="2016"/>
      <c r="G8" s="2016"/>
      <c r="H8" s="2016"/>
      <c r="I8" s="2017"/>
      <c r="J8" s="2018" t="s">
        <v>466</v>
      </c>
      <c r="K8" s="2019"/>
      <c r="L8" s="2019"/>
      <c r="M8" s="2019"/>
      <c r="N8" s="2019"/>
      <c r="O8" s="2019"/>
      <c r="P8" s="2019"/>
      <c r="Q8" s="2019"/>
      <c r="R8" s="2019"/>
      <c r="S8" s="2019"/>
      <c r="T8" s="2019"/>
      <c r="U8" s="2019"/>
      <c r="V8" s="2019"/>
      <c r="W8" s="2019"/>
      <c r="X8" s="2020"/>
      <c r="Y8" s="2013"/>
      <c r="Z8" s="2013"/>
      <c r="AA8" s="2013"/>
      <c r="AB8" s="2013"/>
      <c r="AC8" s="2013"/>
      <c r="AD8" s="2013"/>
      <c r="AE8" s="2013"/>
      <c r="AF8" s="2013"/>
      <c r="AG8" s="2013"/>
      <c r="AH8" s="2013"/>
      <c r="AI8" s="2013"/>
      <c r="AJ8" s="2013"/>
      <c r="AK8" s="2010"/>
      <c r="AL8" s="367"/>
    </row>
    <row r="9" spans="1:38" s="388" customFormat="1" ht="151.5">
      <c r="C9" s="389" t="s">
        <v>498</v>
      </c>
      <c r="D9" s="390" t="s">
        <v>634</v>
      </c>
      <c r="E9" s="390" t="s">
        <v>464</v>
      </c>
      <c r="F9" s="390" t="s">
        <v>465</v>
      </c>
      <c r="G9" s="390" t="s">
        <v>212</v>
      </c>
      <c r="H9" s="390" t="s">
        <v>357</v>
      </c>
      <c r="I9" s="390" t="s">
        <v>214</v>
      </c>
      <c r="J9" s="390" t="s">
        <v>59</v>
      </c>
      <c r="K9" s="391" t="s">
        <v>60</v>
      </c>
      <c r="L9" s="391" t="s">
        <v>61</v>
      </c>
      <c r="M9" s="391" t="s">
        <v>62</v>
      </c>
      <c r="N9" s="391" t="s">
        <v>63</v>
      </c>
      <c r="O9" s="391" t="s">
        <v>64</v>
      </c>
      <c r="P9" s="391" t="s">
        <v>219</v>
      </c>
      <c r="Q9" s="391" t="s">
        <v>220</v>
      </c>
      <c r="R9" s="391" t="s">
        <v>779</v>
      </c>
      <c r="S9" s="391" t="s">
        <v>657</v>
      </c>
      <c r="T9" s="391" t="s">
        <v>778</v>
      </c>
      <c r="U9" s="391" t="s">
        <v>73</v>
      </c>
      <c r="V9" s="391" t="s">
        <v>499</v>
      </c>
      <c r="W9" s="391" t="s">
        <v>189</v>
      </c>
      <c r="X9" s="391" t="s">
        <v>468</v>
      </c>
      <c r="Y9" s="2014"/>
      <c r="Z9" s="2014"/>
      <c r="AA9" s="2014"/>
      <c r="AB9" s="2014"/>
      <c r="AC9" s="2014"/>
      <c r="AD9" s="2014"/>
      <c r="AE9" s="2014"/>
      <c r="AF9" s="2014"/>
      <c r="AG9" s="2014"/>
      <c r="AH9" s="2014"/>
      <c r="AI9" s="2014"/>
      <c r="AJ9" s="2014"/>
      <c r="AK9" s="2011"/>
      <c r="AL9" s="392"/>
    </row>
    <row r="10" spans="1:38">
      <c r="C10" s="368"/>
      <c r="D10" s="369" t="s">
        <v>157</v>
      </c>
      <c r="E10" s="369" t="s">
        <v>157</v>
      </c>
      <c r="F10" s="369" t="s">
        <v>157</v>
      </c>
      <c r="G10" s="369" t="s">
        <v>157</v>
      </c>
      <c r="H10" s="369" t="s">
        <v>157</v>
      </c>
      <c r="I10" s="369" t="s">
        <v>157</v>
      </c>
      <c r="J10" s="369" t="s">
        <v>157</v>
      </c>
      <c r="K10" s="369" t="s">
        <v>157</v>
      </c>
      <c r="L10" s="369" t="s">
        <v>157</v>
      </c>
      <c r="M10" s="369" t="s">
        <v>157</v>
      </c>
      <c r="N10" s="369" t="s">
        <v>157</v>
      </c>
      <c r="O10" s="369" t="s">
        <v>157</v>
      </c>
      <c r="P10" s="369" t="s">
        <v>157</v>
      </c>
      <c r="Q10" s="369" t="s">
        <v>157</v>
      </c>
      <c r="R10" s="369" t="s">
        <v>157</v>
      </c>
      <c r="S10" s="369" t="s">
        <v>157</v>
      </c>
      <c r="T10" s="369" t="s">
        <v>157</v>
      </c>
      <c r="U10" s="369" t="s">
        <v>157</v>
      </c>
      <c r="V10" s="369" t="s">
        <v>157</v>
      </c>
      <c r="W10" s="369" t="s">
        <v>157</v>
      </c>
      <c r="X10" s="369" t="s">
        <v>157</v>
      </c>
      <c r="Y10" s="369" t="s">
        <v>157</v>
      </c>
      <c r="Z10" s="369" t="s">
        <v>157</v>
      </c>
      <c r="AA10" s="369" t="s">
        <v>157</v>
      </c>
      <c r="AB10" s="369" t="s">
        <v>157</v>
      </c>
      <c r="AC10" s="369" t="s">
        <v>157</v>
      </c>
      <c r="AD10" s="369" t="s">
        <v>157</v>
      </c>
      <c r="AE10" s="369" t="s">
        <v>157</v>
      </c>
      <c r="AF10" s="369" t="s">
        <v>157</v>
      </c>
      <c r="AG10" s="369" t="s">
        <v>157</v>
      </c>
      <c r="AH10" s="369" t="s">
        <v>157</v>
      </c>
      <c r="AI10" s="369" t="s">
        <v>157</v>
      </c>
      <c r="AJ10" s="369" t="s">
        <v>157</v>
      </c>
      <c r="AK10" s="369" t="s">
        <v>157</v>
      </c>
      <c r="AL10" s="366"/>
    </row>
    <row r="11" spans="1:38">
      <c r="C11" s="370"/>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66"/>
    </row>
    <row r="12" spans="1:38">
      <c r="C12" s="372" t="s">
        <v>501</v>
      </c>
      <c r="D12" s="373">
        <v>46.459524808852009</v>
      </c>
      <c r="E12" s="373">
        <v>62.531667485618783</v>
      </c>
      <c r="F12" s="373">
        <v>2.3969412916799993</v>
      </c>
      <c r="G12" s="373">
        <v>26.514424209436648</v>
      </c>
      <c r="H12" s="373">
        <v>11.606716180984</v>
      </c>
      <c r="I12" s="373">
        <v>3.1208690599999995</v>
      </c>
      <c r="J12" s="373">
        <v>0.63889207162799966</v>
      </c>
      <c r="K12" s="373">
        <v>5.1305774955097965</v>
      </c>
      <c r="L12" s="373">
        <v>2.2167176620892537</v>
      </c>
      <c r="M12" s="373">
        <v>16.939612814221448</v>
      </c>
      <c r="N12" s="373">
        <v>4.4300162415596507</v>
      </c>
      <c r="O12" s="373">
        <v>1.5094657008872003</v>
      </c>
      <c r="P12" s="373">
        <v>1.3239399267640004</v>
      </c>
      <c r="Q12" s="373">
        <v>1.562325762189239</v>
      </c>
      <c r="R12" s="373">
        <v>6.1510443854799997</v>
      </c>
      <c r="S12" s="373">
        <v>10.240069047105548</v>
      </c>
      <c r="T12" s="373">
        <v>4.5836090382398558</v>
      </c>
      <c r="U12" s="373">
        <v>1.4397993171236436</v>
      </c>
      <c r="V12" s="373">
        <v>2.0706365899867683</v>
      </c>
      <c r="W12" s="373">
        <v>7.5444930721556567</v>
      </c>
      <c r="X12" s="373">
        <v>1.6451252035656032</v>
      </c>
      <c r="Y12" s="373">
        <v>1.32151902</v>
      </c>
      <c r="Z12" s="373">
        <v>9.5</v>
      </c>
      <c r="AA12" s="373">
        <v>0.79378199999999999</v>
      </c>
      <c r="AB12" s="373">
        <v>9.751431000299192</v>
      </c>
      <c r="AC12" s="373">
        <v>-8.3266726846886741E-16</v>
      </c>
      <c r="AD12" s="373">
        <v>1.0145090392</v>
      </c>
      <c r="AE12" s="373">
        <v>4.3032873328058328</v>
      </c>
      <c r="AF12" s="373">
        <v>41.912756859700004</v>
      </c>
      <c r="AG12" s="373">
        <v>27.091992000000001</v>
      </c>
      <c r="AH12" s="373">
        <v>4.4000000000000004</v>
      </c>
      <c r="AI12" s="373">
        <v>-9.5</v>
      </c>
      <c r="AJ12" s="373">
        <v>2.3542553829179269</v>
      </c>
      <c r="AK12" s="373">
        <v>313</v>
      </c>
      <c r="AL12" s="374"/>
    </row>
    <row r="13" spans="1:38">
      <c r="C13" s="372" t="s">
        <v>502</v>
      </c>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6">
        <v>0</v>
      </c>
      <c r="AL13" s="374"/>
    </row>
    <row r="14" spans="1:38">
      <c r="C14" s="372" t="s">
        <v>501</v>
      </c>
      <c r="D14" s="373">
        <v>46.459524808852009</v>
      </c>
      <c r="E14" s="373">
        <v>62.531667485618783</v>
      </c>
      <c r="F14" s="373">
        <v>2.3969412916799993</v>
      </c>
      <c r="G14" s="373">
        <v>26.514424209436648</v>
      </c>
      <c r="H14" s="373">
        <v>11.606716180984</v>
      </c>
      <c r="I14" s="373">
        <v>3.1208690599999995</v>
      </c>
      <c r="J14" s="373">
        <v>0.63889207162799966</v>
      </c>
      <c r="K14" s="373">
        <v>5.1305774955097965</v>
      </c>
      <c r="L14" s="373">
        <v>2.2167176620892537</v>
      </c>
      <c r="M14" s="373">
        <v>16.939612814221448</v>
      </c>
      <c r="N14" s="373">
        <v>4.4300162415596507</v>
      </c>
      <c r="O14" s="373">
        <v>1.5094657008872003</v>
      </c>
      <c r="P14" s="373">
        <v>1.3239399267640004</v>
      </c>
      <c r="Q14" s="373">
        <v>1.562325762189239</v>
      </c>
      <c r="R14" s="373">
        <v>6.1510443854799997</v>
      </c>
      <c r="S14" s="373">
        <v>10.240069047105548</v>
      </c>
      <c r="T14" s="373">
        <v>4.5836090382398558</v>
      </c>
      <c r="U14" s="373">
        <v>1.4397993171236436</v>
      </c>
      <c r="V14" s="373">
        <v>2.0706365899867683</v>
      </c>
      <c r="W14" s="373">
        <v>7.5444930721556567</v>
      </c>
      <c r="X14" s="373">
        <v>1.6451252035656032</v>
      </c>
      <c r="Y14" s="373">
        <v>1.32151902</v>
      </c>
      <c r="Z14" s="373">
        <v>9.5</v>
      </c>
      <c r="AA14" s="373">
        <v>0.79378199999999999</v>
      </c>
      <c r="AB14" s="373">
        <v>9.751431000299192</v>
      </c>
      <c r="AC14" s="373">
        <v>-8.3266726846886741E-16</v>
      </c>
      <c r="AD14" s="373">
        <v>1.0145090392</v>
      </c>
      <c r="AE14" s="373">
        <v>4.3032873328058328</v>
      </c>
      <c r="AF14" s="373">
        <v>41.912756859700004</v>
      </c>
      <c r="AG14" s="373">
        <v>27.091992000000001</v>
      </c>
      <c r="AH14" s="373">
        <v>4.4000000000000004</v>
      </c>
      <c r="AI14" s="373">
        <v>-9.5</v>
      </c>
      <c r="AJ14" s="373">
        <v>2.3542553829179269</v>
      </c>
      <c r="AK14" s="373">
        <v>313</v>
      </c>
      <c r="AL14" s="374"/>
    </row>
    <row r="15" spans="1:38">
      <c r="C15" s="372"/>
      <c r="D15" s="373"/>
      <c r="E15" s="373"/>
      <c r="F15" s="373"/>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3"/>
      <c r="AG15" s="373"/>
      <c r="AH15" s="373"/>
      <c r="AI15" s="373"/>
      <c r="AJ15" s="373"/>
      <c r="AK15" s="373"/>
      <c r="AL15" s="374"/>
    </row>
    <row r="16" spans="1:38">
      <c r="C16" s="372" t="s">
        <v>503</v>
      </c>
      <c r="D16" s="373">
        <v>14.151282694386488</v>
      </c>
      <c r="E16" s="373">
        <v>41.901947565729692</v>
      </c>
      <c r="F16" s="373">
        <v>2.5346743360699997</v>
      </c>
      <c r="G16" s="373">
        <v>29.351257701719597</v>
      </c>
      <c r="H16" s="373">
        <v>11.519941237081493</v>
      </c>
      <c r="I16" s="373">
        <v>5.8257634456637231</v>
      </c>
      <c r="J16" s="373">
        <v>1.3252198300408482</v>
      </c>
      <c r="K16" s="373">
        <v>3.7900776636320539</v>
      </c>
      <c r="L16" s="373">
        <v>4.791652885966827</v>
      </c>
      <c r="M16" s="373">
        <v>16.963168868641358</v>
      </c>
      <c r="N16" s="373">
        <v>4.4092795317044633</v>
      </c>
      <c r="O16" s="373">
        <v>1.8923039644686004</v>
      </c>
      <c r="P16" s="373">
        <v>1.9938320736628832</v>
      </c>
      <c r="Q16" s="373">
        <v>1.5195982432433788</v>
      </c>
      <c r="R16" s="373">
        <v>4.8615322519232107</v>
      </c>
      <c r="S16" s="373">
        <v>13.529966622211505</v>
      </c>
      <c r="T16" s="373">
        <v>4.2317714531526214</v>
      </c>
      <c r="U16" s="373">
        <v>1.9208223019260779</v>
      </c>
      <c r="V16" s="373">
        <v>2.2641922279217139</v>
      </c>
      <c r="W16" s="373">
        <v>7.1645215567985527</v>
      </c>
      <c r="X16" s="373">
        <v>1.8087584738886002</v>
      </c>
      <c r="Y16" s="373">
        <v>1.5637426000000001</v>
      </c>
      <c r="Z16" s="373">
        <v>0</v>
      </c>
      <c r="AA16" s="373">
        <v>5.3809152985718995</v>
      </c>
      <c r="AB16" s="373">
        <v>15.699185752649853</v>
      </c>
      <c r="AC16" s="373">
        <v>0</v>
      </c>
      <c r="AD16" s="373">
        <v>0</v>
      </c>
      <c r="AE16" s="373">
        <v>1.8407559641693809</v>
      </c>
      <c r="AF16" s="373">
        <v>40.602506950469994</v>
      </c>
      <c r="AG16" s="373">
        <v>26.111617219999999</v>
      </c>
      <c r="AH16" s="373">
        <v>4.5662790900000001</v>
      </c>
      <c r="AI16" s="373">
        <v>0</v>
      </c>
      <c r="AJ16" s="373">
        <v>-5.7906823056947019</v>
      </c>
      <c r="AK16" s="373">
        <v>267.72588550000012</v>
      </c>
      <c r="AL16" s="377"/>
    </row>
    <row r="17" spans="3:38">
      <c r="C17" s="372"/>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7"/>
    </row>
    <row r="18" spans="3:38">
      <c r="C18" s="372" t="s">
        <v>504</v>
      </c>
      <c r="D18" s="373">
        <v>17.394742274489687</v>
      </c>
      <c r="E18" s="373">
        <v>35.088115916993331</v>
      </c>
      <c r="F18" s="373">
        <v>1.9914601539999999</v>
      </c>
      <c r="G18" s="373">
        <v>27.186515151318229</v>
      </c>
      <c r="H18" s="373">
        <v>10.780594265829606</v>
      </c>
      <c r="I18" s="373">
        <v>3.2645322649343638</v>
      </c>
      <c r="J18" s="373">
        <v>0.42116821067413113</v>
      </c>
      <c r="K18" s="373">
        <v>7.2462549143267321</v>
      </c>
      <c r="L18" s="373">
        <v>6.1037403167946209</v>
      </c>
      <c r="M18" s="373">
        <v>11.676644510200507</v>
      </c>
      <c r="N18" s="373">
        <v>3.7007240906480638</v>
      </c>
      <c r="O18" s="373">
        <v>1.9451231500906572</v>
      </c>
      <c r="P18" s="373">
        <v>1.4674598631707632</v>
      </c>
      <c r="Q18" s="373">
        <v>2.007539016691029</v>
      </c>
      <c r="R18" s="373">
        <v>4.1312202910262137</v>
      </c>
      <c r="S18" s="373">
        <v>7.0587166141664746</v>
      </c>
      <c r="T18" s="373">
        <v>4.89466808916952</v>
      </c>
      <c r="U18" s="373">
        <v>1.2662056907617996</v>
      </c>
      <c r="V18" s="373">
        <v>2.0034273403142651</v>
      </c>
      <c r="W18" s="373">
        <v>6.7695236474636857</v>
      </c>
      <c r="X18" s="373">
        <v>2.2294360003843123</v>
      </c>
      <c r="Y18" s="373">
        <v>5.8295019999999997</v>
      </c>
      <c r="Z18" s="373">
        <v>45.6</v>
      </c>
      <c r="AA18" s="373">
        <v>9.2171990705459876</v>
      </c>
      <c r="AB18" s="373">
        <v>8.6510472243001466</v>
      </c>
      <c r="AC18" s="373">
        <v>0</v>
      </c>
      <c r="AD18" s="373">
        <v>0</v>
      </c>
      <c r="AE18" s="373">
        <v>0</v>
      </c>
      <c r="AF18" s="373">
        <v>42.388523990000003</v>
      </c>
      <c r="AG18" s="373">
        <v>25.863890000000001</v>
      </c>
      <c r="AH18" s="373">
        <v>4.7382850099999994</v>
      </c>
      <c r="AI18" s="373">
        <v>-45.6</v>
      </c>
      <c r="AJ18" s="373">
        <v>-5.0462590682941197</v>
      </c>
      <c r="AK18" s="373">
        <v>250.27</v>
      </c>
      <c r="AL18" s="377"/>
    </row>
    <row r="19" spans="3:38">
      <c r="C19" s="378"/>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4"/>
    </row>
    <row r="20" spans="3:38">
      <c r="C20" s="365"/>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74"/>
    </row>
    <row r="21" spans="3:38">
      <c r="C21" s="381" t="s">
        <v>475</v>
      </c>
      <c r="D21" s="381"/>
      <c r="E21" s="381"/>
      <c r="F21" s="382"/>
      <c r="G21" s="383"/>
      <c r="H21" s="383"/>
      <c r="I21" s="383"/>
      <c r="J21" s="383"/>
      <c r="K21" s="383"/>
      <c r="L21" s="383"/>
      <c r="M21" s="383"/>
      <c r="N21" s="383"/>
      <c r="O21" s="383"/>
      <c r="P21" s="383"/>
      <c r="Q21" s="383"/>
      <c r="R21" s="384"/>
      <c r="S21" s="381"/>
      <c r="T21" s="381"/>
      <c r="U21" s="381"/>
      <c r="V21" s="381"/>
      <c r="W21" s="381"/>
      <c r="X21" s="381"/>
      <c r="Y21" s="381"/>
      <c r="Z21" s="381"/>
      <c r="AA21" s="381"/>
      <c r="AB21" s="380"/>
      <c r="AC21" s="380"/>
      <c r="AD21" s="380"/>
      <c r="AE21" s="380"/>
      <c r="AF21" s="380"/>
      <c r="AG21" s="380"/>
      <c r="AH21" s="380"/>
      <c r="AI21" s="380"/>
      <c r="AJ21" s="380"/>
      <c r="AK21" s="380"/>
      <c r="AL21" s="374"/>
    </row>
    <row r="22" spans="3:38">
      <c r="C22" s="381">
        <v>1</v>
      </c>
      <c r="D22" s="2024" t="s">
        <v>344</v>
      </c>
      <c r="E22" s="2025"/>
      <c r="F22" s="2025"/>
      <c r="G22" s="2025"/>
      <c r="H22" s="2025"/>
      <c r="I22" s="2025"/>
      <c r="J22" s="2025"/>
      <c r="K22" s="2025"/>
      <c r="L22" s="2025"/>
      <c r="M22" s="2025"/>
      <c r="N22" s="2025"/>
      <c r="O22" s="2025"/>
      <c r="P22" s="2025"/>
      <c r="Q22" s="2025"/>
      <c r="R22" s="2025"/>
      <c r="S22" s="2025"/>
      <c r="T22" s="2025"/>
      <c r="U22" s="2025"/>
      <c r="V22" s="2025"/>
      <c r="W22" s="2025"/>
      <c r="X22" s="2025"/>
      <c r="Y22" s="2025"/>
      <c r="Z22" s="2025"/>
      <c r="AA22" s="2025"/>
      <c r="AB22" s="380"/>
      <c r="AC22" s="380"/>
      <c r="AD22" s="380"/>
      <c r="AE22" s="380"/>
      <c r="AF22" s="380"/>
      <c r="AG22" s="380"/>
      <c r="AH22" s="380"/>
      <c r="AI22" s="380"/>
      <c r="AJ22" s="380"/>
      <c r="AK22" s="380"/>
      <c r="AL22" s="374"/>
    </row>
    <row r="23" spans="3:38">
      <c r="C23" s="381">
        <v>2</v>
      </c>
      <c r="D23" s="2024" t="s">
        <v>410</v>
      </c>
      <c r="E23" s="2025"/>
      <c r="F23" s="2025"/>
      <c r="G23" s="2025"/>
      <c r="H23" s="2025"/>
      <c r="I23" s="2025"/>
      <c r="J23" s="2025"/>
      <c r="K23" s="2025"/>
      <c r="L23" s="2025"/>
      <c r="M23" s="2025"/>
      <c r="N23" s="2025"/>
      <c r="O23" s="2025"/>
      <c r="P23" s="2025"/>
      <c r="Q23" s="2025"/>
      <c r="R23" s="2025"/>
      <c r="S23" s="2025"/>
      <c r="T23" s="2025"/>
      <c r="U23" s="2025"/>
      <c r="V23" s="2025"/>
      <c r="W23" s="2025"/>
      <c r="X23" s="2025"/>
      <c r="Y23" s="2025"/>
      <c r="Z23" s="2025"/>
      <c r="AA23" s="2025"/>
      <c r="AB23" s="380"/>
      <c r="AC23" s="380"/>
      <c r="AD23" s="380"/>
      <c r="AE23" s="380"/>
      <c r="AF23" s="380"/>
      <c r="AG23" s="380"/>
      <c r="AH23" s="380"/>
      <c r="AI23" s="380"/>
      <c r="AJ23" s="380"/>
      <c r="AK23" s="380"/>
      <c r="AL23" s="374"/>
    </row>
    <row r="24" spans="3:38">
      <c r="C24" s="381">
        <v>3</v>
      </c>
      <c r="D24" s="2024" t="s">
        <v>368</v>
      </c>
      <c r="E24" s="2025"/>
      <c r="F24" s="2025"/>
      <c r="G24" s="2025"/>
      <c r="H24" s="2025"/>
      <c r="I24" s="2025"/>
      <c r="J24" s="2025"/>
      <c r="K24" s="2025"/>
      <c r="L24" s="2025"/>
      <c r="M24" s="2025"/>
      <c r="N24" s="2025"/>
      <c r="O24" s="2025"/>
      <c r="P24" s="2025"/>
      <c r="Q24" s="2025"/>
      <c r="R24" s="2025"/>
      <c r="S24" s="2025"/>
      <c r="T24" s="2025"/>
      <c r="U24" s="2025"/>
      <c r="V24" s="2025"/>
      <c r="W24" s="2025"/>
      <c r="X24" s="2025"/>
      <c r="Y24" s="2025"/>
      <c r="Z24" s="2025"/>
      <c r="AA24" s="2025"/>
      <c r="AB24" s="380"/>
      <c r="AC24" s="380"/>
      <c r="AD24" s="380"/>
      <c r="AE24" s="380"/>
      <c r="AF24" s="380"/>
      <c r="AG24" s="380"/>
      <c r="AH24" s="380"/>
      <c r="AI24" s="380"/>
      <c r="AJ24" s="380"/>
      <c r="AK24" s="380"/>
      <c r="AL24" s="374"/>
    </row>
    <row r="25" spans="3:38">
      <c r="C25" s="381">
        <v>4</v>
      </c>
      <c r="D25" s="2024" t="s">
        <v>411</v>
      </c>
      <c r="E25" s="2025"/>
      <c r="F25" s="2025"/>
      <c r="G25" s="2025"/>
      <c r="H25" s="2025"/>
      <c r="I25" s="2025"/>
      <c r="J25" s="2025"/>
      <c r="K25" s="2025"/>
      <c r="L25" s="2025"/>
      <c r="M25" s="2025"/>
      <c r="N25" s="2025"/>
      <c r="O25" s="2025"/>
      <c r="P25" s="2025"/>
      <c r="Q25" s="2025"/>
      <c r="R25" s="2025"/>
      <c r="S25" s="2025"/>
      <c r="T25" s="2025"/>
      <c r="U25" s="2025"/>
      <c r="V25" s="2025"/>
      <c r="W25" s="2025"/>
      <c r="X25" s="2025"/>
      <c r="Y25" s="2025"/>
      <c r="Z25" s="2025"/>
      <c r="AA25" s="2025"/>
      <c r="AB25" s="380"/>
      <c r="AC25" s="380"/>
      <c r="AD25" s="380"/>
      <c r="AE25" s="380"/>
      <c r="AF25" s="380"/>
      <c r="AG25" s="380"/>
      <c r="AH25" s="380"/>
      <c r="AI25" s="380"/>
      <c r="AJ25" s="380"/>
      <c r="AK25" s="380"/>
      <c r="AL25" s="374"/>
    </row>
    <row r="26" spans="3:38">
      <c r="C26" s="381">
        <v>5</v>
      </c>
      <c r="D26" s="2024" t="s">
        <v>412</v>
      </c>
      <c r="E26" s="2025"/>
      <c r="F26" s="2025"/>
      <c r="G26" s="2025"/>
      <c r="H26" s="2025"/>
      <c r="I26" s="2025"/>
      <c r="J26" s="2025"/>
      <c r="K26" s="2025"/>
      <c r="L26" s="2025"/>
      <c r="M26" s="2025"/>
      <c r="N26" s="2025"/>
      <c r="O26" s="2025"/>
      <c r="P26" s="2025"/>
      <c r="Q26" s="2025"/>
      <c r="R26" s="2025"/>
      <c r="S26" s="2025"/>
      <c r="T26" s="2025"/>
      <c r="U26" s="2025"/>
      <c r="V26" s="2025"/>
      <c r="W26" s="2025"/>
      <c r="X26" s="2025"/>
      <c r="Y26" s="2025"/>
      <c r="Z26" s="2025"/>
      <c r="AA26" s="2025"/>
      <c r="AB26" s="380"/>
      <c r="AC26" s="380"/>
      <c r="AD26" s="380"/>
      <c r="AE26" s="380"/>
      <c r="AF26" s="380"/>
      <c r="AG26" s="380"/>
      <c r="AH26" s="380"/>
      <c r="AI26" s="380"/>
      <c r="AJ26" s="380"/>
      <c r="AK26" s="380"/>
      <c r="AL26" s="374"/>
    </row>
    <row r="27" spans="3:38">
      <c r="C27" s="385"/>
      <c r="D27" s="386"/>
      <c r="E27" s="386"/>
      <c r="F27" s="386"/>
      <c r="G27" s="386"/>
      <c r="H27" s="386"/>
      <c r="I27" s="386"/>
      <c r="J27" s="386"/>
      <c r="K27" s="386"/>
      <c r="L27" s="386"/>
      <c r="M27" s="386"/>
      <c r="N27" s="386"/>
      <c r="O27" s="386"/>
      <c r="P27" s="386"/>
      <c r="Q27" s="386"/>
      <c r="R27" s="386"/>
      <c r="S27" s="386"/>
      <c r="T27" s="386"/>
      <c r="U27" s="386"/>
      <c r="V27" s="386"/>
      <c r="W27" s="386"/>
      <c r="X27" s="386"/>
      <c r="Y27" s="386"/>
      <c r="Z27" s="386"/>
      <c r="AA27" s="386"/>
      <c r="AB27" s="386"/>
      <c r="AC27" s="386"/>
      <c r="AD27" s="386"/>
      <c r="AE27" s="386"/>
      <c r="AF27" s="386"/>
      <c r="AG27" s="386"/>
      <c r="AH27" s="386"/>
      <c r="AI27" s="386"/>
      <c r="AJ27" s="386"/>
      <c r="AK27" s="386"/>
      <c r="AL27" s="387"/>
    </row>
  </sheetData>
  <mergeCells count="21">
    <mergeCell ref="D26:AA26"/>
    <mergeCell ref="D22:AA22"/>
    <mergeCell ref="D23:AA23"/>
    <mergeCell ref="D24:AA24"/>
    <mergeCell ref="D25:AA25"/>
    <mergeCell ref="D8:I8"/>
    <mergeCell ref="AJ7:AJ9"/>
    <mergeCell ref="Z7:Z9"/>
    <mergeCell ref="AH7:AH9"/>
    <mergeCell ref="AI7:AI9"/>
    <mergeCell ref="AB7:AB9"/>
    <mergeCell ref="J8:X8"/>
    <mergeCell ref="AE7:AE9"/>
    <mergeCell ref="D7:X7"/>
    <mergeCell ref="Y7:Y9"/>
    <mergeCell ref="AC7:AC9"/>
    <mergeCell ref="AK7:AK9"/>
    <mergeCell ref="AF7:AF9"/>
    <mergeCell ref="AG7:AG9"/>
    <mergeCell ref="AD7:AD9"/>
    <mergeCell ref="AA7:AA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workbookViewId="0">
      <selection sqref="A1:XFD1048576"/>
    </sheetView>
  </sheetViews>
  <sheetFormatPr defaultColWidth="8.85546875" defaultRowHeight="12.75"/>
  <cols>
    <col min="1" max="1" width="11.42578125" style="852" customWidth="1"/>
    <col min="2" max="2" width="8.85546875" style="852" customWidth="1"/>
    <col min="3" max="3" width="29.85546875" style="852" customWidth="1"/>
    <col min="4" max="4" width="8.85546875" style="852" customWidth="1"/>
    <col min="5" max="5" width="25.42578125" style="852" customWidth="1"/>
    <col min="6" max="6" width="13.42578125" style="852" customWidth="1"/>
    <col min="7" max="10" width="8.85546875" style="852"/>
    <col min="11" max="11" width="9.5703125" style="852" customWidth="1"/>
    <col min="12" max="12" width="8.85546875" style="852"/>
    <col min="13" max="17" width="12.5703125" style="852" customWidth="1"/>
    <col min="18" max="16384" width="8.85546875" style="852"/>
  </cols>
  <sheetData>
    <row r="1" spans="1:18" ht="18" customHeight="1">
      <c r="A1" s="890" t="s">
        <v>16</v>
      </c>
      <c r="E1" s="1014" t="s">
        <v>1021</v>
      </c>
    </row>
    <row r="2" spans="1:18">
      <c r="A2" s="890"/>
    </row>
    <row r="3" spans="1:18" ht="18" customHeight="1">
      <c r="A3" s="890" t="s">
        <v>29</v>
      </c>
    </row>
    <row r="5" spans="1:18" ht="17.25" customHeight="1">
      <c r="A5" s="1015" t="s">
        <v>1</v>
      </c>
      <c r="B5" s="1016"/>
      <c r="C5" s="1016"/>
      <c r="D5" s="1017"/>
      <c r="E5" s="1016"/>
      <c r="F5" s="1016"/>
      <c r="G5" s="1016"/>
      <c r="H5" s="1016"/>
      <c r="I5" s="1016"/>
      <c r="J5" s="1016"/>
      <c r="K5" s="1016"/>
      <c r="L5" s="1016"/>
      <c r="M5" s="1016"/>
      <c r="N5" s="1016"/>
      <c r="O5" s="1016"/>
      <c r="P5" s="1016"/>
      <c r="Q5" s="1016"/>
      <c r="R5" s="1016"/>
    </row>
    <row r="6" spans="1:18" ht="18" customHeight="1" thickBot="1">
      <c r="A6" s="1016"/>
      <c r="B6" s="1016"/>
      <c r="C6" s="1016"/>
      <c r="D6" s="1017"/>
      <c r="E6" s="1016"/>
      <c r="F6" s="1016"/>
      <c r="G6" s="1016"/>
      <c r="H6" s="1016"/>
      <c r="I6" s="1016"/>
      <c r="J6" s="1016"/>
      <c r="K6" s="1016"/>
      <c r="L6" s="1016"/>
      <c r="R6" s="1016"/>
    </row>
    <row r="7" spans="1:18" s="889" customFormat="1" ht="18" customHeight="1" thickBot="1">
      <c r="A7" s="1018"/>
      <c r="B7" s="1018"/>
      <c r="C7" s="1018"/>
      <c r="D7" s="1019"/>
      <c r="E7" s="2107" t="s">
        <v>2</v>
      </c>
      <c r="F7" s="2108"/>
      <c r="G7" s="2109"/>
      <c r="H7" s="1020"/>
      <c r="I7" s="2110" t="s">
        <v>3</v>
      </c>
      <c r="J7" s="2111"/>
      <c r="K7" s="2112"/>
      <c r="L7" s="1018"/>
      <c r="M7" s="2104" t="s">
        <v>407</v>
      </c>
      <c r="N7" s="2105"/>
      <c r="O7" s="2105"/>
      <c r="P7" s="2105"/>
      <c r="Q7" s="2106"/>
      <c r="R7" s="1019"/>
    </row>
    <row r="8" spans="1:18" ht="27.75" customHeight="1" thickBot="1">
      <c r="A8" s="1022"/>
      <c r="B8" s="1022"/>
      <c r="C8" s="1022"/>
      <c r="D8" s="1023"/>
      <c r="E8" s="2113" t="s">
        <v>4</v>
      </c>
      <c r="F8" s="2114"/>
      <c r="G8" s="2115"/>
      <c r="H8" s="1020"/>
      <c r="I8" s="1087" t="s">
        <v>4</v>
      </c>
      <c r="J8" s="1025"/>
      <c r="K8" s="1026" t="s">
        <v>5</v>
      </c>
      <c r="L8" s="1027"/>
      <c r="M8" s="2116" t="s">
        <v>2</v>
      </c>
      <c r="N8" s="2117"/>
      <c r="O8" s="2118"/>
      <c r="P8" s="1027"/>
      <c r="Q8" s="1341" t="s">
        <v>212</v>
      </c>
      <c r="R8" s="1028"/>
    </row>
    <row r="9" spans="1:18" ht="16.5" thickBot="1">
      <c r="A9" s="2093" t="s">
        <v>6</v>
      </c>
      <c r="B9" s="2094"/>
      <c r="C9" s="2095"/>
      <c r="D9" s="397"/>
      <c r="E9" s="1029" t="s">
        <v>7</v>
      </c>
      <c r="F9" s="1030" t="s">
        <v>19</v>
      </c>
      <c r="G9" s="1031" t="s">
        <v>20</v>
      </c>
      <c r="H9" s="1032"/>
      <c r="I9" s="1024" t="s">
        <v>20</v>
      </c>
      <c r="J9" s="1033"/>
      <c r="K9" s="1034" t="s">
        <v>20</v>
      </c>
      <c r="L9" s="1027"/>
      <c r="M9" s="1035" t="s">
        <v>7</v>
      </c>
      <c r="N9" s="1036" t="s">
        <v>19</v>
      </c>
      <c r="O9" s="1037" t="s">
        <v>20</v>
      </c>
      <c r="P9" s="1027"/>
      <c r="Q9" s="1034" t="s">
        <v>20</v>
      </c>
      <c r="R9" s="1028"/>
    </row>
    <row r="10" spans="1:18" ht="16.5" thickBot="1">
      <c r="A10" s="2096"/>
      <c r="B10" s="2097"/>
      <c r="C10" s="2098"/>
      <c r="D10" s="397"/>
      <c r="E10" s="1038" t="s">
        <v>157</v>
      </c>
      <c r="F10" s="1039" t="s">
        <v>157</v>
      </c>
      <c r="G10" s="1040" t="s">
        <v>157</v>
      </c>
      <c r="H10" s="1020"/>
      <c r="I10" s="1041"/>
      <c r="J10" s="1033"/>
      <c r="K10" s="1041"/>
      <c r="L10" s="1027"/>
      <c r="M10" s="1042" t="s">
        <v>157</v>
      </c>
      <c r="N10" s="1043" t="s">
        <v>157</v>
      </c>
      <c r="O10" s="1041" t="s">
        <v>157</v>
      </c>
      <c r="P10" s="1027"/>
      <c r="Q10" s="1041" t="s">
        <v>157</v>
      </c>
      <c r="R10" s="1028"/>
    </row>
    <row r="11" spans="1:18" ht="18" customHeight="1">
      <c r="A11" s="2082" t="s">
        <v>21</v>
      </c>
      <c r="B11" s="2078" t="s">
        <v>104</v>
      </c>
      <c r="C11" s="2079"/>
      <c r="D11" s="400"/>
      <c r="E11" s="2099">
        <v>0</v>
      </c>
      <c r="F11" s="2103">
        <v>0.36181519995774197</v>
      </c>
      <c r="G11" s="2102">
        <f>SUM(E11:F11)</f>
        <v>0.36181519995774197</v>
      </c>
      <c r="H11" s="1044"/>
      <c r="I11" s="1792">
        <v>0.44431694812253475</v>
      </c>
      <c r="J11" s="1023"/>
      <c r="K11" s="1792">
        <v>0</v>
      </c>
      <c r="L11" s="1028"/>
      <c r="M11" s="1028"/>
      <c r="N11" s="1028"/>
      <c r="O11" s="1028"/>
      <c r="P11" s="1028"/>
      <c r="Q11" s="1028"/>
      <c r="R11" s="1028"/>
    </row>
    <row r="12" spans="1:18" ht="18" customHeight="1">
      <c r="A12" s="2083"/>
      <c r="B12" s="2100" t="s">
        <v>105</v>
      </c>
      <c r="C12" s="2101"/>
      <c r="D12" s="400"/>
      <c r="E12" s="2089"/>
      <c r="F12" s="2092"/>
      <c r="G12" s="2072"/>
      <c r="H12" s="1044"/>
      <c r="I12" s="1793">
        <v>4.7953367704089898</v>
      </c>
      <c r="J12" s="1023"/>
      <c r="K12" s="1793">
        <v>0</v>
      </c>
      <c r="L12" s="1028"/>
      <c r="M12" s="1028"/>
      <c r="N12" s="1028"/>
      <c r="O12" s="1028"/>
      <c r="P12" s="1028"/>
      <c r="Q12" s="1028"/>
      <c r="R12" s="1028"/>
    </row>
    <row r="13" spans="1:18" ht="18" customHeight="1">
      <c r="A13" s="2082" t="s">
        <v>842</v>
      </c>
      <c r="B13" s="2085" t="s">
        <v>221</v>
      </c>
      <c r="C13" s="2086"/>
      <c r="D13" s="400"/>
      <c r="E13" s="1794">
        <v>0.39717937245801499</v>
      </c>
      <c r="F13" s="1795">
        <v>0.118111357439522</v>
      </c>
      <c r="G13" s="1796">
        <f>SUM(E13:F13)</f>
        <v>0.51529072989753699</v>
      </c>
      <c r="H13" s="1044"/>
      <c r="I13" s="1793">
        <v>1.19960729316716</v>
      </c>
      <c r="J13" s="1023"/>
      <c r="K13" s="1793">
        <v>0.20706630150757177</v>
      </c>
      <c r="L13" s="1028"/>
      <c r="M13" s="1028"/>
      <c r="N13" s="1028"/>
      <c r="O13" s="1028"/>
      <c r="P13" s="1028"/>
      <c r="Q13" s="1028"/>
      <c r="R13" s="1028"/>
    </row>
    <row r="14" spans="1:18" ht="18" customHeight="1">
      <c r="A14" s="2083"/>
      <c r="B14" s="2073" t="s">
        <v>22</v>
      </c>
      <c r="C14" s="2074"/>
      <c r="D14" s="400"/>
      <c r="E14" s="2087">
        <v>0.229663769257235</v>
      </c>
      <c r="F14" s="2090">
        <v>0.112411254057019</v>
      </c>
      <c r="G14" s="2070">
        <f>SUM(E14:F14)</f>
        <v>0.34207502331425399</v>
      </c>
      <c r="H14" s="1044"/>
      <c r="I14" s="1793">
        <v>9.2383940591736491E-3</v>
      </c>
      <c r="J14" s="1023"/>
      <c r="K14" s="1793">
        <v>0</v>
      </c>
      <c r="L14" s="1028"/>
      <c r="M14" s="1028"/>
      <c r="N14" s="1028"/>
      <c r="O14" s="1028"/>
      <c r="P14" s="1028"/>
      <c r="Q14" s="1028"/>
      <c r="R14" s="1028"/>
    </row>
    <row r="15" spans="1:18" ht="18" customHeight="1">
      <c r="A15" s="2083"/>
      <c r="B15" s="2073" t="s">
        <v>23</v>
      </c>
      <c r="C15" s="2074"/>
      <c r="D15" s="400"/>
      <c r="E15" s="2088">
        <v>0</v>
      </c>
      <c r="F15" s="2091">
        <v>0</v>
      </c>
      <c r="G15" s="2071"/>
      <c r="H15" s="1044"/>
      <c r="I15" s="1793">
        <v>9.2962537572156698</v>
      </c>
      <c r="J15" s="1023"/>
      <c r="K15" s="1793">
        <v>0</v>
      </c>
      <c r="L15" s="1028"/>
      <c r="M15" s="1028"/>
      <c r="N15" s="1028"/>
      <c r="O15" s="1028"/>
      <c r="P15" s="1028"/>
      <c r="Q15" s="1028"/>
      <c r="R15" s="1028"/>
    </row>
    <row r="16" spans="1:18" ht="18" customHeight="1" thickBot="1">
      <c r="A16" s="2084"/>
      <c r="B16" s="2075" t="s">
        <v>223</v>
      </c>
      <c r="C16" s="2076"/>
      <c r="D16" s="400"/>
      <c r="E16" s="2089">
        <v>0</v>
      </c>
      <c r="F16" s="2092">
        <v>0</v>
      </c>
      <c r="G16" s="2072"/>
      <c r="H16" s="1044"/>
      <c r="I16" s="1797">
        <v>0.20110809962398224</v>
      </c>
      <c r="J16" s="1023"/>
      <c r="K16" s="1797">
        <v>0</v>
      </c>
      <c r="L16" s="1028"/>
      <c r="M16" s="1028"/>
      <c r="N16" s="1028"/>
      <c r="O16" s="1028"/>
      <c r="P16" s="1028"/>
      <c r="Q16" s="1028"/>
      <c r="R16" s="1028"/>
    </row>
    <row r="17" spans="1:18" ht="18" customHeight="1">
      <c r="A17" s="2061" t="s">
        <v>24</v>
      </c>
      <c r="B17" s="2078" t="s">
        <v>224</v>
      </c>
      <c r="C17" s="2079"/>
      <c r="D17" s="401"/>
      <c r="E17" s="1794">
        <v>2.6450309304946802E-2</v>
      </c>
      <c r="F17" s="1795">
        <v>0.32631011622364703</v>
      </c>
      <c r="G17" s="1796">
        <f t="shared" ref="G17:G27" si="0">SUM(E17:F17)</f>
        <v>0.35276042552859382</v>
      </c>
      <c r="H17" s="1044"/>
      <c r="I17" s="1792">
        <v>1.9214642911566087</v>
      </c>
      <c r="J17" s="1023"/>
      <c r="K17" s="1798">
        <v>0.1739622662704251</v>
      </c>
      <c r="L17" s="1028"/>
      <c r="M17" s="1028"/>
      <c r="N17" s="1028"/>
      <c r="O17" s="1028"/>
      <c r="P17" s="1028"/>
      <c r="Q17" s="1028"/>
      <c r="R17" s="1028"/>
    </row>
    <row r="18" spans="1:18" ht="18" customHeight="1">
      <c r="A18" s="2062"/>
      <c r="B18" s="2080" t="s">
        <v>119</v>
      </c>
      <c r="C18" s="2081"/>
      <c r="D18" s="1048"/>
      <c r="E18" s="1799">
        <v>0</v>
      </c>
      <c r="F18" s="1800">
        <v>0.15632920001592032</v>
      </c>
      <c r="G18" s="1801">
        <f t="shared" si="0"/>
        <v>0.15632920001592032</v>
      </c>
      <c r="H18" s="1044"/>
      <c r="I18" s="1793">
        <v>4.34436105494588</v>
      </c>
      <c r="J18" s="1023"/>
      <c r="K18" s="1793">
        <v>0</v>
      </c>
      <c r="L18" s="1028"/>
      <c r="M18" s="1028"/>
      <c r="N18" s="1028"/>
      <c r="O18" s="1028"/>
      <c r="P18" s="1028"/>
      <c r="Q18" s="1028"/>
      <c r="R18" s="1028"/>
    </row>
    <row r="19" spans="1:18" ht="18" customHeight="1" thickBot="1">
      <c r="A19" s="2077"/>
      <c r="B19" s="2066" t="s">
        <v>609</v>
      </c>
      <c r="C19" s="2067"/>
      <c r="D19" s="401"/>
      <c r="E19" s="1802">
        <v>0.52095547972967593</v>
      </c>
      <c r="F19" s="1803">
        <v>3.7559833450097067</v>
      </c>
      <c r="G19" s="1804">
        <f t="shared" si="0"/>
        <v>4.2769388247393829</v>
      </c>
      <c r="H19" s="1044"/>
      <c r="I19" s="1797">
        <v>0.55050054364771606</v>
      </c>
      <c r="J19" s="1023"/>
      <c r="K19" s="1805">
        <v>0</v>
      </c>
      <c r="L19" s="1028"/>
      <c r="M19" s="1028"/>
      <c r="N19" s="1028"/>
      <c r="O19" s="1028"/>
      <c r="P19" s="1028"/>
      <c r="Q19" s="1028"/>
      <c r="R19" s="1028"/>
    </row>
    <row r="20" spans="1:18" ht="18" customHeight="1">
      <c r="A20" s="2060" t="s">
        <v>244</v>
      </c>
      <c r="B20" s="2064" t="s">
        <v>224</v>
      </c>
      <c r="C20" s="2065"/>
      <c r="D20" s="401"/>
      <c r="E20" s="1806">
        <v>0</v>
      </c>
      <c r="F20" s="1807">
        <v>0</v>
      </c>
      <c r="G20" s="1808">
        <f t="shared" si="0"/>
        <v>0</v>
      </c>
      <c r="H20" s="1044"/>
      <c r="I20" s="1792">
        <v>0.45049410821776609</v>
      </c>
      <c r="J20" s="1023"/>
      <c r="K20" s="1792">
        <v>0</v>
      </c>
      <c r="L20" s="1028"/>
      <c r="M20" s="1028"/>
      <c r="N20" s="1028"/>
      <c r="O20" s="1028"/>
      <c r="P20" s="1028"/>
      <c r="Q20" s="1028"/>
      <c r="R20" s="1028"/>
    </row>
    <row r="21" spans="1:18" ht="18" customHeight="1">
      <c r="A21" s="2061"/>
      <c r="B21" s="1339" t="s">
        <v>610</v>
      </c>
      <c r="C21" s="399"/>
      <c r="D21" s="400"/>
      <c r="E21" s="1794">
        <v>0</v>
      </c>
      <c r="F21" s="1795">
        <v>0</v>
      </c>
      <c r="G21" s="1796">
        <f t="shared" si="0"/>
        <v>0</v>
      </c>
      <c r="H21" s="1044"/>
      <c r="I21" s="1798">
        <v>1.2794757770246144E-4</v>
      </c>
      <c r="J21" s="1023"/>
      <c r="K21" s="1798">
        <v>0</v>
      </c>
      <c r="L21" s="1028"/>
      <c r="M21" s="1028"/>
      <c r="N21" s="1028"/>
      <c r="O21" s="1028"/>
      <c r="P21" s="1028"/>
      <c r="Q21" s="1028"/>
      <c r="R21" s="1028"/>
    </row>
    <row r="22" spans="1:18" ht="18" customHeight="1">
      <c r="A22" s="2062"/>
      <c r="B22" s="1339" t="s">
        <v>611</v>
      </c>
      <c r="C22" s="399"/>
      <c r="D22" s="400"/>
      <c r="E22" s="1799">
        <v>0</v>
      </c>
      <c r="F22" s="1800">
        <v>0</v>
      </c>
      <c r="G22" s="1801">
        <f t="shared" si="0"/>
        <v>0</v>
      </c>
      <c r="H22" s="1044"/>
      <c r="I22" s="1793">
        <v>0.50689587057303287</v>
      </c>
      <c r="J22" s="1023"/>
      <c r="K22" s="1793">
        <v>0</v>
      </c>
      <c r="L22" s="1028"/>
      <c r="M22" s="1028"/>
      <c r="N22" s="1028"/>
      <c r="O22" s="1028"/>
      <c r="P22" s="1028"/>
      <c r="Q22" s="1028"/>
      <c r="R22" s="1028"/>
    </row>
    <row r="23" spans="1:18" ht="18" customHeight="1" thickBot="1">
      <c r="A23" s="2063"/>
      <c r="B23" s="2066" t="s">
        <v>609</v>
      </c>
      <c r="C23" s="2067"/>
      <c r="D23" s="400"/>
      <c r="E23" s="1809">
        <v>3.4253363869449022E-2</v>
      </c>
      <c r="F23" s="1810">
        <v>0.54131910307239062</v>
      </c>
      <c r="G23" s="1811">
        <f t="shared" si="0"/>
        <v>0.57557246694183961</v>
      </c>
      <c r="H23" s="1044"/>
      <c r="I23" s="1797">
        <v>1.3595209014202313E-4</v>
      </c>
      <c r="J23" s="1023"/>
      <c r="K23" s="1797">
        <v>0</v>
      </c>
      <c r="L23" s="1028"/>
      <c r="M23" s="1028"/>
      <c r="N23" s="1028"/>
      <c r="O23" s="1028"/>
      <c r="P23" s="1028"/>
      <c r="Q23" s="1028"/>
      <c r="R23" s="1028"/>
    </row>
    <row r="24" spans="1:18" ht="18" customHeight="1">
      <c r="A24" s="2068" t="s">
        <v>242</v>
      </c>
      <c r="B24" s="2064" t="s">
        <v>224</v>
      </c>
      <c r="C24" s="2065"/>
      <c r="D24" s="401"/>
      <c r="E24" s="1806">
        <v>0.14570113797854389</v>
      </c>
      <c r="F24" s="1812">
        <v>1.9379218620848797</v>
      </c>
      <c r="G24" s="1796">
        <f t="shared" si="0"/>
        <v>2.0836230000634237</v>
      </c>
      <c r="H24" s="1044"/>
      <c r="I24" s="1798">
        <v>2.7840239766498171E-3</v>
      </c>
      <c r="J24" s="1023"/>
      <c r="K24" s="1798">
        <v>5.2674322220031544E-3</v>
      </c>
      <c r="L24" s="1028"/>
      <c r="M24" s="1051"/>
      <c r="N24" s="1051"/>
      <c r="O24" s="1052">
        <v>0</v>
      </c>
      <c r="P24" s="1028"/>
      <c r="Q24" s="1045"/>
      <c r="R24" s="1028"/>
    </row>
    <row r="25" spans="1:18" ht="18" customHeight="1">
      <c r="A25" s="2069"/>
      <c r="B25" s="1339" t="s">
        <v>610</v>
      </c>
      <c r="C25" s="1340"/>
      <c r="D25" s="400"/>
      <c r="E25" s="1799">
        <v>9.7464896642148011E-2</v>
      </c>
      <c r="F25" s="1813">
        <v>0.13435964818256071</v>
      </c>
      <c r="G25" s="1801">
        <f t="shared" si="0"/>
        <v>0.23182454482470871</v>
      </c>
      <c r="H25" s="1044"/>
      <c r="I25" s="1793">
        <v>0.61958612229318499</v>
      </c>
      <c r="J25" s="1023"/>
      <c r="K25" s="1793">
        <v>0</v>
      </c>
      <c r="L25" s="1028"/>
      <c r="M25" s="1049"/>
      <c r="N25" s="1049"/>
      <c r="O25" s="1050">
        <v>0</v>
      </c>
      <c r="P25" s="1028"/>
      <c r="Q25" s="1046"/>
      <c r="R25" s="1028"/>
    </row>
    <row r="26" spans="1:18" ht="18" customHeight="1">
      <c r="A26" s="2069"/>
      <c r="B26" s="1339" t="s">
        <v>611</v>
      </c>
      <c r="C26" s="1340"/>
      <c r="D26" s="400"/>
      <c r="E26" s="1799">
        <v>0</v>
      </c>
      <c r="F26" s="1813">
        <v>0</v>
      </c>
      <c r="G26" s="1801">
        <f t="shared" si="0"/>
        <v>0</v>
      </c>
      <c r="H26" s="1044"/>
      <c r="I26" s="1793">
        <v>0</v>
      </c>
      <c r="J26" s="1023"/>
      <c r="K26" s="1793">
        <v>0</v>
      </c>
      <c r="L26" s="1028"/>
      <c r="M26" s="1049"/>
      <c r="N26" s="1049"/>
      <c r="O26" s="1050">
        <v>0</v>
      </c>
      <c r="P26" s="1028"/>
      <c r="Q26" s="1046"/>
      <c r="R26" s="1028"/>
    </row>
    <row r="27" spans="1:18" ht="18" customHeight="1" thickBot="1">
      <c r="A27" s="2069"/>
      <c r="B27" s="2066" t="s">
        <v>609</v>
      </c>
      <c r="C27" s="2067"/>
      <c r="D27" s="400"/>
      <c r="E27" s="1802">
        <v>0.21059578286325348</v>
      </c>
      <c r="F27" s="1814">
        <v>1.2008979828373454</v>
      </c>
      <c r="G27" s="1804">
        <f t="shared" si="0"/>
        <v>1.4114937657005988</v>
      </c>
      <c r="H27" s="1044"/>
      <c r="I27" s="1805">
        <v>1.5441425698751693E-3</v>
      </c>
      <c r="J27" s="1023"/>
      <c r="K27" s="1805">
        <v>0</v>
      </c>
      <c r="L27" s="1028"/>
      <c r="M27" s="1053"/>
      <c r="N27" s="1053"/>
      <c r="O27" s="1054">
        <v>0</v>
      </c>
      <c r="P27" s="1028"/>
      <c r="Q27" s="1047"/>
      <c r="R27" s="1028"/>
    </row>
    <row r="28" spans="1:18" ht="18" customHeight="1" thickBot="1">
      <c r="A28" s="2032" t="s">
        <v>612</v>
      </c>
      <c r="B28" s="2033"/>
      <c r="C28" s="2034"/>
      <c r="D28" s="400"/>
      <c r="E28" s="1815">
        <v>0</v>
      </c>
      <c r="F28" s="1816">
        <v>0</v>
      </c>
      <c r="G28" s="1817">
        <f>SUM(E28:F28)</f>
        <v>0</v>
      </c>
      <c r="H28" s="1044"/>
      <c r="I28" s="1818">
        <v>0</v>
      </c>
      <c r="J28" s="1023"/>
      <c r="K28" s="1818">
        <v>0</v>
      </c>
      <c r="L28" s="1028"/>
      <c r="M28" s="1055"/>
      <c r="N28" s="1055"/>
      <c r="O28" s="1056">
        <v>0</v>
      </c>
      <c r="P28" s="1028"/>
      <c r="Q28" s="1057"/>
      <c r="R28" s="1028"/>
    </row>
    <row r="29" spans="1:18" ht="18" customHeight="1" thickBot="1">
      <c r="A29" s="2032" t="s">
        <v>728</v>
      </c>
      <c r="B29" s="2033"/>
      <c r="C29" s="2034"/>
      <c r="D29" s="402"/>
      <c r="E29" s="1819"/>
      <c r="F29" s="1820"/>
      <c r="G29" s="1821"/>
      <c r="H29" s="1061"/>
      <c r="I29" s="1822">
        <v>5.7302192640935399</v>
      </c>
      <c r="J29" s="1023"/>
      <c r="K29" s="1822">
        <v>0</v>
      </c>
      <c r="L29" s="1062"/>
      <c r="M29" s="1063"/>
      <c r="N29" s="1064"/>
      <c r="O29" s="1060"/>
      <c r="P29" s="1062"/>
      <c r="Q29" s="1065"/>
      <c r="R29" s="1062"/>
    </row>
    <row r="30" spans="1:18" ht="18" customHeight="1" thickBot="1">
      <c r="A30" s="2032" t="s">
        <v>25</v>
      </c>
      <c r="B30" s="2033"/>
      <c r="C30" s="2034"/>
      <c r="D30" s="402"/>
      <c r="E30" s="1819"/>
      <c r="F30" s="1823">
        <v>0</v>
      </c>
      <c r="G30" s="1804">
        <f>SUM(E30:F30)</f>
        <v>0</v>
      </c>
      <c r="H30" s="1061"/>
      <c r="I30" s="1824"/>
      <c r="J30" s="1023"/>
      <c r="K30" s="1825"/>
      <c r="L30" s="1062"/>
      <c r="M30" s="1058"/>
      <c r="N30" s="1059"/>
      <c r="O30" s="1060"/>
      <c r="P30" s="1062"/>
      <c r="Q30" s="1066"/>
      <c r="R30" s="1062"/>
    </row>
    <row r="31" spans="1:18" ht="18" customHeight="1" thickBot="1">
      <c r="A31" s="2032" t="s">
        <v>26</v>
      </c>
      <c r="B31" s="2033"/>
      <c r="C31" s="2034"/>
      <c r="D31" s="402"/>
      <c r="E31" s="1819"/>
      <c r="F31" s="1823"/>
      <c r="G31" s="1817">
        <f>SUM(E31:F31)</f>
        <v>0</v>
      </c>
      <c r="H31" s="1061"/>
      <c r="I31" s="1824"/>
      <c r="J31" s="1023"/>
      <c r="K31" s="1825"/>
      <c r="L31" s="1062"/>
      <c r="M31" s="1058"/>
      <c r="N31" s="1059"/>
      <c r="O31" s="1060"/>
      <c r="P31" s="1062"/>
      <c r="Q31" s="1066"/>
      <c r="R31" s="1062"/>
    </row>
    <row r="32" spans="1:18" ht="18" customHeight="1" thickBot="1">
      <c r="A32" s="2032" t="s">
        <v>27</v>
      </c>
      <c r="B32" s="2033"/>
      <c r="C32" s="2034"/>
      <c r="D32" s="402"/>
      <c r="E32" s="1819"/>
      <c r="F32" s="1820"/>
      <c r="G32" s="1821"/>
      <c r="H32" s="1061"/>
      <c r="I32" s="1822">
        <v>-2.22315</v>
      </c>
      <c r="J32" s="1023"/>
      <c r="K32" s="1825"/>
      <c r="L32" s="1062"/>
      <c r="M32" s="1058"/>
      <c r="N32" s="1059"/>
      <c r="O32" s="1060"/>
      <c r="P32" s="1062"/>
      <c r="Q32" s="1066"/>
      <c r="R32" s="1062"/>
    </row>
    <row r="33" spans="1:18" ht="18" customHeight="1" thickBot="1">
      <c r="A33" s="2032" t="s">
        <v>28</v>
      </c>
      <c r="B33" s="2033"/>
      <c r="C33" s="2034"/>
      <c r="D33" s="402"/>
      <c r="E33" s="1819"/>
      <c r="F33" s="1826">
        <v>1.198993</v>
      </c>
      <c r="G33" s="1817">
        <f>SUM(E33:F33)</f>
        <v>1.198993</v>
      </c>
      <c r="H33" s="1061"/>
      <c r="I33" s="1825"/>
      <c r="J33" s="1023"/>
      <c r="K33" s="1825"/>
      <c r="L33" s="1062"/>
      <c r="M33" s="1058"/>
      <c r="N33" s="1059"/>
      <c r="O33" s="1060"/>
      <c r="P33" s="1062"/>
      <c r="Q33" s="1066"/>
      <c r="R33" s="1062"/>
    </row>
    <row r="34" spans="1:18" ht="18" customHeight="1" thickBot="1">
      <c r="A34" s="2035" t="s">
        <v>245</v>
      </c>
      <c r="B34" s="2036"/>
      <c r="C34" s="2037"/>
      <c r="D34" s="1067"/>
      <c r="E34" s="1827">
        <f>SUM(E11:E33)</f>
        <v>1.6622641121032671</v>
      </c>
      <c r="F34" s="1827">
        <f>SUM(F11:F33)</f>
        <v>9.8444520688807344</v>
      </c>
      <c r="G34" s="1827">
        <f>SUM(G11:G33)</f>
        <v>11.506716180984</v>
      </c>
      <c r="H34" s="1069"/>
      <c r="I34" s="1827">
        <f>SUM(I11:I33)</f>
        <v>27.850824583739605</v>
      </c>
      <c r="J34" s="1067"/>
      <c r="K34" s="1827">
        <f>SUM(K11:K33)</f>
        <v>0.38629600000000003</v>
      </c>
      <c r="L34" s="1070"/>
      <c r="M34" s="1068">
        <v>0</v>
      </c>
      <c r="N34" s="1068">
        <v>0</v>
      </c>
      <c r="O34" s="1068">
        <v>0</v>
      </c>
      <c r="P34" s="1070"/>
      <c r="Q34" s="1068">
        <v>0</v>
      </c>
      <c r="R34" s="1070"/>
    </row>
    <row r="35" spans="1:18" ht="15" thickBot="1">
      <c r="A35" s="1028"/>
      <c r="B35" s="1028"/>
      <c r="C35" s="1028"/>
      <c r="D35" s="1071"/>
      <c r="E35" s="1028"/>
      <c r="F35" s="1028"/>
      <c r="G35" s="1072"/>
      <c r="H35" s="1028"/>
      <c r="I35" s="1072"/>
      <c r="J35" s="1027"/>
      <c r="K35" s="1072"/>
      <c r="L35" s="1028"/>
      <c r="M35" s="1028"/>
      <c r="N35" s="1028"/>
      <c r="O35" s="1028"/>
      <c r="P35" s="1028"/>
      <c r="Q35" s="1028"/>
      <c r="R35" s="1028"/>
    </row>
    <row r="36" spans="1:18" ht="30.75" thickBot="1">
      <c r="A36" s="1073"/>
      <c r="B36" s="1073"/>
      <c r="C36" s="1074"/>
      <c r="D36" s="449"/>
      <c r="E36" s="1075" t="s">
        <v>741</v>
      </c>
      <c r="F36" s="1076"/>
      <c r="G36" s="1076"/>
      <c r="H36" s="1076"/>
      <c r="I36" s="1088" t="s">
        <v>4</v>
      </c>
      <c r="J36" s="1067"/>
      <c r="K36" s="1078" t="s">
        <v>5</v>
      </c>
      <c r="L36" s="1079"/>
      <c r="M36" s="1070"/>
      <c r="N36" s="1070"/>
      <c r="O36" s="1070"/>
      <c r="P36" s="1070"/>
      <c r="Q36" s="1070"/>
      <c r="R36" s="1070"/>
    </row>
    <row r="37" spans="1:18" ht="17.25" customHeight="1" thickBot="1">
      <c r="A37" s="1070"/>
      <c r="B37" s="1079"/>
      <c r="C37" s="1079"/>
      <c r="D37" s="1079"/>
      <c r="E37" s="2048"/>
      <c r="F37" s="2049"/>
      <c r="G37" s="2049"/>
      <c r="H37" s="2050"/>
      <c r="I37" s="1338" t="s">
        <v>157</v>
      </c>
      <c r="J37" s="1067"/>
      <c r="K37" s="1077" t="s">
        <v>157</v>
      </c>
      <c r="L37" s="1070"/>
      <c r="M37" s="1070"/>
      <c r="N37" s="1070"/>
      <c r="O37" s="1070"/>
      <c r="P37" s="1070"/>
      <c r="Q37" s="1070"/>
      <c r="R37" s="1070"/>
    </row>
    <row r="38" spans="1:18" ht="17.25" customHeight="1">
      <c r="A38" s="1028"/>
      <c r="B38" s="1071"/>
      <c r="C38" s="1071"/>
      <c r="D38" s="1071"/>
      <c r="E38" s="2051" t="s">
        <v>742</v>
      </c>
      <c r="F38" s="2052"/>
      <c r="G38" s="2052"/>
      <c r="H38" s="2053"/>
      <c r="I38" s="1828">
        <v>7.6046734961971971</v>
      </c>
      <c r="J38" s="1829"/>
      <c r="K38" s="1798">
        <v>0.38629600000000003</v>
      </c>
      <c r="L38" s="1028"/>
      <c r="M38" s="1028"/>
      <c r="N38" s="1028"/>
      <c r="O38" s="1028"/>
      <c r="P38" s="1028"/>
      <c r="Q38" s="1028"/>
      <c r="R38" s="1028"/>
    </row>
    <row r="39" spans="1:18" ht="17.25" customHeight="1" thickBot="1">
      <c r="A39" s="1028"/>
      <c r="B39" s="1071"/>
      <c r="C39" s="1071"/>
      <c r="D39" s="1071"/>
      <c r="E39" s="2054" t="s">
        <v>743</v>
      </c>
      <c r="F39" s="2055"/>
      <c r="G39" s="2055"/>
      <c r="H39" s="2056"/>
      <c r="I39" s="1830">
        <v>20.246151087542405</v>
      </c>
      <c r="J39" s="1829"/>
      <c r="K39" s="1805">
        <v>0</v>
      </c>
      <c r="L39" s="1028"/>
      <c r="M39" s="1028"/>
      <c r="N39" s="1028"/>
      <c r="O39" s="1028"/>
      <c r="P39" s="1028"/>
      <c r="Q39" s="1028"/>
      <c r="R39" s="1028"/>
    </row>
    <row r="40" spans="1:18" ht="17.25" customHeight="1" thickBot="1">
      <c r="A40" s="1028"/>
      <c r="B40" s="1067"/>
      <c r="C40" s="1067"/>
      <c r="D40" s="1067"/>
      <c r="E40" s="2057" t="s">
        <v>744</v>
      </c>
      <c r="F40" s="2058"/>
      <c r="G40" s="2058"/>
      <c r="H40" s="2059"/>
      <c r="I40" s="1817">
        <f>SUM(I38:I39)</f>
        <v>27.850824583739602</v>
      </c>
      <c r="J40" s="1829"/>
      <c r="K40" s="1817">
        <f>SUM(K38:K39)</f>
        <v>0.38629600000000003</v>
      </c>
      <c r="L40" s="1028"/>
      <c r="M40" s="1028"/>
      <c r="N40" s="1028"/>
      <c r="O40" s="1028"/>
      <c r="P40" s="1028"/>
      <c r="Q40" s="1028"/>
      <c r="R40" s="1028"/>
    </row>
    <row r="41" spans="1:18" ht="15" thickBot="1">
      <c r="A41" s="1028"/>
      <c r="B41" s="1028"/>
      <c r="C41" s="1028"/>
      <c r="D41" s="1071"/>
      <c r="E41" s="1028"/>
      <c r="F41" s="1028"/>
      <c r="G41" s="1028"/>
      <c r="H41" s="1028"/>
      <c r="I41" s="1072"/>
      <c r="J41" s="1080"/>
      <c r="K41" s="1072"/>
      <c r="L41" s="1028"/>
      <c r="M41" s="1028"/>
      <c r="N41" s="1028"/>
      <c r="O41" s="1028"/>
      <c r="P41" s="1028"/>
      <c r="Q41" s="1028"/>
      <c r="R41" s="1028"/>
    </row>
    <row r="42" spans="1:18" ht="20.25">
      <c r="A42" s="1027"/>
      <c r="B42" s="1081"/>
      <c r="C42" s="2040" t="s">
        <v>214</v>
      </c>
      <c r="D42" s="2041"/>
      <c r="E42" s="2041"/>
      <c r="F42" s="2042"/>
      <c r="G42" s="2046" t="s">
        <v>157</v>
      </c>
      <c r="H42" s="1023"/>
      <c r="I42" s="1027"/>
      <c r="J42" s="1027"/>
      <c r="K42" s="1027"/>
      <c r="L42" s="1027"/>
      <c r="M42" s="2040" t="s">
        <v>214</v>
      </c>
      <c r="N42" s="2041"/>
      <c r="O42" s="2046" t="s">
        <v>157</v>
      </c>
      <c r="P42" s="1027"/>
      <c r="Q42" s="1027"/>
      <c r="R42" s="1027"/>
    </row>
    <row r="43" spans="1:18" ht="21" thickBot="1">
      <c r="A43" s="1027"/>
      <c r="B43" s="1081"/>
      <c r="C43" s="2043"/>
      <c r="D43" s="2044"/>
      <c r="E43" s="2044"/>
      <c r="F43" s="2045"/>
      <c r="G43" s="2047"/>
      <c r="H43" s="1023"/>
      <c r="I43" s="1027"/>
      <c r="J43" s="1027"/>
      <c r="K43" s="1027"/>
      <c r="L43" s="1027"/>
      <c r="M43" s="2043"/>
      <c r="N43" s="2044"/>
      <c r="O43" s="2047"/>
      <c r="P43" s="1027"/>
      <c r="Q43" s="1027"/>
      <c r="R43" s="1027"/>
    </row>
    <row r="44" spans="1:18" ht="18" customHeight="1" thickBot="1">
      <c r="A44" s="1027"/>
      <c r="B44" s="1082"/>
      <c r="C44" s="2026" t="s">
        <v>239</v>
      </c>
      <c r="D44" s="2027"/>
      <c r="E44" s="2027"/>
      <c r="F44" s="2028"/>
      <c r="G44" s="1828">
        <v>2.6698203074440059</v>
      </c>
      <c r="H44" s="1023"/>
      <c r="I44" s="1027"/>
      <c r="J44" s="1027"/>
      <c r="K44" s="1027"/>
      <c r="L44" s="1027"/>
      <c r="M44" s="2038" t="s">
        <v>242</v>
      </c>
      <c r="N44" s="2039"/>
      <c r="O44" s="1055"/>
      <c r="P44" s="1027"/>
      <c r="Q44" s="1027"/>
      <c r="R44" s="1027"/>
    </row>
    <row r="45" spans="1:18" ht="18" customHeight="1" thickBot="1">
      <c r="A45" s="1027"/>
      <c r="B45" s="1082"/>
      <c r="C45" s="2026" t="s">
        <v>238</v>
      </c>
      <c r="D45" s="2027"/>
      <c r="E45" s="2027"/>
      <c r="F45" s="2028"/>
      <c r="G45" s="1831">
        <v>3.8399956961413602</v>
      </c>
      <c r="H45" s="1023"/>
      <c r="I45" s="1027"/>
      <c r="J45" s="1027"/>
      <c r="K45" s="1027"/>
      <c r="L45" s="1027"/>
      <c r="M45" s="1027"/>
      <c r="N45" s="1027"/>
      <c r="O45" s="1027"/>
      <c r="P45" s="1027"/>
      <c r="Q45" s="1027"/>
      <c r="R45" s="1027"/>
    </row>
    <row r="46" spans="1:18" ht="18" customHeight="1" thickBot="1">
      <c r="A46" s="1027"/>
      <c r="B46" s="1082"/>
      <c r="C46" s="2026" t="s">
        <v>244</v>
      </c>
      <c r="D46" s="2027"/>
      <c r="E46" s="2027"/>
      <c r="F46" s="2028"/>
      <c r="G46" s="1831">
        <v>0.60219434135132166</v>
      </c>
      <c r="H46" s="1023"/>
      <c r="I46" s="1027"/>
      <c r="J46" s="1027"/>
      <c r="K46" s="1027"/>
      <c r="L46" s="1027"/>
      <c r="M46" s="1027"/>
      <c r="N46" s="1027"/>
      <c r="O46" s="1027"/>
      <c r="P46" s="1027"/>
      <c r="Q46" s="1027"/>
      <c r="R46" s="1027"/>
    </row>
    <row r="47" spans="1:18" ht="18" customHeight="1" thickBot="1">
      <c r="A47" s="1027"/>
      <c r="B47" s="1082"/>
      <c r="C47" s="2026" t="s">
        <v>242</v>
      </c>
      <c r="D47" s="2027"/>
      <c r="E47" s="2027"/>
      <c r="F47" s="2028"/>
      <c r="G47" s="1830">
        <v>0.20885871506331286</v>
      </c>
      <c r="H47" s="1023"/>
      <c r="I47" s="1027"/>
      <c r="J47" s="1027"/>
      <c r="K47" s="1027"/>
      <c r="L47" s="1027"/>
      <c r="M47" s="1027"/>
      <c r="N47" s="1027"/>
      <c r="O47" s="1027"/>
      <c r="P47" s="1027"/>
      <c r="Q47" s="1027"/>
      <c r="R47" s="1027"/>
    </row>
    <row r="48" spans="1:18" ht="18" customHeight="1" thickBot="1">
      <c r="A48" s="1027"/>
      <c r="B48" s="1083"/>
      <c r="C48" s="2029" t="s">
        <v>39</v>
      </c>
      <c r="D48" s="2030"/>
      <c r="E48" s="2030"/>
      <c r="F48" s="2031"/>
      <c r="G48" s="1832">
        <f>SUM(G44:G47)</f>
        <v>7.3208690599999997</v>
      </c>
      <c r="H48" s="1023"/>
      <c r="I48" s="1027"/>
      <c r="J48" s="1027"/>
      <c r="K48" s="1027"/>
      <c r="L48" s="1027"/>
      <c r="M48" s="1027"/>
      <c r="N48" s="1027"/>
      <c r="O48" s="1027"/>
      <c r="P48" s="1027"/>
      <c r="Q48" s="1027"/>
      <c r="R48" s="1027"/>
    </row>
    <row r="49" spans="1:18" ht="15">
      <c r="A49" s="443"/>
      <c r="B49" s="443"/>
      <c r="C49" s="443"/>
      <c r="D49" s="443"/>
      <c r="E49" s="443"/>
      <c r="F49" s="443"/>
      <c r="G49" s="1072"/>
      <c r="H49" s="1084"/>
      <c r="I49" s="1085"/>
      <c r="J49" s="1085"/>
      <c r="K49" s="1085"/>
      <c r="L49" s="1086"/>
      <c r="M49" s="1028"/>
      <c r="N49" s="1028"/>
      <c r="O49" s="1028"/>
      <c r="P49" s="1028"/>
      <c r="Q49" s="1028"/>
      <c r="R49" s="1028"/>
    </row>
    <row r="50" spans="1:18" ht="13.5" thickBot="1"/>
    <row r="51" spans="1:18" ht="14.25">
      <c r="E51" s="2026"/>
      <c r="F51" s="2027"/>
      <c r="G51" s="2027"/>
      <c r="H51" s="2028"/>
    </row>
  </sheetData>
  <mergeCells count="52">
    <mergeCell ref="G11:G12"/>
    <mergeCell ref="F11:F12"/>
    <mergeCell ref="M7:Q7"/>
    <mergeCell ref="E7:G7"/>
    <mergeCell ref="I7:K7"/>
    <mergeCell ref="E8:G8"/>
    <mergeCell ref="M8:O8"/>
    <mergeCell ref="A9:C10"/>
    <mergeCell ref="A11:A12"/>
    <mergeCell ref="B11:C11"/>
    <mergeCell ref="E11:E12"/>
    <mergeCell ref="B12:C12"/>
    <mergeCell ref="G14:G16"/>
    <mergeCell ref="B15:C15"/>
    <mergeCell ref="B16:C16"/>
    <mergeCell ref="A17:A19"/>
    <mergeCell ref="B17:C17"/>
    <mergeCell ref="B18:C18"/>
    <mergeCell ref="B19:C19"/>
    <mergeCell ref="A13:A16"/>
    <mergeCell ref="B13:C13"/>
    <mergeCell ref="B14:C14"/>
    <mergeCell ref="E14:E16"/>
    <mergeCell ref="F14:F16"/>
    <mergeCell ref="A20:A23"/>
    <mergeCell ref="B20:C20"/>
    <mergeCell ref="B23:C23"/>
    <mergeCell ref="A24:A27"/>
    <mergeCell ref="B24:C24"/>
    <mergeCell ref="B27:C27"/>
    <mergeCell ref="O42:O43"/>
    <mergeCell ref="G42:G43"/>
    <mergeCell ref="E37:H37"/>
    <mergeCell ref="E38:H38"/>
    <mergeCell ref="E39:H39"/>
    <mergeCell ref="E40:H40"/>
    <mergeCell ref="M42:N43"/>
    <mergeCell ref="M44:N44"/>
    <mergeCell ref="C42:F43"/>
    <mergeCell ref="C44:F44"/>
    <mergeCell ref="C45:F45"/>
    <mergeCell ref="C46:F46"/>
    <mergeCell ref="C47:F47"/>
    <mergeCell ref="C48:F48"/>
    <mergeCell ref="E51:H51"/>
    <mergeCell ref="A28:C28"/>
    <mergeCell ref="A34:C34"/>
    <mergeCell ref="A32:C32"/>
    <mergeCell ref="A33:C33"/>
    <mergeCell ref="A29:C29"/>
    <mergeCell ref="A30:C30"/>
    <mergeCell ref="A31:C31"/>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852" customFormat="1">
      <c r="A1" s="890" t="s">
        <v>16</v>
      </c>
      <c r="E1" s="1014" t="s">
        <v>1021</v>
      </c>
    </row>
    <row r="2" spans="1:14">
      <c r="A2" s="1342"/>
    </row>
    <row r="3" spans="1:14">
      <c r="A3" s="1342" t="s">
        <v>29</v>
      </c>
    </row>
    <row r="5" spans="1:14" ht="20.25">
      <c r="A5" s="393" t="s">
        <v>194</v>
      </c>
      <c r="B5" s="394"/>
      <c r="C5" s="394"/>
      <c r="D5" s="395"/>
      <c r="E5" s="394"/>
      <c r="F5" s="394"/>
      <c r="G5" s="394"/>
      <c r="H5" s="394"/>
      <c r="I5" s="394"/>
      <c r="J5" s="394"/>
      <c r="K5" s="394"/>
      <c r="L5" s="394"/>
      <c r="M5" s="405"/>
      <c r="N5" s="405"/>
    </row>
    <row r="6" spans="1:14" ht="21" thickBot="1">
      <c r="A6" s="393"/>
      <c r="B6" s="394"/>
      <c r="C6" s="394"/>
      <c r="D6" s="395"/>
      <c r="E6" s="394"/>
      <c r="F6" s="394"/>
      <c r="G6" s="394"/>
      <c r="H6" s="394"/>
      <c r="I6" s="394"/>
      <c r="J6" s="394"/>
      <c r="K6" s="394"/>
      <c r="L6" s="394"/>
      <c r="M6" s="405"/>
      <c r="N6" s="405"/>
    </row>
    <row r="7" spans="1:14" ht="18.75" thickBot="1">
      <c r="A7" s="396"/>
      <c r="B7" s="396"/>
      <c r="C7" s="2138" t="s">
        <v>747</v>
      </c>
      <c r="D7" s="2139"/>
      <c r="E7" s="406"/>
      <c r="F7" s="406"/>
      <c r="G7" s="406"/>
      <c r="H7" s="406"/>
      <c r="I7" s="406"/>
      <c r="J7" s="406"/>
      <c r="K7" s="406"/>
      <c r="L7" s="407"/>
      <c r="M7" s="396"/>
      <c r="N7" s="396"/>
    </row>
    <row r="8" spans="1:14" ht="108.75" thickBot="1">
      <c r="A8" s="396"/>
      <c r="B8" s="396"/>
      <c r="C8" s="2093" t="s">
        <v>83</v>
      </c>
      <c r="D8" s="2095"/>
      <c r="E8" s="408" t="s">
        <v>84</v>
      </c>
      <c r="F8" s="1090" t="s">
        <v>85</v>
      </c>
      <c r="G8" s="1090" t="s">
        <v>86</v>
      </c>
      <c r="H8" s="408" t="s">
        <v>159</v>
      </c>
      <c r="I8" s="1090" t="s">
        <v>160</v>
      </c>
      <c r="J8" s="1091" t="s">
        <v>15</v>
      </c>
      <c r="K8" s="1092" t="s">
        <v>780</v>
      </c>
      <c r="L8" s="409" t="s">
        <v>245</v>
      </c>
      <c r="M8" s="396"/>
      <c r="N8" s="396"/>
    </row>
    <row r="9" spans="1:14" ht="15.75" thickBot="1">
      <c r="A9" s="396"/>
      <c r="B9" s="396"/>
      <c r="C9" s="2096"/>
      <c r="D9" s="2098"/>
      <c r="E9" s="410" t="s">
        <v>157</v>
      </c>
      <c r="F9" s="411" t="s">
        <v>157</v>
      </c>
      <c r="G9" s="411" t="s">
        <v>157</v>
      </c>
      <c r="H9" s="410" t="s">
        <v>157</v>
      </c>
      <c r="I9" s="411" t="s">
        <v>157</v>
      </c>
      <c r="J9" s="411" t="s">
        <v>157</v>
      </c>
      <c r="K9" s="412" t="s">
        <v>157</v>
      </c>
      <c r="L9" s="413" t="s">
        <v>157</v>
      </c>
      <c r="M9" s="396"/>
      <c r="N9" s="396"/>
    </row>
    <row r="10" spans="1:14" ht="15">
      <c r="A10" s="396"/>
      <c r="B10" s="396"/>
      <c r="C10" s="2148" t="s">
        <v>664</v>
      </c>
      <c r="D10" s="2149"/>
      <c r="E10" s="414"/>
      <c r="F10" s="415"/>
      <c r="G10" s="415"/>
      <c r="H10" s="414"/>
      <c r="I10" s="415"/>
      <c r="J10" s="416"/>
      <c r="K10" s="416"/>
      <c r="L10" s="417">
        <f t="shared" ref="L10:L20" si="0">SUM(E10:K10)</f>
        <v>0</v>
      </c>
      <c r="M10" s="396"/>
      <c r="N10" s="396"/>
    </row>
    <row r="11" spans="1:14" ht="14.25">
      <c r="A11" s="396"/>
      <c r="B11" s="396"/>
      <c r="C11" s="2161" t="s">
        <v>665</v>
      </c>
      <c r="D11" s="2162"/>
      <c r="E11" s="746">
        <v>49.1</v>
      </c>
      <c r="F11" s="746">
        <v>0</v>
      </c>
      <c r="G11" s="746">
        <v>0</v>
      </c>
      <c r="H11" s="746">
        <v>10</v>
      </c>
      <c r="I11" s="418"/>
      <c r="J11" s="419"/>
      <c r="K11" s="420"/>
      <c r="L11" s="421">
        <f t="shared" si="0"/>
        <v>59.1</v>
      </c>
      <c r="M11" s="396"/>
      <c r="N11" s="396"/>
    </row>
    <row r="12" spans="1:14" ht="14.25">
      <c r="A12" s="396"/>
      <c r="B12" s="396"/>
      <c r="C12" s="2161" t="s">
        <v>666</v>
      </c>
      <c r="D12" s="2162"/>
      <c r="E12" s="746">
        <v>24.91</v>
      </c>
      <c r="F12" s="746">
        <v>0</v>
      </c>
      <c r="G12" s="746">
        <v>0</v>
      </c>
      <c r="H12" s="746">
        <v>7.25</v>
      </c>
      <c r="I12" s="418"/>
      <c r="J12" s="419"/>
      <c r="K12" s="420"/>
      <c r="L12" s="421">
        <f t="shared" si="0"/>
        <v>32.159999999999997</v>
      </c>
      <c r="M12" s="396"/>
      <c r="N12" s="396"/>
    </row>
    <row r="13" spans="1:14" ht="14.25">
      <c r="A13" s="396"/>
      <c r="B13" s="396"/>
      <c r="C13" s="2161" t="s">
        <v>839</v>
      </c>
      <c r="D13" s="2162"/>
      <c r="E13" s="746">
        <v>0.44</v>
      </c>
      <c r="F13" s="746">
        <v>0</v>
      </c>
      <c r="G13" s="746">
        <v>0</v>
      </c>
      <c r="H13" s="746">
        <v>0.2</v>
      </c>
      <c r="I13" s="418"/>
      <c r="J13" s="419"/>
      <c r="K13" s="420"/>
      <c r="L13" s="421">
        <f t="shared" si="0"/>
        <v>0.64</v>
      </c>
      <c r="M13" s="396"/>
      <c r="N13" s="396"/>
    </row>
    <row r="14" spans="1:14" ht="14.25">
      <c r="A14" s="396"/>
      <c r="B14" s="396"/>
      <c r="C14" s="2152" t="s">
        <v>840</v>
      </c>
      <c r="D14" s="2153"/>
      <c r="E14" s="746">
        <v>0</v>
      </c>
      <c r="F14" s="746">
        <v>0</v>
      </c>
      <c r="G14" s="746">
        <v>0</v>
      </c>
      <c r="H14" s="746">
        <v>0</v>
      </c>
      <c r="I14" s="418"/>
      <c r="J14" s="419"/>
      <c r="K14" s="420"/>
      <c r="L14" s="421">
        <f t="shared" si="0"/>
        <v>0</v>
      </c>
      <c r="M14" s="396"/>
      <c r="N14" s="396"/>
    </row>
    <row r="15" spans="1:14" ht="15">
      <c r="A15" s="396"/>
      <c r="B15" s="396"/>
      <c r="C15" s="2150" t="s">
        <v>841</v>
      </c>
      <c r="D15" s="2151"/>
      <c r="E15" s="422"/>
      <c r="F15" s="423"/>
      <c r="G15" s="423"/>
      <c r="H15" s="422"/>
      <c r="I15" s="418"/>
      <c r="J15" s="419"/>
      <c r="K15" s="420"/>
      <c r="L15" s="424">
        <f t="shared" si="0"/>
        <v>0</v>
      </c>
      <c r="M15" s="396"/>
      <c r="N15" s="396"/>
    </row>
    <row r="16" spans="1:14" ht="14.25">
      <c r="A16" s="396"/>
      <c r="B16" s="396"/>
      <c r="C16" s="2152" t="s">
        <v>842</v>
      </c>
      <c r="D16" s="2153"/>
      <c r="E16" s="425"/>
      <c r="F16" s="418"/>
      <c r="G16" s="418"/>
      <c r="H16" s="418"/>
      <c r="I16" s="746">
        <v>1.3</v>
      </c>
      <c r="J16" s="746">
        <v>0</v>
      </c>
      <c r="K16" s="420"/>
      <c r="L16" s="421">
        <f t="shared" si="0"/>
        <v>1.3</v>
      </c>
      <c r="M16" s="396"/>
      <c r="N16" s="396"/>
    </row>
    <row r="17" spans="1:14" ht="14.25">
      <c r="A17" s="396"/>
      <c r="B17" s="396"/>
      <c r="C17" s="2152" t="s">
        <v>837</v>
      </c>
      <c r="D17" s="2153"/>
      <c r="E17" s="425"/>
      <c r="F17" s="418"/>
      <c r="G17" s="418"/>
      <c r="H17" s="418"/>
      <c r="I17" s="746">
        <v>3.9</v>
      </c>
      <c r="J17" s="746">
        <v>0.8</v>
      </c>
      <c r="K17" s="420"/>
      <c r="L17" s="421">
        <f t="shared" si="0"/>
        <v>4.7</v>
      </c>
      <c r="M17" s="396"/>
      <c r="N17" s="396"/>
    </row>
    <row r="18" spans="1:14" ht="14.25">
      <c r="A18" s="396"/>
      <c r="B18" s="396"/>
      <c r="C18" s="2152" t="s">
        <v>838</v>
      </c>
      <c r="D18" s="2153"/>
      <c r="E18" s="425"/>
      <c r="F18" s="418"/>
      <c r="G18" s="418"/>
      <c r="H18" s="418"/>
      <c r="I18" s="746">
        <v>3.2173750667821648</v>
      </c>
      <c r="J18" s="746">
        <v>0.82835842627990319</v>
      </c>
      <c r="K18" s="420"/>
      <c r="L18" s="421">
        <f t="shared" si="0"/>
        <v>4.0457334930620679</v>
      </c>
      <c r="M18" s="396"/>
      <c r="N18" s="396"/>
    </row>
    <row r="19" spans="1:14" ht="14.25">
      <c r="A19" s="396"/>
      <c r="B19" s="396"/>
      <c r="C19" s="2152" t="s">
        <v>781</v>
      </c>
      <c r="D19" s="2153"/>
      <c r="E19" s="425"/>
      <c r="F19" s="418"/>
      <c r="G19" s="418"/>
      <c r="H19" s="418"/>
      <c r="I19" s="746">
        <v>24.1</v>
      </c>
      <c r="J19" s="746">
        <v>2.14</v>
      </c>
      <c r="K19" s="420"/>
      <c r="L19" s="421">
        <f t="shared" si="0"/>
        <v>26.240000000000002</v>
      </c>
      <c r="M19" s="396"/>
      <c r="N19" s="396"/>
    </row>
    <row r="20" spans="1:14" ht="15">
      <c r="A20" s="396"/>
      <c r="B20" s="396"/>
      <c r="C20" s="2150" t="s">
        <v>780</v>
      </c>
      <c r="D20" s="2151"/>
      <c r="E20" s="426"/>
      <c r="F20" s="427"/>
      <c r="G20" s="427"/>
      <c r="H20" s="427"/>
      <c r="I20" s="427"/>
      <c r="J20" s="420"/>
      <c r="K20" s="746">
        <v>0</v>
      </c>
      <c r="L20" s="421">
        <f t="shared" si="0"/>
        <v>0</v>
      </c>
      <c r="M20" s="396"/>
      <c r="N20" s="396"/>
    </row>
    <row r="21" spans="1:14" ht="15">
      <c r="A21" s="396"/>
      <c r="B21" s="396"/>
      <c r="C21" s="2150" t="s">
        <v>782</v>
      </c>
      <c r="D21" s="2151"/>
      <c r="E21" s="428">
        <f>SUM(E11:E20)</f>
        <v>74.45</v>
      </c>
      <c r="F21" s="428">
        <f t="shared" ref="F21:L21" si="1">SUM(F11:F20)</f>
        <v>0</v>
      </c>
      <c r="G21" s="428">
        <f t="shared" si="1"/>
        <v>0</v>
      </c>
      <c r="H21" s="428">
        <f t="shared" si="1"/>
        <v>17.45</v>
      </c>
      <c r="I21" s="428">
        <f t="shared" si="1"/>
        <v>32.517375066782165</v>
      </c>
      <c r="J21" s="428">
        <f t="shared" si="1"/>
        <v>3.7683584262799035</v>
      </c>
      <c r="K21" s="429">
        <f t="shared" si="1"/>
        <v>0</v>
      </c>
      <c r="L21" s="430">
        <f t="shared" si="1"/>
        <v>128.18573349306206</v>
      </c>
      <c r="M21" s="431"/>
      <c r="N21" s="396"/>
    </row>
    <row r="22" spans="1:14" ht="15" customHeight="1">
      <c r="A22" s="396"/>
      <c r="B22" s="396"/>
      <c r="C22" s="2152" t="s">
        <v>783</v>
      </c>
      <c r="D22" s="2153"/>
      <c r="E22" s="746">
        <v>0</v>
      </c>
      <c r="F22" s="418"/>
      <c r="G22" s="746">
        <v>0</v>
      </c>
      <c r="H22" s="746">
        <v>0</v>
      </c>
      <c r="I22" s="746">
        <v>0</v>
      </c>
      <c r="J22" s="746">
        <v>0</v>
      </c>
      <c r="K22" s="746">
        <v>0</v>
      </c>
      <c r="L22" s="421">
        <f>SUM(E22:K22)</f>
        <v>0</v>
      </c>
      <c r="M22" s="431"/>
      <c r="N22" s="396"/>
    </row>
    <row r="23" spans="1:14" ht="15">
      <c r="A23" s="396"/>
      <c r="B23" s="396"/>
      <c r="C23" s="2150" t="s">
        <v>831</v>
      </c>
      <c r="D23" s="2151"/>
      <c r="E23" s="428">
        <f t="shared" ref="E23:K23" si="2">SUM(E21:E22)</f>
        <v>74.45</v>
      </c>
      <c r="F23" s="432">
        <f t="shared" si="2"/>
        <v>0</v>
      </c>
      <c r="G23" s="432">
        <f t="shared" si="2"/>
        <v>0</v>
      </c>
      <c r="H23" s="432">
        <f t="shared" si="2"/>
        <v>17.45</v>
      </c>
      <c r="I23" s="432">
        <f t="shared" si="2"/>
        <v>32.517375066782165</v>
      </c>
      <c r="J23" s="432">
        <f t="shared" si="2"/>
        <v>3.7683584262799035</v>
      </c>
      <c r="K23" s="433">
        <f t="shared" si="2"/>
        <v>0</v>
      </c>
      <c r="L23" s="430">
        <f>SUM(E23:K23)</f>
        <v>128.18573349306209</v>
      </c>
      <c r="M23" s="434"/>
      <c r="N23" s="396"/>
    </row>
    <row r="24" spans="1:14" ht="15.75" thickBot="1">
      <c r="A24" s="396"/>
      <c r="B24" s="396"/>
      <c r="C24" s="2152" t="s">
        <v>832</v>
      </c>
      <c r="D24" s="2153"/>
      <c r="E24" s="746">
        <v>-81.8</v>
      </c>
      <c r="F24" s="746">
        <v>0</v>
      </c>
      <c r="G24" s="746">
        <v>0</v>
      </c>
      <c r="H24" s="435"/>
      <c r="I24" s="436"/>
      <c r="J24" s="436"/>
      <c r="K24" s="746">
        <v>0</v>
      </c>
      <c r="L24" s="437">
        <f>SUM(E24:K24)</f>
        <v>-81.8</v>
      </c>
      <c r="M24" s="438"/>
      <c r="N24" s="396"/>
    </row>
    <row r="25" spans="1:14" ht="15.75" thickBot="1">
      <c r="A25" s="396"/>
      <c r="B25" s="396"/>
      <c r="C25" s="2150" t="s">
        <v>833</v>
      </c>
      <c r="D25" s="2151"/>
      <c r="E25" s="439">
        <f t="shared" ref="E25:K25" si="3">SUM(E23:E24)</f>
        <v>-7.3499999999999943</v>
      </c>
      <c r="F25" s="440">
        <f t="shared" si="3"/>
        <v>0</v>
      </c>
      <c r="G25" s="440">
        <f t="shared" si="3"/>
        <v>0</v>
      </c>
      <c r="H25" s="440">
        <f t="shared" si="3"/>
        <v>17.45</v>
      </c>
      <c r="I25" s="440">
        <f t="shared" si="3"/>
        <v>32.517375066782165</v>
      </c>
      <c r="J25" s="440">
        <f t="shared" si="3"/>
        <v>3.7683584262799035</v>
      </c>
      <c r="K25" s="441">
        <f t="shared" si="3"/>
        <v>0</v>
      </c>
      <c r="L25" s="442">
        <f>SUM(E25:K25)</f>
        <v>46.385733493062077</v>
      </c>
      <c r="M25" s="434"/>
      <c r="N25" s="396"/>
    </row>
    <row r="26" spans="1:14" ht="15.75" thickBot="1">
      <c r="A26" s="396"/>
      <c r="B26" s="396"/>
      <c r="C26" s="443"/>
      <c r="D26" s="443"/>
      <c r="E26" s="444"/>
      <c r="F26" s="444"/>
      <c r="G26" s="404"/>
      <c r="H26" s="445"/>
      <c r="I26" s="396"/>
      <c r="J26" s="396"/>
      <c r="K26" s="396"/>
      <c r="L26" s="396"/>
      <c r="M26" s="396"/>
      <c r="N26" s="396"/>
    </row>
    <row r="27" spans="1:14" ht="18.75" thickBot="1">
      <c r="A27" s="396"/>
      <c r="B27" s="396"/>
      <c r="C27" s="2140" t="s">
        <v>913</v>
      </c>
      <c r="D27" s="2141"/>
      <c r="E27" s="446"/>
      <c r="F27" s="446"/>
      <c r="G27" s="447"/>
      <c r="H27" s="396"/>
      <c r="I27" s="396"/>
      <c r="J27" s="396"/>
      <c r="K27" s="396"/>
      <c r="L27" s="403"/>
      <c r="M27" s="396"/>
      <c r="N27" s="396"/>
    </row>
    <row r="28" spans="1:14" ht="18" customHeight="1" thickBot="1">
      <c r="A28" s="396"/>
      <c r="B28" s="396"/>
      <c r="C28" s="2093" t="s">
        <v>83</v>
      </c>
      <c r="D28" s="2095"/>
      <c r="E28" s="2157" t="s">
        <v>49</v>
      </c>
      <c r="F28" s="2158"/>
      <c r="G28" s="448"/>
      <c r="H28" s="396"/>
      <c r="I28" s="396"/>
      <c r="J28" s="396"/>
      <c r="K28" s="396"/>
      <c r="L28" s="403"/>
      <c r="M28" s="396"/>
      <c r="N28" s="396"/>
    </row>
    <row r="29" spans="1:14" ht="45.75" thickBot="1">
      <c r="A29" s="396"/>
      <c r="B29" s="396"/>
      <c r="C29" s="2142"/>
      <c r="D29" s="2143"/>
      <c r="E29" s="1093" t="s">
        <v>845</v>
      </c>
      <c r="F29" s="1093" t="s">
        <v>101</v>
      </c>
      <c r="G29" s="1093" t="s">
        <v>102</v>
      </c>
      <c r="H29" s="396"/>
      <c r="I29" s="396"/>
      <c r="J29" s="396"/>
      <c r="K29" s="396"/>
      <c r="L29" s="403"/>
      <c r="M29" s="396"/>
      <c r="N29" s="396"/>
    </row>
    <row r="30" spans="1:14" ht="15.75" thickBot="1">
      <c r="A30" s="396"/>
      <c r="B30" s="396"/>
      <c r="C30" s="2096"/>
      <c r="D30" s="2098"/>
      <c r="E30" s="398" t="s">
        <v>157</v>
      </c>
      <c r="F30" s="398" t="s">
        <v>157</v>
      </c>
      <c r="G30" s="398" t="s">
        <v>157</v>
      </c>
      <c r="H30" s="396"/>
      <c r="I30" s="396"/>
      <c r="J30" s="396"/>
      <c r="K30" s="396"/>
      <c r="L30" s="403"/>
      <c r="M30" s="396"/>
      <c r="N30" s="396"/>
    </row>
    <row r="31" spans="1:14" s="852" customFormat="1" ht="18" customHeight="1">
      <c r="A31" s="1028"/>
      <c r="B31" s="1028"/>
      <c r="C31" s="2159" t="s">
        <v>103</v>
      </c>
      <c r="D31" s="451" t="s">
        <v>104</v>
      </c>
      <c r="E31" s="746">
        <v>1.1213124016896909</v>
      </c>
      <c r="F31" s="1833">
        <v>1.0171234508950289E-2</v>
      </c>
      <c r="G31" s="1834">
        <f t="shared" ref="G31:G58" si="4">SUM(E31:F31)</f>
        <v>1.1314836361986411</v>
      </c>
      <c r="H31" s="1028"/>
      <c r="I31" s="1028"/>
      <c r="J31" s="1028"/>
      <c r="K31" s="1028"/>
      <c r="L31" s="1070"/>
      <c r="M31" s="1028"/>
      <c r="N31" s="1028"/>
    </row>
    <row r="32" spans="1:14" s="852" customFormat="1" ht="18" customHeight="1" thickBot="1">
      <c r="A32" s="1028"/>
      <c r="B32" s="1028"/>
      <c r="C32" s="2160"/>
      <c r="D32" s="1094" t="s">
        <v>105</v>
      </c>
      <c r="E32" s="1835">
        <v>3.5</v>
      </c>
      <c r="F32" s="1835">
        <v>0.1</v>
      </c>
      <c r="G32" s="1836">
        <f t="shared" si="4"/>
        <v>3.6</v>
      </c>
      <c r="H32" s="1028"/>
      <c r="I32" s="1028"/>
      <c r="J32" s="1028"/>
      <c r="K32" s="1028"/>
      <c r="L32" s="1070"/>
      <c r="M32" s="1028"/>
      <c r="N32" s="1028"/>
    </row>
    <row r="33" spans="1:14" s="852" customFormat="1" ht="18" customHeight="1">
      <c r="A33" s="1028"/>
      <c r="B33" s="1028"/>
      <c r="C33" s="2159" t="s">
        <v>106</v>
      </c>
      <c r="D33" s="451" t="s">
        <v>104</v>
      </c>
      <c r="E33" s="1833">
        <v>0</v>
      </c>
      <c r="F33" s="1833">
        <v>0</v>
      </c>
      <c r="G33" s="1834">
        <f t="shared" si="4"/>
        <v>0</v>
      </c>
      <c r="H33" s="1028"/>
      <c r="I33" s="1028"/>
      <c r="J33" s="1028"/>
      <c r="K33" s="1028"/>
      <c r="L33" s="1070"/>
      <c r="M33" s="1028"/>
      <c r="N33" s="1028"/>
    </row>
    <row r="34" spans="1:14" s="852" customFormat="1" ht="18" customHeight="1" thickBot="1">
      <c r="A34" s="1028"/>
      <c r="B34" s="1028"/>
      <c r="C34" s="2160"/>
      <c r="D34" s="1094" t="s">
        <v>105</v>
      </c>
      <c r="E34" s="1835">
        <v>0</v>
      </c>
      <c r="F34" s="1835">
        <v>0</v>
      </c>
      <c r="G34" s="1836">
        <f t="shared" si="4"/>
        <v>0</v>
      </c>
      <c r="H34" s="1028"/>
      <c r="I34" s="1028"/>
      <c r="J34" s="1028"/>
      <c r="K34" s="1028"/>
      <c r="L34" s="1070"/>
      <c r="M34" s="1028"/>
      <c r="N34" s="1028"/>
    </row>
    <row r="35" spans="1:14" s="852" customFormat="1" ht="18" customHeight="1">
      <c r="A35" s="1028"/>
      <c r="B35" s="1028"/>
      <c r="C35" s="2154" t="s">
        <v>842</v>
      </c>
      <c r="D35" s="451" t="s">
        <v>221</v>
      </c>
      <c r="E35" s="1833">
        <v>0.83168933444578297</v>
      </c>
      <c r="F35" s="1833">
        <v>7.9609978999791425E-3</v>
      </c>
      <c r="G35" s="1834">
        <f t="shared" si="4"/>
        <v>0.83965033234576214</v>
      </c>
      <c r="H35" s="1028"/>
      <c r="I35" s="1028"/>
      <c r="J35" s="1028"/>
      <c r="K35" s="1028"/>
      <c r="L35" s="1070"/>
      <c r="M35" s="1028"/>
      <c r="N35" s="1028"/>
    </row>
    <row r="36" spans="1:14" s="852" customFormat="1" ht="18" customHeight="1">
      <c r="A36" s="1028"/>
      <c r="B36" s="1028"/>
      <c r="C36" s="2155"/>
      <c r="D36" s="1095" t="s">
        <v>222</v>
      </c>
      <c r="E36" s="1837">
        <v>3.9067448152387647</v>
      </c>
      <c r="F36" s="1837">
        <v>0.10147681851144906</v>
      </c>
      <c r="G36" s="421">
        <f t="shared" si="4"/>
        <v>4.0082216337502139</v>
      </c>
      <c r="H36" s="1028"/>
      <c r="I36" s="1028"/>
      <c r="J36" s="1028"/>
      <c r="K36" s="1028"/>
      <c r="L36" s="1070"/>
      <c r="M36" s="1028"/>
      <c r="N36" s="1028"/>
    </row>
    <row r="37" spans="1:14" s="852" customFormat="1" ht="18" customHeight="1" thickBot="1">
      <c r="A37" s="1028"/>
      <c r="B37" s="1028"/>
      <c r="C37" s="2156"/>
      <c r="D37" s="450" t="s">
        <v>223</v>
      </c>
      <c r="E37" s="1838">
        <v>0.44802067462397693</v>
      </c>
      <c r="F37" s="1838">
        <v>0.8448052869692545</v>
      </c>
      <c r="G37" s="1836">
        <f t="shared" si="4"/>
        <v>1.2928259615932314</v>
      </c>
      <c r="H37" s="1028"/>
      <c r="I37" s="1028"/>
      <c r="J37" s="1028"/>
      <c r="K37" s="1028"/>
      <c r="L37" s="1070"/>
      <c r="M37" s="1028"/>
      <c r="N37" s="1028"/>
    </row>
    <row r="38" spans="1:14" s="852" customFormat="1" ht="18" customHeight="1">
      <c r="A38" s="1028"/>
      <c r="B38" s="1028"/>
      <c r="C38" s="2154" t="s">
        <v>238</v>
      </c>
      <c r="D38" s="451" t="s">
        <v>224</v>
      </c>
      <c r="E38" s="1839">
        <v>2.8</v>
      </c>
      <c r="F38" s="1839">
        <v>0.1</v>
      </c>
      <c r="G38" s="1834">
        <f t="shared" si="4"/>
        <v>2.9</v>
      </c>
      <c r="H38" s="1028"/>
      <c r="I38" s="1028"/>
      <c r="J38" s="1028"/>
      <c r="K38" s="1028"/>
      <c r="L38" s="1070"/>
      <c r="M38" s="1028"/>
      <c r="N38" s="1028"/>
    </row>
    <row r="39" spans="1:14" s="852" customFormat="1" ht="18" customHeight="1">
      <c r="A39" s="1028"/>
      <c r="B39" s="1028"/>
      <c r="C39" s="2155"/>
      <c r="D39" s="1095" t="s">
        <v>119</v>
      </c>
      <c r="E39" s="1837">
        <v>3.1075738096423557</v>
      </c>
      <c r="F39" s="1837">
        <v>2.0378510399683657E-2</v>
      </c>
      <c r="G39" s="421">
        <f t="shared" si="4"/>
        <v>3.1279523200420396</v>
      </c>
      <c r="H39" s="1028"/>
      <c r="I39" s="1028"/>
      <c r="J39" s="1028"/>
      <c r="K39" s="1028"/>
      <c r="L39" s="1070"/>
      <c r="M39" s="1028"/>
      <c r="N39" s="1028"/>
    </row>
    <row r="40" spans="1:14" s="852" customFormat="1" ht="18" customHeight="1">
      <c r="A40" s="1028"/>
      <c r="B40" s="1028"/>
      <c r="C40" s="2155"/>
      <c r="D40" s="452" t="s">
        <v>120</v>
      </c>
      <c r="E40" s="1837">
        <v>0</v>
      </c>
      <c r="F40" s="1837">
        <v>0</v>
      </c>
      <c r="G40" s="421">
        <f t="shared" si="4"/>
        <v>0</v>
      </c>
      <c r="H40" s="1028"/>
      <c r="I40" s="1028"/>
      <c r="J40" s="1028"/>
      <c r="K40" s="1028"/>
      <c r="L40" s="1070"/>
      <c r="M40" s="1028"/>
      <c r="N40" s="1028"/>
    </row>
    <row r="41" spans="1:14" s="852" customFormat="1" ht="18" customHeight="1">
      <c r="A41" s="1028"/>
      <c r="B41" s="1028"/>
      <c r="C41" s="2155"/>
      <c r="D41" s="452" t="s">
        <v>223</v>
      </c>
      <c r="E41" s="1837">
        <v>5.612711767166652</v>
      </c>
      <c r="F41" s="1837">
        <v>1.0011134157441124</v>
      </c>
      <c r="G41" s="421">
        <f t="shared" si="4"/>
        <v>6.6138251829107642</v>
      </c>
      <c r="H41" s="1028"/>
      <c r="I41" s="1028"/>
      <c r="J41" s="1028"/>
      <c r="K41" s="1028"/>
      <c r="L41" s="1070"/>
      <c r="M41" s="1028"/>
      <c r="N41" s="1028"/>
    </row>
    <row r="42" spans="1:14" s="852" customFormat="1" ht="18" customHeight="1">
      <c r="A42" s="1028"/>
      <c r="B42" s="1028"/>
      <c r="C42" s="2155"/>
      <c r="D42" s="1095" t="s">
        <v>862</v>
      </c>
      <c r="E42" s="1840">
        <v>0.53103437507471163</v>
      </c>
      <c r="F42" s="1840">
        <v>0.70512111305901981</v>
      </c>
      <c r="G42" s="421">
        <f t="shared" si="4"/>
        <v>1.2361554881337313</v>
      </c>
      <c r="H42" s="1028"/>
      <c r="I42" s="1028"/>
      <c r="J42" s="1028"/>
      <c r="K42" s="1028"/>
      <c r="L42" s="1070"/>
      <c r="M42" s="1028"/>
      <c r="N42" s="1028"/>
    </row>
    <row r="43" spans="1:14" s="852" customFormat="1" ht="18" customHeight="1" thickBot="1">
      <c r="A43" s="1028"/>
      <c r="B43" s="1028"/>
      <c r="C43" s="2156"/>
      <c r="D43" s="1094" t="s">
        <v>863</v>
      </c>
      <c r="E43" s="1840">
        <v>1.9</v>
      </c>
      <c r="F43" s="1840">
        <v>0.4</v>
      </c>
      <c r="G43" s="1836">
        <f t="shared" si="4"/>
        <v>2.2999999999999998</v>
      </c>
      <c r="H43" s="1028"/>
      <c r="I43" s="1028"/>
      <c r="J43" s="1028"/>
      <c r="K43" s="1028"/>
      <c r="L43" s="1070"/>
      <c r="M43" s="1028"/>
      <c r="N43" s="1028"/>
    </row>
    <row r="44" spans="1:14" s="852" customFormat="1" ht="18" customHeight="1">
      <c r="A44" s="1028"/>
      <c r="B44" s="1028"/>
      <c r="C44" s="2154" t="s">
        <v>244</v>
      </c>
      <c r="D44" s="451" t="s">
        <v>224</v>
      </c>
      <c r="E44" s="1833">
        <v>1.0243794927017467</v>
      </c>
      <c r="F44" s="1833">
        <v>0</v>
      </c>
      <c r="G44" s="1834">
        <f t="shared" si="4"/>
        <v>1.0243794927017467</v>
      </c>
      <c r="H44" s="1028"/>
      <c r="I44" s="1028"/>
      <c r="J44" s="1028"/>
      <c r="K44" s="1028"/>
      <c r="L44" s="1070"/>
      <c r="M44" s="1028"/>
      <c r="N44" s="1028"/>
    </row>
    <row r="45" spans="1:14" s="852" customFormat="1" ht="18" customHeight="1">
      <c r="A45" s="1028"/>
      <c r="B45" s="1028"/>
      <c r="C45" s="2155"/>
      <c r="D45" s="1095" t="s">
        <v>119</v>
      </c>
      <c r="E45" s="1839">
        <v>1.927075053930345</v>
      </c>
      <c r="F45" s="1839">
        <v>2.1754858762321388E-2</v>
      </c>
      <c r="G45" s="421">
        <f t="shared" si="4"/>
        <v>1.9488299126926663</v>
      </c>
      <c r="H45" s="1028"/>
      <c r="I45" s="1028"/>
      <c r="J45" s="1028"/>
      <c r="K45" s="1028"/>
      <c r="L45" s="1070"/>
      <c r="M45" s="1028"/>
      <c r="N45" s="1028"/>
    </row>
    <row r="46" spans="1:14" s="852" customFormat="1" ht="18" customHeight="1">
      <c r="A46" s="1028"/>
      <c r="B46" s="1028"/>
      <c r="C46" s="2155"/>
      <c r="D46" s="1095" t="s">
        <v>120</v>
      </c>
      <c r="E46" s="1837">
        <v>0</v>
      </c>
      <c r="F46" s="1837">
        <v>0</v>
      </c>
      <c r="G46" s="421">
        <f t="shared" si="4"/>
        <v>0</v>
      </c>
      <c r="H46" s="1028"/>
      <c r="I46" s="1028"/>
      <c r="J46" s="1028"/>
      <c r="K46" s="1028"/>
      <c r="L46" s="1070"/>
      <c r="M46" s="1028"/>
      <c r="N46" s="1028"/>
    </row>
    <row r="47" spans="1:14" s="852" customFormat="1" ht="18" customHeight="1">
      <c r="A47" s="1028"/>
      <c r="B47" s="1028"/>
      <c r="C47" s="2155"/>
      <c r="D47" s="1095" t="s">
        <v>223</v>
      </c>
      <c r="E47" s="1837">
        <v>1.1254418351098032</v>
      </c>
      <c r="F47" s="1837">
        <v>0.1</v>
      </c>
      <c r="G47" s="421">
        <f t="shared" si="4"/>
        <v>1.2254418351098033</v>
      </c>
      <c r="H47" s="1028"/>
      <c r="I47" s="1028"/>
      <c r="J47" s="1028"/>
      <c r="K47" s="1028"/>
      <c r="L47" s="1070"/>
      <c r="M47" s="1028"/>
      <c r="N47" s="1028"/>
    </row>
    <row r="48" spans="1:14" s="852" customFormat="1" ht="18" customHeight="1">
      <c r="A48" s="1028"/>
      <c r="B48" s="1028"/>
      <c r="C48" s="2155"/>
      <c r="D48" s="1095" t="s">
        <v>862</v>
      </c>
      <c r="E48" s="1840">
        <v>0.2</v>
      </c>
      <c r="F48" s="1840">
        <v>0.3</v>
      </c>
      <c r="G48" s="421">
        <f t="shared" si="4"/>
        <v>0.5</v>
      </c>
      <c r="H48" s="1028"/>
      <c r="I48" s="1028"/>
      <c r="J48" s="1028"/>
      <c r="K48" s="1028"/>
      <c r="L48" s="1070"/>
      <c r="M48" s="1028"/>
      <c r="N48" s="1028"/>
    </row>
    <row r="49" spans="1:14" s="852" customFormat="1" ht="18" customHeight="1" thickBot="1">
      <c r="A49" s="1028"/>
      <c r="B49" s="1028"/>
      <c r="C49" s="2156"/>
      <c r="D49" s="450" t="s">
        <v>863</v>
      </c>
      <c r="E49" s="1838">
        <v>1.0400698027565143</v>
      </c>
      <c r="F49" s="1838">
        <v>1.1384128074684282E-2</v>
      </c>
      <c r="G49" s="1836">
        <f t="shared" si="4"/>
        <v>1.0514539308311985</v>
      </c>
      <c r="H49" s="1028"/>
      <c r="I49" s="1028"/>
      <c r="J49" s="1028"/>
      <c r="K49" s="1028"/>
      <c r="L49" s="1070"/>
      <c r="M49" s="1028"/>
      <c r="N49" s="1028"/>
    </row>
    <row r="50" spans="1:14" s="852" customFormat="1" ht="18" customHeight="1">
      <c r="A50" s="1028"/>
      <c r="B50" s="1028"/>
      <c r="C50" s="2154" t="s">
        <v>242</v>
      </c>
      <c r="D50" s="451" t="s">
        <v>224</v>
      </c>
      <c r="E50" s="1839">
        <v>7.8472133596123301</v>
      </c>
      <c r="F50" s="1839">
        <v>0</v>
      </c>
      <c r="G50" s="1834">
        <f t="shared" si="4"/>
        <v>7.8472133596123301</v>
      </c>
      <c r="H50" s="1028"/>
      <c r="I50" s="1028"/>
      <c r="J50" s="1028"/>
      <c r="K50" s="1028"/>
      <c r="L50" s="1070"/>
      <c r="M50" s="1028"/>
      <c r="N50" s="1028"/>
    </row>
    <row r="51" spans="1:14" s="852" customFormat="1" ht="18" customHeight="1">
      <c r="A51" s="1028"/>
      <c r="B51" s="1028"/>
      <c r="C51" s="2155"/>
      <c r="D51" s="1095" t="s">
        <v>119</v>
      </c>
      <c r="E51" s="1837">
        <v>3.8898690278038127E-2</v>
      </c>
      <c r="F51" s="1837">
        <v>0</v>
      </c>
      <c r="G51" s="421">
        <f t="shared" si="4"/>
        <v>3.8898690278038127E-2</v>
      </c>
      <c r="H51" s="1028"/>
      <c r="I51" s="1028"/>
      <c r="J51" s="1028"/>
      <c r="K51" s="1028"/>
      <c r="L51" s="1070"/>
      <c r="M51" s="1028"/>
      <c r="N51" s="1028"/>
    </row>
    <row r="52" spans="1:14" s="852" customFormat="1" ht="18" customHeight="1">
      <c r="A52" s="1028"/>
      <c r="B52" s="1028"/>
      <c r="C52" s="2155"/>
      <c r="D52" s="452" t="s">
        <v>864</v>
      </c>
      <c r="E52" s="1837">
        <v>0</v>
      </c>
      <c r="F52" s="1837">
        <v>0</v>
      </c>
      <c r="G52" s="421">
        <f t="shared" si="4"/>
        <v>0</v>
      </c>
      <c r="H52" s="1028"/>
      <c r="I52" s="1028"/>
      <c r="J52" s="1028"/>
      <c r="K52" s="1028"/>
      <c r="L52" s="1070"/>
      <c r="M52" s="1028"/>
      <c r="N52" s="1028"/>
    </row>
    <row r="53" spans="1:14" s="852" customFormat="1" ht="18" customHeight="1">
      <c r="A53" s="1028"/>
      <c r="B53" s="1028"/>
      <c r="C53" s="2155"/>
      <c r="D53" s="452" t="s">
        <v>223</v>
      </c>
      <c r="E53" s="1837">
        <v>0.2</v>
      </c>
      <c r="F53" s="1837">
        <v>0</v>
      </c>
      <c r="G53" s="421">
        <f t="shared" si="4"/>
        <v>0.2</v>
      </c>
      <c r="H53" s="1028"/>
      <c r="I53" s="1028"/>
      <c r="J53" s="1028"/>
      <c r="K53" s="1028"/>
      <c r="L53" s="1070"/>
      <c r="M53" s="1028"/>
      <c r="N53" s="1028"/>
    </row>
    <row r="54" spans="1:14" s="852" customFormat="1" ht="18" customHeight="1">
      <c r="A54" s="1028"/>
      <c r="B54" s="1028"/>
      <c r="C54" s="2155"/>
      <c r="D54" s="452" t="s">
        <v>862</v>
      </c>
      <c r="E54" s="1837">
        <v>4.6738919770647272E-2</v>
      </c>
      <c r="F54" s="1837">
        <v>0</v>
      </c>
      <c r="G54" s="421">
        <f t="shared" si="4"/>
        <v>4.6738919770647272E-2</v>
      </c>
      <c r="H54" s="1028"/>
      <c r="I54" s="1028"/>
      <c r="J54" s="1028"/>
      <c r="K54" s="1028"/>
      <c r="L54" s="1070"/>
      <c r="M54" s="1028"/>
      <c r="N54" s="1028"/>
    </row>
    <row r="55" spans="1:14" s="852" customFormat="1" ht="18" customHeight="1" thickBot="1">
      <c r="A55" s="1028"/>
      <c r="B55" s="1028"/>
      <c r="C55" s="2156"/>
      <c r="D55" s="450" t="s">
        <v>863</v>
      </c>
      <c r="E55" s="1838">
        <v>2.7136963328324701E-2</v>
      </c>
      <c r="F55" s="1838">
        <v>3.935454194238814E-3</v>
      </c>
      <c r="G55" s="421">
        <f t="shared" si="4"/>
        <v>3.1072417522563515E-2</v>
      </c>
      <c r="H55" s="1028"/>
      <c r="I55" s="1028"/>
      <c r="J55" s="1028"/>
      <c r="K55" s="1028"/>
      <c r="L55" s="1070"/>
      <c r="M55" s="1028"/>
      <c r="N55" s="1028"/>
    </row>
    <row r="56" spans="1:14" s="852" customFormat="1" ht="18" customHeight="1" thickBot="1">
      <c r="A56" s="1028"/>
      <c r="B56" s="1028"/>
      <c r="C56" s="2035" t="s">
        <v>865</v>
      </c>
      <c r="D56" s="2037"/>
      <c r="E56" s="1841">
        <f>SUM(E31:E55)</f>
        <v>37.236041295369688</v>
      </c>
      <c r="F56" s="1841">
        <f>SUM(F31:F55)</f>
        <v>3.7281018181236933</v>
      </c>
      <c r="G56" s="1841">
        <f t="shared" si="4"/>
        <v>40.964143113493378</v>
      </c>
      <c r="H56" s="1096"/>
      <c r="I56" s="1028"/>
      <c r="J56" s="1028"/>
      <c r="K56" s="1028"/>
      <c r="L56" s="1028"/>
      <c r="M56" s="1070"/>
      <c r="N56" s="1028"/>
    </row>
    <row r="57" spans="1:14" s="852" customFormat="1" ht="18" customHeight="1" thickBot="1">
      <c r="A57" s="1028"/>
      <c r="B57" s="1028"/>
      <c r="C57" s="2121" t="s">
        <v>832</v>
      </c>
      <c r="D57" s="2122"/>
      <c r="E57" s="1837">
        <v>0</v>
      </c>
      <c r="F57" s="1837">
        <v>0</v>
      </c>
      <c r="G57" s="421">
        <f t="shared" si="4"/>
        <v>0</v>
      </c>
      <c r="H57" s="1096"/>
      <c r="I57" s="1096"/>
      <c r="J57" s="1096"/>
      <c r="K57" s="1028"/>
      <c r="L57" s="1028"/>
      <c r="M57" s="1070"/>
      <c r="N57" s="1028"/>
    </row>
    <row r="58" spans="1:14" s="852" customFormat="1" ht="18" customHeight="1" thickBot="1">
      <c r="A58" s="1028"/>
      <c r="B58" s="1028"/>
      <c r="C58" s="2035" t="s">
        <v>866</v>
      </c>
      <c r="D58" s="2037"/>
      <c r="E58" s="1841">
        <f>SUM(E56:E57)</f>
        <v>37.236041295369688</v>
      </c>
      <c r="F58" s="1841">
        <f>SUM(F56:F57)</f>
        <v>3.7281018181236933</v>
      </c>
      <c r="G58" s="1841">
        <f t="shared" si="4"/>
        <v>40.964143113493378</v>
      </c>
      <c r="H58" s="1028"/>
      <c r="I58" s="1028"/>
      <c r="J58" s="1028"/>
      <c r="K58" s="1028"/>
      <c r="L58" s="1070"/>
      <c r="M58" s="1028"/>
      <c r="N58" s="1028"/>
    </row>
    <row r="59" spans="1:14" s="852" customFormat="1" ht="18" customHeight="1" thickBot="1">
      <c r="C59" s="2123"/>
      <c r="D59" s="2123"/>
    </row>
    <row r="60" spans="1:14" s="852" customFormat="1" ht="18" customHeight="1" thickBot="1">
      <c r="A60" s="1028"/>
      <c r="B60" s="1028"/>
      <c r="C60" s="2144" t="s">
        <v>867</v>
      </c>
      <c r="D60" s="2145"/>
      <c r="E60" s="1097" t="s">
        <v>239</v>
      </c>
      <c r="F60" s="1097" t="s">
        <v>238</v>
      </c>
      <c r="G60" s="1097" t="s">
        <v>244</v>
      </c>
      <c r="H60" s="1097" t="s">
        <v>242</v>
      </c>
      <c r="I60" s="1097" t="s">
        <v>245</v>
      </c>
      <c r="J60" s="1028"/>
      <c r="K60" s="1028"/>
      <c r="L60" s="1028"/>
      <c r="M60" s="1070"/>
      <c r="N60" s="1028"/>
    </row>
    <row r="61" spans="1:14" s="852" customFormat="1" ht="18" customHeight="1" thickBot="1">
      <c r="A61" s="1028"/>
      <c r="B61" s="1028"/>
      <c r="C61" s="2146" t="s">
        <v>83</v>
      </c>
      <c r="D61" s="2147"/>
      <c r="E61" s="1077" t="s">
        <v>157</v>
      </c>
      <c r="F61" s="1077" t="s">
        <v>157</v>
      </c>
      <c r="G61" s="1077" t="s">
        <v>157</v>
      </c>
      <c r="H61" s="1077" t="s">
        <v>157</v>
      </c>
      <c r="I61" s="1077" t="s">
        <v>157</v>
      </c>
      <c r="J61" s="1028"/>
      <c r="K61" s="1028"/>
      <c r="L61" s="1028"/>
      <c r="M61" s="1028"/>
      <c r="N61" s="1070"/>
    </row>
    <row r="62" spans="1:14" s="852" customFormat="1" ht="18" customHeight="1">
      <c r="A62" s="1028"/>
      <c r="B62" s="1028"/>
      <c r="C62" s="2136" t="s">
        <v>868</v>
      </c>
      <c r="D62" s="2137"/>
      <c r="E62" s="1839">
        <v>0.78154528992298744</v>
      </c>
      <c r="F62" s="1839">
        <v>7.0200429885700197</v>
      </c>
      <c r="G62" s="1839">
        <v>0</v>
      </c>
      <c r="H62" s="1839">
        <v>0</v>
      </c>
      <c r="I62" s="1842">
        <f>SUM(E62:H62)</f>
        <v>7.8015882784930071</v>
      </c>
      <c r="J62" s="1028"/>
      <c r="K62" s="1028"/>
      <c r="L62" s="1028"/>
      <c r="M62" s="1028"/>
      <c r="N62" s="1070"/>
    </row>
    <row r="63" spans="1:14" s="852" customFormat="1" ht="18" customHeight="1">
      <c r="A63" s="1028"/>
      <c r="B63" s="1028"/>
      <c r="C63" s="2130" t="s">
        <v>869</v>
      </c>
      <c r="D63" s="2131"/>
      <c r="E63" s="1837">
        <v>0.17370324919855229</v>
      </c>
      <c r="F63" s="1837">
        <v>0.35464789533482799</v>
      </c>
      <c r="G63" s="1837">
        <v>0.10272204271495809</v>
      </c>
      <c r="H63" s="1837">
        <v>0.1197787213940734</v>
      </c>
      <c r="I63" s="430">
        <f t="shared" ref="I63:I70" si="5">SUM(E63:H63)</f>
        <v>0.7508519086424118</v>
      </c>
      <c r="J63" s="1028"/>
      <c r="K63" s="1028"/>
      <c r="L63" s="1028"/>
      <c r="M63" s="1028"/>
      <c r="N63" s="1070"/>
    </row>
    <row r="64" spans="1:14" s="852" customFormat="1" ht="18" customHeight="1">
      <c r="A64" s="1028"/>
      <c r="B64" s="1028"/>
      <c r="C64" s="2130" t="s">
        <v>121</v>
      </c>
      <c r="D64" s="2131"/>
      <c r="E64" s="1837">
        <v>0</v>
      </c>
      <c r="F64" s="1837">
        <v>0</v>
      </c>
      <c r="G64" s="1837">
        <v>0.11286464185897649</v>
      </c>
      <c r="H64" s="1837">
        <v>0</v>
      </c>
      <c r="I64" s="430">
        <f t="shared" si="5"/>
        <v>0.11286464185897649</v>
      </c>
      <c r="J64" s="1028"/>
      <c r="K64" s="1028"/>
      <c r="L64" s="1028"/>
      <c r="M64" s="1028"/>
      <c r="N64" s="1070"/>
    </row>
    <row r="65" spans="1:14" s="852" customFormat="1" ht="18" customHeight="1">
      <c r="A65" s="1028"/>
      <c r="B65" s="1028"/>
      <c r="C65" s="2130" t="s">
        <v>122</v>
      </c>
      <c r="D65" s="2131"/>
      <c r="E65" s="1837">
        <v>2.4138485563832291E-2</v>
      </c>
      <c r="F65" s="1837">
        <v>1.3113855472286782E-3</v>
      </c>
      <c r="G65" s="1837">
        <v>0</v>
      </c>
      <c r="H65" s="1837">
        <v>0</v>
      </c>
      <c r="I65" s="430">
        <f t="shared" si="5"/>
        <v>2.5449871111060968E-2</v>
      </c>
      <c r="J65" s="1028"/>
      <c r="K65" s="1028"/>
      <c r="L65" s="1028"/>
      <c r="M65" s="1028"/>
      <c r="N65" s="1070"/>
    </row>
    <row r="66" spans="1:14" s="852" customFormat="1" ht="18" customHeight="1">
      <c r="A66" s="1028"/>
      <c r="B66" s="1028"/>
      <c r="C66" s="2130" t="s">
        <v>123</v>
      </c>
      <c r="D66" s="2131"/>
      <c r="E66" s="1837">
        <v>0.11120728744961361</v>
      </c>
      <c r="F66" s="1837">
        <v>0.29512880668171876</v>
      </c>
      <c r="G66" s="1837">
        <v>0</v>
      </c>
      <c r="H66" s="1837">
        <v>0</v>
      </c>
      <c r="I66" s="430">
        <f t="shared" si="5"/>
        <v>0.40633609413133237</v>
      </c>
      <c r="J66" s="1028"/>
      <c r="K66" s="1028"/>
      <c r="L66" s="1028"/>
      <c r="M66" s="1028"/>
      <c r="N66" s="1070"/>
    </row>
    <row r="67" spans="1:14" s="852" customFormat="1" ht="18" customHeight="1">
      <c r="A67" s="1028"/>
      <c r="B67" s="1028"/>
      <c r="C67" s="2130" t="s">
        <v>124</v>
      </c>
      <c r="D67" s="2131"/>
      <c r="E67" s="1837">
        <v>0</v>
      </c>
      <c r="F67" s="1837">
        <v>1.8356852588707312E-2</v>
      </c>
      <c r="G67" s="1837">
        <v>0</v>
      </c>
      <c r="H67" s="1837">
        <v>0</v>
      </c>
      <c r="I67" s="430">
        <f t="shared" si="5"/>
        <v>1.8356852588707312E-2</v>
      </c>
      <c r="J67" s="1028"/>
      <c r="K67" s="1028"/>
      <c r="L67" s="1028"/>
      <c r="M67" s="1028"/>
      <c r="N67" s="1070"/>
    </row>
    <row r="68" spans="1:14" s="852" customFormat="1" ht="18" customHeight="1">
      <c r="A68" s="1028"/>
      <c r="B68" s="1028"/>
      <c r="C68" s="2130" t="s">
        <v>125</v>
      </c>
      <c r="D68" s="2131"/>
      <c r="E68" s="1837">
        <v>0</v>
      </c>
      <c r="F68" s="1837">
        <v>0</v>
      </c>
      <c r="G68" s="1837">
        <v>0</v>
      </c>
      <c r="H68" s="1837">
        <v>0</v>
      </c>
      <c r="I68" s="430">
        <f t="shared" si="5"/>
        <v>0</v>
      </c>
      <c r="J68" s="1028"/>
      <c r="K68" s="1028"/>
      <c r="L68" s="1028"/>
      <c r="M68" s="1028"/>
      <c r="N68" s="1070"/>
    </row>
    <row r="69" spans="1:14" s="852" customFormat="1" ht="18" customHeight="1">
      <c r="A69" s="1028"/>
      <c r="B69" s="1028"/>
      <c r="C69" s="2130" t="s">
        <v>143</v>
      </c>
      <c r="D69" s="2131"/>
      <c r="E69" s="1840">
        <v>0</v>
      </c>
      <c r="F69" s="1840">
        <v>9.8116957770448456E-3</v>
      </c>
      <c r="G69" s="1840">
        <v>0</v>
      </c>
      <c r="H69" s="1840">
        <v>0</v>
      </c>
      <c r="I69" s="437">
        <f t="shared" si="5"/>
        <v>9.8116957770448456E-3</v>
      </c>
      <c r="J69" s="1028"/>
      <c r="K69" s="1028"/>
      <c r="L69" s="1028"/>
      <c r="M69" s="1028"/>
      <c r="N69" s="1070"/>
    </row>
    <row r="70" spans="1:14" s="852" customFormat="1" ht="18" customHeight="1" thickBot="1">
      <c r="A70" s="1028"/>
      <c r="B70" s="1028"/>
      <c r="C70" s="2132" t="s">
        <v>144</v>
      </c>
      <c r="D70" s="2133"/>
      <c r="E70" s="1840">
        <v>2.4874614662343606</v>
      </c>
      <c r="F70" s="1840">
        <v>3.2468033810427106</v>
      </c>
      <c r="G70" s="1840">
        <v>0.64503786162548138</v>
      </c>
      <c r="H70" s="1840">
        <v>1.7982738528536242</v>
      </c>
      <c r="I70" s="1843">
        <f t="shared" si="5"/>
        <v>8.177576561756176</v>
      </c>
      <c r="J70" s="1028"/>
      <c r="K70" s="1028"/>
      <c r="L70" s="1028"/>
      <c r="M70" s="1028"/>
      <c r="N70" s="1070"/>
    </row>
    <row r="71" spans="1:14" s="852" customFormat="1" ht="18" customHeight="1" thickBot="1">
      <c r="A71" s="1028"/>
      <c r="B71" s="1028"/>
      <c r="C71" s="2124" t="s">
        <v>135</v>
      </c>
      <c r="D71" s="2125"/>
      <c r="E71" s="442">
        <f>SUM(E62:E70)</f>
        <v>3.5780557783693463</v>
      </c>
      <c r="F71" s="442">
        <f>SUM(F62:F70)</f>
        <v>10.946103005542257</v>
      </c>
      <c r="G71" s="442">
        <f>SUM(G62:G70)</f>
        <v>0.86062454619941597</v>
      </c>
      <c r="H71" s="442">
        <f>SUM(H62:H70)</f>
        <v>1.9180525742476975</v>
      </c>
      <c r="I71" s="442">
        <f>SUM(I62:I70)</f>
        <v>17.302835904358716</v>
      </c>
      <c r="J71" s="1028"/>
      <c r="K71" s="1028"/>
      <c r="L71" s="1028"/>
      <c r="M71" s="1028"/>
      <c r="N71" s="1070"/>
    </row>
    <row r="72" spans="1:14" s="852" customFormat="1" ht="18" customHeight="1" thickBot="1">
      <c r="A72" s="1028"/>
      <c r="B72" s="1028"/>
      <c r="C72" s="2134" t="s">
        <v>832</v>
      </c>
      <c r="D72" s="2135"/>
      <c r="E72" s="1837">
        <v>0</v>
      </c>
      <c r="F72" s="1837">
        <v>0</v>
      </c>
      <c r="G72" s="1837">
        <v>0</v>
      </c>
      <c r="H72" s="1837">
        <v>0</v>
      </c>
      <c r="I72" s="442">
        <f>SUM(E72:H72)</f>
        <v>0</v>
      </c>
      <c r="J72" s="1028"/>
      <c r="K72" s="1028"/>
      <c r="L72" s="1028"/>
      <c r="M72" s="1070"/>
      <c r="N72" s="1028"/>
    </row>
    <row r="73" spans="1:14" s="852" customFormat="1" ht="18" customHeight="1" thickBot="1">
      <c r="A73" s="1028"/>
      <c r="B73" s="1028"/>
      <c r="C73" s="2124" t="s">
        <v>0</v>
      </c>
      <c r="D73" s="2125"/>
      <c r="E73" s="1844">
        <f>SUM(E71:E72)</f>
        <v>3.5780557783693463</v>
      </c>
      <c r="F73" s="1844">
        <f>SUM(F71:F72)</f>
        <v>10.946103005542257</v>
      </c>
      <c r="G73" s="1844">
        <f>SUM(G71:G72)</f>
        <v>0.86062454619941597</v>
      </c>
      <c r="H73" s="1844">
        <f>SUM(H71:H72)</f>
        <v>1.9180525742476975</v>
      </c>
      <c r="I73" s="1844">
        <f>SUM(I71:I72)</f>
        <v>17.302835904358716</v>
      </c>
      <c r="J73" s="1028"/>
      <c r="K73" s="1028"/>
      <c r="L73" s="1028"/>
      <c r="M73" s="1070"/>
      <c r="N73" s="1028"/>
    </row>
    <row r="74" spans="1:14" s="852" customFormat="1" ht="18" customHeight="1" thickBot="1">
      <c r="A74" s="1028"/>
      <c r="B74" s="1028"/>
      <c r="C74" s="1021"/>
      <c r="D74" s="1099"/>
      <c r="E74" s="1099"/>
      <c r="F74" s="1099"/>
      <c r="G74" s="1099"/>
      <c r="H74" s="1100"/>
      <c r="I74" s="1100"/>
      <c r="J74" s="1100"/>
      <c r="K74" s="1100"/>
      <c r="L74" s="1028"/>
      <c r="M74" s="1028"/>
      <c r="N74" s="1028"/>
    </row>
    <row r="75" spans="1:14" s="852" customFormat="1" ht="18" customHeight="1" thickBot="1">
      <c r="A75" s="1028"/>
      <c r="B75" s="1028"/>
      <c r="C75" s="2124" t="s">
        <v>709</v>
      </c>
      <c r="D75" s="2125"/>
      <c r="E75" s="1101">
        <f>+I71+G56</f>
        <v>58.266979017852094</v>
      </c>
      <c r="F75" s="1096"/>
      <c r="G75" s="1028"/>
      <c r="H75" s="1028"/>
      <c r="I75" s="1028"/>
      <c r="J75" s="1028"/>
      <c r="K75" s="1028"/>
      <c r="L75" s="1028"/>
      <c r="M75" s="1070"/>
      <c r="N75" s="1028"/>
    </row>
    <row r="76" spans="1:14" s="852" customFormat="1" ht="18" customHeight="1" thickBot="1">
      <c r="A76" s="1028"/>
      <c r="B76" s="1028"/>
      <c r="C76" s="2124" t="s">
        <v>832</v>
      </c>
      <c r="D76" s="2125"/>
      <c r="E76" s="1102"/>
      <c r="F76" s="1096"/>
      <c r="G76" s="1028"/>
      <c r="H76" s="1028"/>
      <c r="I76" s="1028"/>
      <c r="J76" s="1028"/>
      <c r="K76" s="1028"/>
      <c r="L76" s="1028"/>
      <c r="M76" s="1070"/>
      <c r="N76" s="1028"/>
    </row>
    <row r="77" spans="1:14" s="852" customFormat="1" ht="18" customHeight="1" thickBot="1">
      <c r="A77" s="1028"/>
      <c r="B77" s="1028"/>
      <c r="C77" s="2124" t="s">
        <v>600</v>
      </c>
      <c r="D77" s="2125"/>
      <c r="E77" s="1844">
        <f>+E76+E75</f>
        <v>58.266979017852094</v>
      </c>
      <c r="F77" s="1028"/>
      <c r="G77" s="1028"/>
      <c r="H77" s="1028"/>
      <c r="I77" s="1028"/>
      <c r="J77" s="1028"/>
      <c r="K77" s="1028"/>
      <c r="L77" s="1028"/>
      <c r="M77" s="1070"/>
      <c r="N77" s="1028"/>
    </row>
    <row r="78" spans="1:14" s="852" customFormat="1" ht="18" customHeight="1" thickBot="1">
      <c r="A78" s="1028"/>
      <c r="B78" s="1028"/>
      <c r="C78" s="1022"/>
      <c r="D78" s="1022"/>
      <c r="E78" s="1022"/>
      <c r="F78" s="1022"/>
      <c r="G78" s="1022"/>
      <c r="H78" s="1022"/>
      <c r="I78" s="1022"/>
      <c r="J78" s="1022"/>
      <c r="K78" s="1022"/>
      <c r="L78" s="1028"/>
      <c r="M78" s="1028"/>
      <c r="N78" s="1028"/>
    </row>
    <row r="79" spans="1:14" s="852" customFormat="1" ht="18.75" thickBot="1">
      <c r="A79" s="1028"/>
      <c r="B79" s="1028"/>
      <c r="C79" s="453" t="s">
        <v>601</v>
      </c>
      <c r="D79" s="454"/>
      <c r="E79" s="1103"/>
      <c r="F79" s="1103"/>
      <c r="G79" s="1104"/>
      <c r="H79" s="1028"/>
      <c r="I79" s="1028"/>
      <c r="J79" s="1028"/>
      <c r="K79" s="1028"/>
      <c r="L79" s="1028"/>
      <c r="M79" s="1028"/>
      <c r="N79" s="1028"/>
    </row>
    <row r="80" spans="1:14" s="852" customFormat="1" ht="60.75" thickBot="1">
      <c r="A80" s="1028"/>
      <c r="B80" s="1028"/>
      <c r="C80" s="2126" t="s">
        <v>83</v>
      </c>
      <c r="D80" s="2127"/>
      <c r="E80" s="1105" t="s">
        <v>245</v>
      </c>
      <c r="F80" s="1106" t="s">
        <v>602</v>
      </c>
      <c r="G80" s="1106" t="s">
        <v>603</v>
      </c>
      <c r="H80" s="1028"/>
      <c r="I80" s="1028"/>
      <c r="J80" s="1028"/>
      <c r="K80" s="1028"/>
      <c r="L80" s="1028"/>
      <c r="M80" s="1028"/>
      <c r="N80" s="1028"/>
    </row>
    <row r="81" spans="1:14" s="852" customFormat="1" ht="15.75" thickBot="1">
      <c r="A81" s="1028"/>
      <c r="B81" s="1028"/>
      <c r="C81" s="2128"/>
      <c r="D81" s="2129"/>
      <c r="E81" s="1089" t="s">
        <v>157</v>
      </c>
      <c r="F81" s="1077" t="s">
        <v>157</v>
      </c>
      <c r="G81" s="1077" t="s">
        <v>157</v>
      </c>
      <c r="H81" s="1028"/>
      <c r="I81" s="1028"/>
      <c r="J81" s="1028"/>
      <c r="K81" s="1028"/>
      <c r="L81" s="1028"/>
      <c r="M81" s="1028"/>
      <c r="N81" s="1028"/>
    </row>
    <row r="82" spans="1:14" s="852" customFormat="1" ht="18" customHeight="1">
      <c r="A82" s="1028"/>
      <c r="B82" s="1028"/>
      <c r="C82" s="2051" t="s">
        <v>721</v>
      </c>
      <c r="D82" s="2053"/>
      <c r="E82" s="1834">
        <f t="shared" ref="E82:E88" si="6">SUM(F82:G82)</f>
        <v>0.3</v>
      </c>
      <c r="F82" s="746">
        <v>0.3</v>
      </c>
      <c r="G82" s="746"/>
      <c r="H82" s="1028"/>
      <c r="I82" s="1028"/>
      <c r="J82" s="1028"/>
      <c r="K82" s="1028"/>
      <c r="L82" s="1028"/>
      <c r="M82" s="1028"/>
      <c r="N82" s="1028"/>
    </row>
    <row r="83" spans="1:14" s="852" customFormat="1" ht="18" customHeight="1">
      <c r="A83" s="1028"/>
      <c r="B83" s="1028"/>
      <c r="C83" s="2119" t="s">
        <v>604</v>
      </c>
      <c r="D83" s="2120"/>
      <c r="E83" s="421">
        <f t="shared" si="6"/>
        <v>0</v>
      </c>
      <c r="F83" s="746"/>
      <c r="G83" s="746"/>
      <c r="H83" s="1028"/>
      <c r="I83" s="1028"/>
      <c r="J83" s="1028"/>
      <c r="K83" s="1028"/>
      <c r="L83" s="1028"/>
      <c r="M83" s="1028"/>
      <c r="N83" s="1028"/>
    </row>
    <row r="84" spans="1:14" s="852" customFormat="1" ht="18" customHeight="1">
      <c r="A84" s="1028"/>
      <c r="B84" s="1028"/>
      <c r="C84" s="2119" t="s">
        <v>605</v>
      </c>
      <c r="D84" s="2120"/>
      <c r="E84" s="421">
        <f t="shared" si="6"/>
        <v>1.4990000000000001</v>
      </c>
      <c r="F84" s="746">
        <v>1.4990000000000001</v>
      </c>
      <c r="G84" s="746"/>
      <c r="H84" s="1028"/>
      <c r="I84" s="1028"/>
      <c r="J84" s="1028"/>
      <c r="K84" s="1028"/>
      <c r="L84" s="1028"/>
      <c r="M84" s="1028"/>
      <c r="N84" s="1028"/>
    </row>
    <row r="85" spans="1:14" s="852" customFormat="1" ht="18" customHeight="1">
      <c r="A85" s="1028"/>
      <c r="B85" s="1028"/>
      <c r="C85" s="2119" t="s">
        <v>606</v>
      </c>
      <c r="D85" s="2120"/>
      <c r="E85" s="421">
        <f t="shared" si="6"/>
        <v>0</v>
      </c>
      <c r="F85" s="746"/>
      <c r="G85" s="746"/>
      <c r="H85" s="1028"/>
      <c r="I85" s="1028"/>
      <c r="J85" s="1028"/>
      <c r="K85" s="1028"/>
      <c r="L85" s="1028"/>
      <c r="M85" s="1028"/>
      <c r="N85" s="1028"/>
    </row>
    <row r="86" spans="1:14" s="852" customFormat="1" ht="18" customHeight="1">
      <c r="A86" s="1028"/>
      <c r="B86" s="1028"/>
      <c r="C86" s="2119" t="s">
        <v>710</v>
      </c>
      <c r="D86" s="2120"/>
      <c r="E86" s="421">
        <f t="shared" si="6"/>
        <v>0</v>
      </c>
      <c r="F86" s="746"/>
      <c r="G86" s="746"/>
      <c r="H86" s="1028"/>
      <c r="I86" s="1028"/>
      <c r="J86" s="1028"/>
      <c r="K86" s="1028"/>
      <c r="L86" s="1028"/>
      <c r="M86" s="1028"/>
      <c r="N86" s="1028"/>
    </row>
    <row r="87" spans="1:14" s="852" customFormat="1" ht="18" customHeight="1">
      <c r="A87" s="1028"/>
      <c r="B87" s="1028"/>
      <c r="C87" s="2119" t="s">
        <v>134</v>
      </c>
      <c r="D87" s="2120"/>
      <c r="E87" s="421">
        <f t="shared" si="6"/>
        <v>0.60899999999999999</v>
      </c>
      <c r="F87" s="746">
        <v>0.60899999999999999</v>
      </c>
      <c r="G87" s="746"/>
      <c r="H87" s="1028"/>
      <c r="I87" s="1028"/>
      <c r="J87" s="1028"/>
      <c r="K87" s="1028"/>
      <c r="L87" s="1028"/>
      <c r="M87" s="1028"/>
      <c r="N87" s="1028"/>
    </row>
    <row r="88" spans="1:14" s="852" customFormat="1" ht="18" customHeight="1" thickBot="1">
      <c r="A88" s="1028"/>
      <c r="B88" s="1028"/>
      <c r="C88" s="2054" t="s">
        <v>230</v>
      </c>
      <c r="D88" s="2056"/>
      <c r="E88" s="421">
        <f t="shared" si="6"/>
        <v>0</v>
      </c>
      <c r="F88" s="746"/>
      <c r="G88" s="746"/>
      <c r="H88" s="1096"/>
      <c r="I88" s="1028"/>
      <c r="J88" s="1028"/>
      <c r="K88" s="1028"/>
      <c r="L88" s="1028"/>
      <c r="M88" s="1028"/>
      <c r="N88" s="1028"/>
    </row>
    <row r="89" spans="1:14" s="852" customFormat="1" ht="18" customHeight="1" thickBot="1">
      <c r="A89" s="1028"/>
      <c r="B89" s="1028"/>
      <c r="C89" s="2035" t="s">
        <v>231</v>
      </c>
      <c r="D89" s="2037"/>
      <c r="E89" s="442">
        <f>SUM(E82:E88)</f>
        <v>2.4080000000000004</v>
      </c>
      <c r="F89" s="442">
        <f>SUM(F82:F88)</f>
        <v>2.4080000000000004</v>
      </c>
      <c r="G89" s="442">
        <f>SUM(G82:G88)</f>
        <v>0</v>
      </c>
      <c r="H89" s="1096"/>
      <c r="I89" s="1028"/>
      <c r="J89" s="1028"/>
      <c r="K89" s="1028"/>
      <c r="L89" s="1028"/>
      <c r="M89" s="1028"/>
      <c r="N89" s="1028"/>
    </row>
  </sheetData>
  <mergeCells count="57">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 ref="C7:D7"/>
    <mergeCell ref="C27:D27"/>
    <mergeCell ref="C28:D30"/>
    <mergeCell ref="C60:D60"/>
    <mergeCell ref="C61:D61"/>
    <mergeCell ref="C8:D9"/>
    <mergeCell ref="C10:D10"/>
    <mergeCell ref="C15:D15"/>
    <mergeCell ref="C16:D16"/>
    <mergeCell ref="C44:C49"/>
    <mergeCell ref="C50:C55"/>
    <mergeCell ref="C38:C43"/>
    <mergeCell ref="C24:D24"/>
    <mergeCell ref="C62:D62"/>
    <mergeCell ref="C63:D63"/>
    <mergeCell ref="C64:D64"/>
    <mergeCell ref="C65:D65"/>
    <mergeCell ref="C66:D66"/>
    <mergeCell ref="C80:D81"/>
    <mergeCell ref="C67:D67"/>
    <mergeCell ref="C68:D68"/>
    <mergeCell ref="C69:D69"/>
    <mergeCell ref="C70:D70"/>
    <mergeCell ref="C72:D72"/>
    <mergeCell ref="C71:D71"/>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s>
  <phoneticPr fontId="0" type="noConversion"/>
  <dataValidations count="1">
    <dataValidation type="decimal" operator="lessThanOrEqual" allowBlank="1" showInputMessage="1" showErrorMessage="1" sqref="E24:G24 E57:F57 K24 E72:I7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sqref="A1:XFD1048576"/>
    </sheetView>
  </sheetViews>
  <sheetFormatPr defaultColWidth="10.140625" defaultRowHeight="12.75"/>
  <cols>
    <col min="1" max="3" width="10.140625" style="852"/>
    <col min="4" max="6" width="12.28515625" style="852" customWidth="1"/>
    <col min="7" max="16384" width="10.140625" style="852"/>
  </cols>
  <sheetData>
    <row r="1" spans="1:13">
      <c r="A1" s="890" t="s">
        <v>91</v>
      </c>
      <c r="F1" s="1014" t="s">
        <v>1021</v>
      </c>
    </row>
    <row r="2" spans="1:13">
      <c r="A2" s="890"/>
    </row>
    <row r="3" spans="1:13">
      <c r="A3" s="890" t="s">
        <v>29</v>
      </c>
    </row>
    <row r="5" spans="1:13">
      <c r="A5" s="1107" t="s">
        <v>92</v>
      </c>
      <c r="B5" s="889"/>
      <c r="C5" s="889"/>
      <c r="D5" s="889"/>
      <c r="E5" s="889"/>
      <c r="F5" s="1108"/>
      <c r="G5" s="1108"/>
      <c r="H5" s="1108"/>
      <c r="I5" s="1108"/>
      <c r="J5" s="1108"/>
      <c r="K5" s="1108"/>
      <c r="L5" s="1108"/>
      <c r="M5" s="1108"/>
    </row>
    <row r="6" spans="1:13" ht="13.5" thickBot="1">
      <c r="A6" s="1109"/>
      <c r="B6" s="1110"/>
      <c r="C6" s="1111"/>
      <c r="D6" s="1112"/>
      <c r="E6" s="1110"/>
      <c r="F6" s="1110"/>
      <c r="G6" s="1109"/>
      <c r="H6" s="1109"/>
      <c r="I6" s="1109"/>
      <c r="J6" s="1109"/>
      <c r="K6" s="1109"/>
      <c r="L6" s="1109"/>
      <c r="M6" s="1109"/>
    </row>
    <row r="7" spans="1:13" ht="13.5" thickBot="1">
      <c r="A7" s="1108"/>
      <c r="B7" s="1113"/>
      <c r="C7" s="1114" t="s">
        <v>156</v>
      </c>
      <c r="D7" s="1115"/>
      <c r="E7" s="1116"/>
      <c r="F7" s="1116"/>
      <c r="G7" s="1116"/>
      <c r="H7" s="1117"/>
      <c r="I7" s="1118"/>
      <c r="J7" s="1108"/>
      <c r="K7" s="1108"/>
      <c r="L7" s="1108"/>
      <c r="M7" s="1108"/>
    </row>
    <row r="8" spans="1:13" ht="13.5" thickBot="1">
      <c r="A8" s="1108"/>
      <c r="B8" s="1119"/>
      <c r="C8" s="1021"/>
      <c r="D8" s="1021"/>
      <c r="E8" s="1108"/>
      <c r="F8" s="1108"/>
      <c r="G8" s="1120" t="s">
        <v>157</v>
      </c>
      <c r="H8" s="1120" t="s">
        <v>157</v>
      </c>
      <c r="I8" s="1121"/>
      <c r="J8" s="1108"/>
      <c r="K8" s="1108"/>
      <c r="L8" s="1108"/>
      <c r="M8" s="1108"/>
    </row>
    <row r="9" spans="1:13">
      <c r="A9" s="1108"/>
      <c r="B9" s="1122"/>
      <c r="C9" s="1114" t="s">
        <v>158</v>
      </c>
      <c r="D9" s="1021"/>
      <c r="E9" s="1123"/>
      <c r="F9" s="1108"/>
      <c r="G9" s="1239"/>
      <c r="H9" s="1124"/>
      <c r="I9" s="1121"/>
      <c r="J9" s="1108"/>
      <c r="K9" s="1108"/>
      <c r="L9" s="1108"/>
      <c r="M9" s="1108"/>
    </row>
    <row r="10" spans="1:13">
      <c r="A10" s="1108"/>
      <c r="B10" s="1125"/>
      <c r="C10" s="1080"/>
      <c r="D10" s="1126" t="s">
        <v>145</v>
      </c>
      <c r="E10" s="1127"/>
      <c r="F10" s="1109"/>
      <c r="G10" s="1147">
        <v>4.4000000000000004</v>
      </c>
      <c r="H10" s="1128"/>
      <c r="I10" s="1129"/>
      <c r="J10" s="1130"/>
      <c r="K10" s="1130"/>
      <c r="L10" s="1130"/>
      <c r="M10" s="1108"/>
    </row>
    <row r="11" spans="1:13">
      <c r="A11" s="1108"/>
      <c r="B11" s="1125"/>
      <c r="C11" s="1080"/>
      <c r="D11" s="1126" t="s">
        <v>146</v>
      </c>
      <c r="E11" s="1127"/>
      <c r="F11" s="1109"/>
      <c r="G11" s="1147">
        <v>0</v>
      </c>
      <c r="H11" s="1128"/>
      <c r="I11" s="1129"/>
      <c r="J11" s="1130"/>
      <c r="K11" s="1130"/>
      <c r="L11" s="1130"/>
      <c r="M11" s="1108"/>
    </row>
    <row r="12" spans="1:13">
      <c r="A12" s="1108"/>
      <c r="B12" s="1125"/>
      <c r="C12" s="1080"/>
      <c r="D12" s="1126" t="s">
        <v>147</v>
      </c>
      <c r="E12" s="1127"/>
      <c r="F12" s="1033"/>
      <c r="G12" s="1147">
        <v>27.091992000000001</v>
      </c>
      <c r="H12" s="1128"/>
      <c r="I12" s="1129"/>
      <c r="J12" s="1130"/>
      <c r="K12" s="1130"/>
      <c r="L12" s="1130"/>
      <c r="M12" s="1108"/>
    </row>
    <row r="13" spans="1:13">
      <c r="A13" s="1108"/>
      <c r="B13" s="1125"/>
      <c r="C13" s="1080"/>
      <c r="D13" s="1126" t="s">
        <v>226</v>
      </c>
      <c r="E13" s="1127"/>
      <c r="F13" s="1033"/>
      <c r="G13" s="1147">
        <v>1.45009349</v>
      </c>
      <c r="H13" s="1128"/>
      <c r="I13" s="1129"/>
      <c r="J13" s="1130"/>
      <c r="K13" s="1130"/>
      <c r="L13" s="1130"/>
      <c r="M13" s="1108"/>
    </row>
    <row r="14" spans="1:13">
      <c r="A14" s="1108"/>
      <c r="B14" s="1125"/>
      <c r="C14" s="1080"/>
      <c r="D14" s="1131" t="s">
        <v>227</v>
      </c>
      <c r="E14" s="1127"/>
      <c r="F14" s="1033"/>
      <c r="G14" s="1147">
        <v>0</v>
      </c>
      <c r="H14" s="1128"/>
      <c r="I14" s="1129"/>
      <c r="J14" s="1130"/>
      <c r="K14" s="1130"/>
      <c r="L14" s="1130"/>
      <c r="M14" s="1108"/>
    </row>
    <row r="15" spans="1:13" ht="25.5" customHeight="1">
      <c r="A15" s="1108"/>
      <c r="B15" s="1125"/>
      <c r="C15" s="1127"/>
      <c r="D15" s="2165" t="s">
        <v>876</v>
      </c>
      <c r="E15" s="2165"/>
      <c r="F15" s="2166"/>
      <c r="G15" s="1230">
        <v>0</v>
      </c>
      <c r="H15" s="1845">
        <f>SUM(G10:G15)</f>
        <v>32.942085490000004</v>
      </c>
      <c r="I15" s="1129"/>
      <c r="J15" s="1130"/>
      <c r="K15" s="1130"/>
      <c r="L15" s="1130"/>
      <c r="M15" s="1108"/>
    </row>
    <row r="16" spans="1:13" ht="14.25">
      <c r="A16" s="1108"/>
      <c r="B16" s="1125"/>
      <c r="C16" s="1114" t="s">
        <v>148</v>
      </c>
      <c r="D16" s="1131"/>
      <c r="E16" s="1127"/>
      <c r="F16" s="1109"/>
      <c r="G16" s="1240"/>
      <c r="H16" s="1846"/>
      <c r="I16" s="1129"/>
      <c r="J16" s="1130"/>
      <c r="K16" s="1130"/>
      <c r="L16" s="1130"/>
      <c r="M16" s="1108"/>
    </row>
    <row r="17" spans="1:13" ht="25.5" customHeight="1">
      <c r="A17" s="1108"/>
      <c r="B17" s="1125"/>
      <c r="C17" s="1127"/>
      <c r="D17" s="2165" t="s">
        <v>232</v>
      </c>
      <c r="E17" s="2165"/>
      <c r="F17" s="2166"/>
      <c r="G17" s="1147">
        <v>0</v>
      </c>
      <c r="H17" s="1845"/>
      <c r="I17" s="1129"/>
      <c r="J17" s="1130"/>
      <c r="K17" s="1130"/>
      <c r="L17" s="1130"/>
      <c r="M17" s="1108"/>
    </row>
    <row r="18" spans="1:13" ht="14.25">
      <c r="A18" s="1108"/>
      <c r="B18" s="1125"/>
      <c r="C18" s="1127"/>
      <c r="D18" s="1131" t="s">
        <v>132</v>
      </c>
      <c r="E18" s="1127"/>
      <c r="F18" s="1109"/>
      <c r="G18" s="1147">
        <v>0.54859910000000001</v>
      </c>
      <c r="H18" s="1845"/>
      <c r="I18" s="1129"/>
      <c r="J18" s="1130"/>
      <c r="K18" s="1130"/>
      <c r="L18" s="1130"/>
      <c r="M18" s="1108"/>
    </row>
    <row r="19" spans="1:13" ht="14.25">
      <c r="A19" s="1108"/>
      <c r="B19" s="1125"/>
      <c r="C19" s="1127"/>
      <c r="D19" s="1131" t="s">
        <v>133</v>
      </c>
      <c r="E19" s="1127"/>
      <c r="F19" s="1109"/>
      <c r="G19" s="1230">
        <v>0.31404121340000002</v>
      </c>
      <c r="H19" s="1845">
        <f>SUM(G17:G19)</f>
        <v>0.86264031340000003</v>
      </c>
      <c r="I19" s="1129"/>
      <c r="J19" s="1130"/>
      <c r="K19" s="1130"/>
      <c r="L19" s="1130"/>
      <c r="M19" s="1108"/>
    </row>
    <row r="20" spans="1:13" ht="14.25">
      <c r="A20" s="1108"/>
      <c r="B20" s="1125"/>
      <c r="C20" s="1114" t="s">
        <v>93</v>
      </c>
      <c r="D20" s="1131"/>
      <c r="E20" s="1127"/>
      <c r="F20" s="1109"/>
      <c r="G20" s="1240"/>
      <c r="H20" s="1846"/>
      <c r="I20" s="1129"/>
      <c r="J20" s="1130"/>
      <c r="K20" s="1130"/>
      <c r="L20" s="1130"/>
      <c r="M20" s="1108"/>
    </row>
    <row r="21" spans="1:13" ht="27.75" customHeight="1">
      <c r="A21" s="1108"/>
      <c r="B21" s="1125"/>
      <c r="C21" s="1127"/>
      <c r="D21" s="2165" t="s">
        <v>202</v>
      </c>
      <c r="E21" s="2165"/>
      <c r="F21" s="2166"/>
      <c r="G21" s="1147">
        <v>1.6526079999999665E-2</v>
      </c>
      <c r="H21" s="1845"/>
      <c r="I21" s="1129"/>
      <c r="J21" s="1130"/>
      <c r="K21" s="1130"/>
      <c r="L21" s="1130"/>
      <c r="M21" s="1108"/>
    </row>
    <row r="22" spans="1:13" ht="26.25" customHeight="1">
      <c r="A22" s="1108"/>
      <c r="B22" s="1125"/>
      <c r="C22" s="1127"/>
      <c r="D22" s="2163" t="s">
        <v>203</v>
      </c>
      <c r="E22" s="2163"/>
      <c r="F22" s="2164"/>
      <c r="G22" s="1147">
        <v>39.912756859700004</v>
      </c>
      <c r="H22" s="1845"/>
      <c r="I22" s="1129"/>
      <c r="J22" s="1130"/>
      <c r="K22" s="1130"/>
      <c r="L22" s="1130"/>
      <c r="M22" s="1108"/>
    </row>
    <row r="23" spans="1:13" ht="14.25">
      <c r="A23" s="1108"/>
      <c r="B23" s="1125"/>
      <c r="C23" s="1127"/>
      <c r="D23" s="1132" t="s">
        <v>204</v>
      </c>
      <c r="E23" s="1127"/>
      <c r="F23" s="1033"/>
      <c r="G23" s="1230">
        <v>9.5</v>
      </c>
      <c r="H23" s="1845">
        <f>SUM(G21:G23)</f>
        <v>49.429282939700002</v>
      </c>
      <c r="I23" s="1129"/>
      <c r="J23" s="1130"/>
      <c r="K23" s="1130"/>
      <c r="L23" s="1130"/>
      <c r="M23" s="1108"/>
    </row>
    <row r="24" spans="1:13" ht="15" thickBot="1">
      <c r="A24" s="1108"/>
      <c r="B24" s="1125"/>
      <c r="C24" s="1127"/>
      <c r="D24" s="1126"/>
      <c r="E24" s="1123"/>
      <c r="F24" s="1033"/>
      <c r="G24" s="1240"/>
      <c r="H24" s="1846"/>
      <c r="I24" s="1129"/>
      <c r="J24" s="1130"/>
      <c r="K24" s="1130"/>
      <c r="L24" s="1130"/>
      <c r="M24" s="1108"/>
    </row>
    <row r="25" spans="1:13" ht="15.75" thickBot="1">
      <c r="A25" s="1108"/>
      <c r="B25" s="1098"/>
      <c r="C25" s="2167" t="s">
        <v>205</v>
      </c>
      <c r="D25" s="2167"/>
      <c r="E25" s="2167"/>
      <c r="F25" s="2168"/>
      <c r="G25" s="1241"/>
      <c r="H25" s="1847">
        <f>SUM(H10:H24)</f>
        <v>83.234008743100006</v>
      </c>
      <c r="I25" s="1129"/>
      <c r="J25" s="1130"/>
      <c r="K25" s="1130"/>
      <c r="L25" s="1130"/>
      <c r="M25" s="1108"/>
    </row>
    <row r="26" spans="1:13" ht="13.5" thickBot="1">
      <c r="A26" s="1108"/>
      <c r="B26" s="1134"/>
      <c r="C26" s="1135"/>
      <c r="D26" s="1135"/>
      <c r="E26" s="1135"/>
      <c r="F26" s="1136"/>
      <c r="G26" s="1137"/>
      <c r="H26" s="1137"/>
      <c r="I26" s="1138"/>
      <c r="J26" s="1130"/>
      <c r="K26" s="1130"/>
      <c r="L26" s="1130"/>
      <c r="M26" s="1108"/>
    </row>
    <row r="27" spans="1:13" ht="13.5" thickBot="1">
      <c r="A27" s="1108"/>
      <c r="B27" s="1110"/>
      <c r="C27" s="1116"/>
      <c r="D27" s="1108"/>
      <c r="E27" s="1133"/>
      <c r="F27" s="1110"/>
      <c r="G27" s="1130"/>
      <c r="H27" s="1130"/>
      <c r="I27" s="1130"/>
      <c r="J27" s="1130"/>
      <c r="K27" s="1130"/>
      <c r="L27" s="1130"/>
      <c r="M27" s="1108"/>
    </row>
    <row r="28" spans="1:13">
      <c r="A28" s="1108"/>
      <c r="B28" s="1113"/>
      <c r="C28" s="1139" t="s">
        <v>206</v>
      </c>
      <c r="D28" s="1116"/>
      <c r="E28" s="1116"/>
      <c r="F28" s="1140"/>
      <c r="G28" s="1141"/>
      <c r="H28" s="1142"/>
      <c r="I28" s="1142"/>
      <c r="J28" s="1142"/>
      <c r="K28" s="1142"/>
      <c r="L28" s="1142"/>
      <c r="M28" s="1118"/>
    </row>
    <row r="29" spans="1:13" ht="13.5" thickBot="1">
      <c r="A29" s="1108"/>
      <c r="B29" s="1119"/>
      <c r="C29" s="1108"/>
      <c r="D29" s="1114" t="s">
        <v>207</v>
      </c>
      <c r="E29" s="1114"/>
      <c r="F29" s="1109"/>
      <c r="G29" s="1143"/>
      <c r="H29" s="1143"/>
      <c r="I29" s="1130"/>
      <c r="J29" s="1130"/>
      <c r="K29" s="1130"/>
      <c r="L29" s="1130"/>
      <c r="M29" s="1121"/>
    </row>
    <row r="30" spans="1:13" ht="13.5" thickBot="1">
      <c r="A30" s="1108"/>
      <c r="B30" s="1144"/>
      <c r="C30" s="1108"/>
      <c r="D30" s="1127" t="s">
        <v>208</v>
      </c>
      <c r="F30" s="1033"/>
      <c r="G30" s="1145" t="s">
        <v>157</v>
      </c>
      <c r="H30" s="1146"/>
      <c r="I30" s="1130"/>
      <c r="J30" s="1130"/>
      <c r="K30" s="1130"/>
      <c r="L30" s="1130"/>
      <c r="M30" s="1121"/>
    </row>
    <row r="31" spans="1:13" ht="14.25">
      <c r="A31" s="1108"/>
      <c r="B31" s="1144"/>
      <c r="C31" s="1108"/>
      <c r="D31" s="1131" t="s">
        <v>209</v>
      </c>
      <c r="F31" s="1108"/>
      <c r="G31" s="1848"/>
      <c r="H31" s="1146"/>
      <c r="I31" s="1130"/>
      <c r="J31" s="1130"/>
      <c r="K31" s="1130"/>
      <c r="L31" s="1130"/>
      <c r="M31" s="1121"/>
    </row>
    <row r="32" spans="1:13" ht="14.25">
      <c r="A32" s="1108"/>
      <c r="B32" s="1144"/>
      <c r="C32" s="1108"/>
      <c r="D32" s="1131" t="s">
        <v>210</v>
      </c>
      <c r="F32" s="1108"/>
      <c r="G32" s="1848">
        <v>-0.34825349999999999</v>
      </c>
      <c r="H32" s="1146"/>
      <c r="I32" s="1130"/>
      <c r="J32" s="1130"/>
      <c r="K32" s="1130"/>
      <c r="L32" s="1130"/>
      <c r="M32" s="1121"/>
    </row>
    <row r="33" spans="1:13" ht="14.25">
      <c r="A33" s="1109"/>
      <c r="B33" s="1148"/>
      <c r="C33" s="1109"/>
      <c r="D33" s="1131" t="s">
        <v>834</v>
      </c>
      <c r="F33" s="1109"/>
      <c r="G33" s="1848">
        <v>-7.6416120000000004E-2</v>
      </c>
      <c r="H33" s="1146"/>
      <c r="I33" s="1143"/>
      <c r="J33" s="1143"/>
      <c r="K33" s="1143"/>
      <c r="L33" s="1143"/>
      <c r="M33" s="1149"/>
    </row>
    <row r="34" spans="1:13" ht="15.75" thickBot="1">
      <c r="A34" s="1109"/>
      <c r="B34" s="1148"/>
      <c r="C34" s="1109"/>
      <c r="D34" s="1033"/>
      <c r="E34" s="1150" t="s">
        <v>245</v>
      </c>
      <c r="F34" s="1033"/>
      <c r="G34" s="1151">
        <f>SUM(G31:G33)</f>
        <v>-0.42466961999999997</v>
      </c>
      <c r="H34" s="1146"/>
      <c r="I34" s="1143"/>
      <c r="J34" s="1143"/>
      <c r="K34" s="1143"/>
      <c r="L34" s="1143"/>
      <c r="M34" s="1149"/>
    </row>
    <row r="35" spans="1:13" ht="14.25" thickTop="1" thickBot="1">
      <c r="A35" s="1109"/>
      <c r="B35" s="1148"/>
      <c r="C35" s="1112"/>
      <c r="D35" s="1033"/>
      <c r="E35" s="1033"/>
      <c r="F35" s="1033"/>
      <c r="G35" s="1146"/>
      <c r="H35" s="1146"/>
      <c r="I35" s="1143"/>
      <c r="J35" s="1143"/>
      <c r="K35" s="1143"/>
      <c r="L35" s="1143"/>
      <c r="M35" s="1149"/>
    </row>
    <row r="36" spans="1:13" ht="38.25">
      <c r="A36" s="1109"/>
      <c r="B36" s="1098"/>
      <c r="C36" s="1033"/>
      <c r="D36" s="1033"/>
      <c r="E36" s="2179" t="s">
        <v>155</v>
      </c>
      <c r="F36" s="2180"/>
      <c r="G36" s="1236" t="s">
        <v>8</v>
      </c>
      <c r="H36" s="1236" t="s">
        <v>9</v>
      </c>
      <c r="I36" s="1236" t="s">
        <v>10</v>
      </c>
      <c r="J36" s="1236" t="s">
        <v>11</v>
      </c>
      <c r="K36" s="1237" t="s">
        <v>443</v>
      </c>
      <c r="L36" s="2177" t="s">
        <v>12</v>
      </c>
      <c r="M36" s="1149"/>
    </row>
    <row r="37" spans="1:13">
      <c r="A37" s="1109"/>
      <c r="B37" s="1098"/>
      <c r="C37" s="1033"/>
      <c r="D37" s="1033"/>
      <c r="E37" s="2175" t="s">
        <v>13</v>
      </c>
      <c r="F37" s="2176"/>
      <c r="G37" s="1152" t="s">
        <v>14</v>
      </c>
      <c r="H37" s="1152" t="s">
        <v>14</v>
      </c>
      <c r="I37" s="1152" t="s">
        <v>14</v>
      </c>
      <c r="J37" s="1152" t="s">
        <v>14</v>
      </c>
      <c r="K37" s="1238" t="s">
        <v>14</v>
      </c>
      <c r="L37" s="2178"/>
      <c r="M37" s="1149"/>
    </row>
    <row r="38" spans="1:13" ht="14.25">
      <c r="A38" s="1109"/>
      <c r="B38" s="1098"/>
      <c r="C38" s="1033"/>
      <c r="D38" s="1033"/>
      <c r="E38" s="1849" t="s">
        <v>1171</v>
      </c>
      <c r="F38" s="1850"/>
      <c r="G38" s="1851">
        <v>0.51624532999999995</v>
      </c>
      <c r="H38" s="1851">
        <v>0.26987753000000003</v>
      </c>
      <c r="I38" s="1852">
        <f t="shared" ref="I38:I50" si="0">+G38-H38</f>
        <v>0.24636779999999991</v>
      </c>
      <c r="J38" s="1851"/>
      <c r="K38" s="1852">
        <f>+I38-J38</f>
        <v>0.24636779999999991</v>
      </c>
      <c r="L38" s="1853"/>
      <c r="M38" s="1149"/>
    </row>
    <row r="39" spans="1:13" ht="14.25">
      <c r="A39" s="1109"/>
      <c r="B39" s="1098"/>
      <c r="C39" s="1033"/>
      <c r="D39" s="1033"/>
      <c r="E39" s="1849" t="s">
        <v>1172</v>
      </c>
      <c r="F39" s="1850"/>
      <c r="G39" s="1851">
        <v>1.2436879999999999</v>
      </c>
      <c r="H39" s="1851">
        <v>1.0488601000000002</v>
      </c>
      <c r="I39" s="1852">
        <f t="shared" si="0"/>
        <v>0.19482789999999972</v>
      </c>
      <c r="J39" s="1851"/>
      <c r="K39" s="1852">
        <f t="shared" ref="K39:K50" si="1">+I39-J39</f>
        <v>0.19482789999999972</v>
      </c>
      <c r="L39" s="1854"/>
      <c r="M39" s="1149"/>
    </row>
    <row r="40" spans="1:13" ht="14.25">
      <c r="A40" s="1109"/>
      <c r="B40" s="1098"/>
      <c r="C40" s="1033"/>
      <c r="D40" s="1033"/>
      <c r="E40" s="1849" t="s">
        <v>721</v>
      </c>
      <c r="F40" s="1850"/>
      <c r="G40" s="1851">
        <v>0.42553903000000004</v>
      </c>
      <c r="H40" s="1851">
        <v>0.42553902999999998</v>
      </c>
      <c r="I40" s="1852">
        <f t="shared" si="0"/>
        <v>0</v>
      </c>
      <c r="J40" s="1851">
        <v>7.6416120000000004E-2</v>
      </c>
      <c r="K40" s="1852">
        <f t="shared" si="1"/>
        <v>-7.6416120000000004E-2</v>
      </c>
      <c r="L40" s="1854"/>
      <c r="M40" s="1149"/>
    </row>
    <row r="41" spans="1:13" ht="14.25">
      <c r="A41" s="1109"/>
      <c r="B41" s="1098"/>
      <c r="C41" s="1033"/>
      <c r="D41" s="1033"/>
      <c r="E41" s="1849" t="s">
        <v>1173</v>
      </c>
      <c r="F41" s="1850"/>
      <c r="G41" s="1851"/>
      <c r="H41" s="1851"/>
      <c r="I41" s="1852">
        <f t="shared" si="0"/>
        <v>0</v>
      </c>
      <c r="J41" s="1851">
        <v>0.34825349999999999</v>
      </c>
      <c r="K41" s="1852">
        <f t="shared" si="1"/>
        <v>-0.34825349999999999</v>
      </c>
      <c r="L41" s="1854"/>
      <c r="M41" s="1149"/>
    </row>
    <row r="42" spans="1:13" ht="14.25">
      <c r="A42" s="1109"/>
      <c r="B42" s="1098"/>
      <c r="C42" s="1033"/>
      <c r="D42" s="1033"/>
      <c r="E42" s="1849"/>
      <c r="F42" s="1850"/>
      <c r="G42" s="1851"/>
      <c r="H42" s="1851"/>
      <c r="I42" s="1852">
        <f t="shared" si="0"/>
        <v>0</v>
      </c>
      <c r="J42" s="1851"/>
      <c r="K42" s="1852">
        <f t="shared" si="1"/>
        <v>0</v>
      </c>
      <c r="L42" s="1854"/>
      <c r="M42" s="1149"/>
    </row>
    <row r="43" spans="1:13" ht="14.25">
      <c r="A43" s="1109"/>
      <c r="B43" s="1098"/>
      <c r="C43" s="1033"/>
      <c r="D43" s="1033"/>
      <c r="E43" s="1849"/>
      <c r="F43" s="1850"/>
      <c r="G43" s="1851"/>
      <c r="H43" s="1851"/>
      <c r="I43" s="1852">
        <f t="shared" si="0"/>
        <v>0</v>
      </c>
      <c r="J43" s="1851"/>
      <c r="K43" s="1852">
        <f t="shared" si="1"/>
        <v>0</v>
      </c>
      <c r="L43" s="1854"/>
      <c r="M43" s="1149"/>
    </row>
    <row r="44" spans="1:13" ht="14.25">
      <c r="A44" s="1109"/>
      <c r="B44" s="1098"/>
      <c r="C44" s="1033"/>
      <c r="D44" s="1033"/>
      <c r="E44" s="1849"/>
      <c r="F44" s="1850"/>
      <c r="G44" s="1851"/>
      <c r="H44" s="1851"/>
      <c r="I44" s="1852">
        <f t="shared" si="0"/>
        <v>0</v>
      </c>
      <c r="J44" s="1851"/>
      <c r="K44" s="1852">
        <f t="shared" si="1"/>
        <v>0</v>
      </c>
      <c r="L44" s="1854"/>
      <c r="M44" s="1149"/>
    </row>
    <row r="45" spans="1:13" ht="14.25">
      <c r="A45" s="1109"/>
      <c r="B45" s="1098"/>
      <c r="C45" s="1033"/>
      <c r="D45" s="1033"/>
      <c r="E45" s="1849"/>
      <c r="F45" s="1850"/>
      <c r="G45" s="1851"/>
      <c r="H45" s="1851"/>
      <c r="I45" s="1852">
        <f t="shared" si="0"/>
        <v>0</v>
      </c>
      <c r="J45" s="1851"/>
      <c r="K45" s="1852">
        <f t="shared" si="1"/>
        <v>0</v>
      </c>
      <c r="L45" s="1854"/>
      <c r="M45" s="1149"/>
    </row>
    <row r="46" spans="1:13" ht="14.25">
      <c r="A46" s="1109"/>
      <c r="B46" s="1098"/>
      <c r="C46" s="1033"/>
      <c r="D46" s="1033"/>
      <c r="E46" s="1849"/>
      <c r="F46" s="1850"/>
      <c r="G46" s="1851"/>
      <c r="H46" s="1851"/>
      <c r="I46" s="1852">
        <f t="shared" si="0"/>
        <v>0</v>
      </c>
      <c r="J46" s="1851"/>
      <c r="K46" s="1852">
        <f t="shared" si="1"/>
        <v>0</v>
      </c>
      <c r="L46" s="1854"/>
      <c r="M46" s="1149"/>
    </row>
    <row r="47" spans="1:13" ht="14.25">
      <c r="A47" s="1109"/>
      <c r="B47" s="1098"/>
      <c r="C47" s="1033"/>
      <c r="D47" s="1033"/>
      <c r="E47" s="1849"/>
      <c r="F47" s="1850"/>
      <c r="G47" s="1851"/>
      <c r="H47" s="1851"/>
      <c r="I47" s="1852">
        <f t="shared" si="0"/>
        <v>0</v>
      </c>
      <c r="J47" s="1851"/>
      <c r="K47" s="1852">
        <f t="shared" si="1"/>
        <v>0</v>
      </c>
      <c r="L47" s="1854"/>
      <c r="M47" s="1149"/>
    </row>
    <row r="48" spans="1:13" ht="14.25">
      <c r="A48" s="1109"/>
      <c r="B48" s="1098"/>
      <c r="C48" s="1033"/>
      <c r="D48" s="1033"/>
      <c r="E48" s="1849"/>
      <c r="F48" s="1850"/>
      <c r="G48" s="1851"/>
      <c r="H48" s="1851"/>
      <c r="I48" s="1852">
        <f t="shared" si="0"/>
        <v>0</v>
      </c>
      <c r="J48" s="1851"/>
      <c r="K48" s="1852">
        <f t="shared" si="1"/>
        <v>0</v>
      </c>
      <c r="L48" s="1854"/>
      <c r="M48" s="1149"/>
    </row>
    <row r="49" spans="1:13" ht="14.25">
      <c r="A49" s="1109"/>
      <c r="B49" s="1098"/>
      <c r="C49" s="1033"/>
      <c r="D49" s="1033"/>
      <c r="E49" s="1849"/>
      <c r="F49" s="1850"/>
      <c r="G49" s="1851"/>
      <c r="H49" s="1851"/>
      <c r="I49" s="1852">
        <f t="shared" si="0"/>
        <v>0</v>
      </c>
      <c r="J49" s="1851"/>
      <c r="K49" s="1852">
        <f t="shared" si="1"/>
        <v>0</v>
      </c>
      <c r="L49" s="1854"/>
      <c r="M49" s="1149"/>
    </row>
    <row r="50" spans="1:13" ht="14.25">
      <c r="A50" s="1109"/>
      <c r="B50" s="1098"/>
      <c r="C50" s="1033"/>
      <c r="D50" s="1033"/>
      <c r="E50" s="1849"/>
      <c r="F50" s="1850"/>
      <c r="G50" s="1851"/>
      <c r="H50" s="1851"/>
      <c r="I50" s="1852">
        <f t="shared" si="0"/>
        <v>0</v>
      </c>
      <c r="J50" s="1851"/>
      <c r="K50" s="1852">
        <f t="shared" si="1"/>
        <v>0</v>
      </c>
      <c r="L50" s="1855"/>
      <c r="M50" s="1149"/>
    </row>
    <row r="51" spans="1:13" ht="15.75" thickBot="1">
      <c r="A51" s="1109"/>
      <c r="B51" s="1098"/>
      <c r="C51" s="1033"/>
      <c r="D51" s="1033"/>
      <c r="E51" s="1183" t="s">
        <v>245</v>
      </c>
      <c r="F51" s="1183"/>
      <c r="G51" s="1856">
        <f>SUM(G38:G50)</f>
        <v>2.1854723599999999</v>
      </c>
      <c r="H51" s="1856">
        <f>SUM(H38:H50)</f>
        <v>1.7442766600000001</v>
      </c>
      <c r="I51" s="1856">
        <f>SUM(I38:I50)</f>
        <v>0.44119569999999964</v>
      </c>
      <c r="J51" s="1856">
        <f>SUM(J38:J50)</f>
        <v>0.42466961999999997</v>
      </c>
      <c r="K51" s="1856">
        <f>SUM(K38:K50)</f>
        <v>1.6526079999999665E-2</v>
      </c>
      <c r="L51" s="1109"/>
      <c r="M51" s="1149"/>
    </row>
    <row r="52" spans="1:13">
      <c r="A52" s="1109"/>
      <c r="B52" s="1098"/>
      <c r="C52" s="1033"/>
      <c r="D52" s="1033"/>
      <c r="E52" s="1033"/>
      <c r="F52" s="1033"/>
      <c r="G52" s="1109"/>
      <c r="H52" s="1109"/>
      <c r="I52" s="1109"/>
      <c r="J52" s="1153" t="s">
        <v>722</v>
      </c>
      <c r="K52" s="1153" t="s">
        <v>722</v>
      </c>
      <c r="L52" s="1109"/>
      <c r="M52" s="1149"/>
    </row>
    <row r="53" spans="1:13" ht="13.5" thickBot="1">
      <c r="A53" s="1109"/>
      <c r="B53" s="1098"/>
      <c r="C53" s="1033"/>
      <c r="D53" s="1033"/>
      <c r="E53" s="1033"/>
      <c r="F53" s="1033"/>
      <c r="G53" s="1109"/>
      <c r="H53" s="1109"/>
      <c r="I53" s="1109"/>
      <c r="J53" s="1109"/>
      <c r="K53" s="1109"/>
      <c r="L53" s="1109"/>
      <c r="M53" s="1149"/>
    </row>
    <row r="54" spans="1:13" ht="13.5" thickBot="1">
      <c r="A54" s="1109"/>
      <c r="B54" s="1098"/>
      <c r="C54" s="1114" t="s">
        <v>723</v>
      </c>
      <c r="E54" s="1155"/>
      <c r="F54" s="1109"/>
      <c r="G54" s="1145" t="s">
        <v>14</v>
      </c>
      <c r="H54" s="1145" t="s">
        <v>14</v>
      </c>
      <c r="I54" s="1109"/>
      <c r="J54" s="1143"/>
      <c r="K54" s="1143"/>
      <c r="L54" s="1143"/>
      <c r="M54" s="1156"/>
    </row>
    <row r="55" spans="1:13" ht="26.25" thickBot="1">
      <c r="A55" s="1109"/>
      <c r="B55" s="1098"/>
      <c r="C55" s="1033"/>
      <c r="D55" s="1109"/>
      <c r="E55" s="1109"/>
      <c r="F55" s="1109"/>
      <c r="G55" s="1157"/>
      <c r="H55" s="1158" t="s">
        <v>724</v>
      </c>
      <c r="I55" s="1109"/>
      <c r="J55" s="1143"/>
      <c r="K55" s="1143"/>
      <c r="L55" s="1143"/>
      <c r="M55" s="1156"/>
    </row>
    <row r="56" spans="1:13">
      <c r="A56" s="1109"/>
      <c r="B56" s="1098"/>
      <c r="D56" s="1155" t="s">
        <v>725</v>
      </c>
      <c r="F56" s="1109"/>
      <c r="G56" s="1147">
        <v>0</v>
      </c>
      <c r="H56" s="1159">
        <v>0</v>
      </c>
      <c r="I56" s="1109"/>
      <c r="J56" s="1143"/>
      <c r="K56" s="1143"/>
      <c r="L56" s="1143"/>
      <c r="M56" s="1156"/>
    </row>
    <row r="57" spans="1:13" ht="13.5" thickBot="1">
      <c r="A57" s="1109"/>
      <c r="B57" s="1098"/>
      <c r="D57" s="1155" t="s">
        <v>726</v>
      </c>
      <c r="F57" s="1109"/>
      <c r="G57" s="1147">
        <v>0</v>
      </c>
      <c r="H57" s="1160">
        <v>0</v>
      </c>
      <c r="I57" s="1109"/>
      <c r="J57" s="1143"/>
      <c r="K57" s="1143"/>
      <c r="L57" s="1143"/>
      <c r="M57" s="1156"/>
    </row>
    <row r="58" spans="1:13" ht="13.5" thickBot="1">
      <c r="A58" s="1109"/>
      <c r="B58" s="1098"/>
      <c r="C58" s="1033"/>
      <c r="E58" s="1150" t="s">
        <v>727</v>
      </c>
      <c r="F58" s="1109"/>
      <c r="G58" s="1161">
        <v>0</v>
      </c>
      <c r="H58" s="1143"/>
      <c r="I58" s="1109"/>
      <c r="J58" s="1143"/>
      <c r="K58" s="1143"/>
      <c r="L58" s="1143"/>
      <c r="M58" s="1156"/>
    </row>
    <row r="59" spans="1:13" ht="14.25" thickTop="1" thickBot="1">
      <c r="A59" s="1109"/>
      <c r="B59" s="1098"/>
      <c r="C59" s="1033"/>
      <c r="D59" s="1033"/>
      <c r="E59" s="1150"/>
      <c r="F59" s="1109"/>
      <c r="G59" s="1143"/>
      <c r="H59" s="1143"/>
      <c r="I59" s="1109"/>
      <c r="J59" s="1143"/>
      <c r="K59" s="1143"/>
      <c r="L59" s="1143"/>
      <c r="M59" s="1156"/>
    </row>
    <row r="60" spans="1:13" ht="73.5" customHeight="1" thickBot="1">
      <c r="A60" s="1109"/>
      <c r="B60" s="1098"/>
      <c r="C60" s="2169" t="s">
        <v>95</v>
      </c>
      <c r="D60" s="2169"/>
      <c r="E60" s="2169"/>
      <c r="F60" s="1109"/>
      <c r="G60" s="1162" t="s">
        <v>245</v>
      </c>
      <c r="H60" s="1163" t="s">
        <v>96</v>
      </c>
      <c r="I60" s="1163" t="s">
        <v>97</v>
      </c>
      <c r="J60" s="1163" t="s">
        <v>98</v>
      </c>
      <c r="K60" s="1163" t="s">
        <v>99</v>
      </c>
      <c r="L60" s="1143"/>
      <c r="M60" s="1149"/>
    </row>
    <row r="61" spans="1:13" ht="13.5" thickBot="1">
      <c r="A61" s="1109"/>
      <c r="B61" s="1148"/>
      <c r="C61" s="1112"/>
      <c r="D61" s="1114"/>
      <c r="E61" s="1080"/>
      <c r="F61" s="1033"/>
      <c r="G61" s="1145" t="s">
        <v>14</v>
      </c>
      <c r="H61" s="1145" t="s">
        <v>14</v>
      </c>
      <c r="I61" s="1145" t="s">
        <v>14</v>
      </c>
      <c r="J61" s="1145" t="s">
        <v>14</v>
      </c>
      <c r="K61" s="1145" t="s">
        <v>14</v>
      </c>
      <c r="L61" s="1143"/>
      <c r="M61" s="1149"/>
    </row>
    <row r="62" spans="1:13">
      <c r="A62" s="1109"/>
      <c r="B62" s="1148"/>
      <c r="D62" s="2163" t="s">
        <v>100</v>
      </c>
      <c r="E62" s="2163"/>
      <c r="F62" s="2164"/>
      <c r="G62" s="1164">
        <v>0</v>
      </c>
      <c r="H62" s="1165">
        <v>0</v>
      </c>
      <c r="I62" s="1166">
        <v>0</v>
      </c>
      <c r="J62" s="1166">
        <v>0</v>
      </c>
      <c r="K62" s="1167">
        <v>0</v>
      </c>
      <c r="L62" s="1143"/>
      <c r="M62" s="1149"/>
    </row>
    <row r="63" spans="1:13" ht="24.75" customHeight="1" thickBot="1">
      <c r="A63" s="1109"/>
      <c r="B63" s="1148"/>
      <c r="D63" s="2163" t="s">
        <v>176</v>
      </c>
      <c r="E63" s="2163"/>
      <c r="F63" s="2164"/>
      <c r="G63" s="1168">
        <v>0</v>
      </c>
      <c r="H63" s="1169">
        <v>0</v>
      </c>
      <c r="I63" s="1170">
        <v>0</v>
      </c>
      <c r="J63" s="1170">
        <v>0</v>
      </c>
      <c r="K63" s="1171">
        <v>0</v>
      </c>
      <c r="L63" s="1143"/>
      <c r="M63" s="1149"/>
    </row>
    <row r="64" spans="1:13" ht="13.5" thickBot="1">
      <c r="A64" s="1109"/>
      <c r="B64" s="1148"/>
      <c r="C64" s="1112"/>
      <c r="D64" s="1033"/>
      <c r="E64" s="1033"/>
      <c r="F64" s="1033"/>
      <c r="G64" s="1146"/>
      <c r="H64" s="1146"/>
      <c r="I64" s="1143"/>
      <c r="J64" s="1143"/>
      <c r="K64" s="1143"/>
      <c r="L64" s="1143"/>
      <c r="M64" s="1149"/>
    </row>
    <row r="65" spans="1:13" ht="90" thickBot="1">
      <c r="A65" s="1109"/>
      <c r="B65" s="1098"/>
      <c r="C65" s="2169" t="s">
        <v>40</v>
      </c>
      <c r="D65" s="2169"/>
      <c r="E65" s="2169"/>
      <c r="F65" s="1109"/>
      <c r="G65" s="1172" t="s">
        <v>245</v>
      </c>
      <c r="H65" s="1173" t="s">
        <v>747</v>
      </c>
      <c r="I65" s="1173" t="s">
        <v>211</v>
      </c>
      <c r="J65" s="1173" t="s">
        <v>212</v>
      </c>
      <c r="K65" s="1173" t="s">
        <v>213</v>
      </c>
      <c r="L65" s="1173" t="s">
        <v>214</v>
      </c>
      <c r="M65" s="1149"/>
    </row>
    <row r="66" spans="1:13" ht="13.5" thickBot="1">
      <c r="A66" s="1109"/>
      <c r="B66" s="1098"/>
      <c r="C66" s="1033"/>
      <c r="D66" s="1155"/>
      <c r="E66" s="1109"/>
      <c r="F66" s="1109"/>
      <c r="G66" s="1145" t="s">
        <v>14</v>
      </c>
      <c r="H66" s="1145" t="s">
        <v>14</v>
      </c>
      <c r="I66" s="1145" t="s">
        <v>14</v>
      </c>
      <c r="J66" s="1145" t="s">
        <v>14</v>
      </c>
      <c r="K66" s="1145" t="s">
        <v>14</v>
      </c>
      <c r="L66" s="1145" t="s">
        <v>14</v>
      </c>
      <c r="M66" s="1149"/>
    </row>
    <row r="67" spans="1:13" ht="14.25">
      <c r="A67" s="1109"/>
      <c r="B67" s="1098"/>
      <c r="D67" s="1132" t="s">
        <v>215</v>
      </c>
      <c r="F67" s="1109"/>
      <c r="G67" s="1857">
        <f>SUM(H67:L67)</f>
        <v>0.364514</v>
      </c>
      <c r="H67" s="1858">
        <v>0.20150799999999999</v>
      </c>
      <c r="I67" s="1859">
        <v>5.4666000000000006E-2</v>
      </c>
      <c r="J67" s="1859">
        <v>0.10834000000000001</v>
      </c>
      <c r="K67" s="1174"/>
      <c r="L67" s="1175"/>
      <c r="M67" s="1149"/>
    </row>
    <row r="68" spans="1:13">
      <c r="A68" s="1109"/>
      <c r="B68" s="1098"/>
      <c r="D68" s="1155" t="s">
        <v>107</v>
      </c>
      <c r="F68" s="1109"/>
      <c r="G68" s="1176"/>
      <c r="H68" s="1177"/>
      <c r="I68" s="1178"/>
      <c r="J68" s="1178"/>
      <c r="K68" s="1174"/>
      <c r="L68" s="1175"/>
      <c r="M68" s="1149"/>
    </row>
    <row r="69" spans="1:13">
      <c r="A69" s="1109"/>
      <c r="B69" s="1098"/>
      <c r="D69" s="1155" t="s">
        <v>108</v>
      </c>
      <c r="F69" s="1109"/>
      <c r="G69" s="1176"/>
      <c r="H69" s="1177"/>
      <c r="I69" s="1178"/>
      <c r="J69" s="1178"/>
      <c r="K69" s="1174"/>
      <c r="L69" s="1175"/>
      <c r="M69" s="1149"/>
    </row>
    <row r="70" spans="1:13">
      <c r="A70" s="1109"/>
      <c r="B70" s="1098"/>
      <c r="D70" s="1155" t="s">
        <v>109</v>
      </c>
      <c r="F70" s="1109"/>
      <c r="G70" s="1176"/>
      <c r="H70" s="1179"/>
      <c r="I70" s="1180"/>
      <c r="J70" s="1180"/>
      <c r="K70" s="1181"/>
      <c r="L70" s="1182"/>
      <c r="M70" s="1149"/>
    </row>
    <row r="71" spans="1:13" ht="15.75" thickBot="1">
      <c r="A71" s="1109"/>
      <c r="B71" s="1098"/>
      <c r="C71" s="1033"/>
      <c r="D71" s="1033"/>
      <c r="E71" s="1150" t="s">
        <v>110</v>
      </c>
      <c r="F71" s="1109"/>
      <c r="G71" s="1860">
        <f t="shared" ref="G71:L71" si="2">SUM(G67:G70)</f>
        <v>0.364514</v>
      </c>
      <c r="H71" s="1860">
        <f t="shared" si="2"/>
        <v>0.20150799999999999</v>
      </c>
      <c r="I71" s="1860">
        <f t="shared" si="2"/>
        <v>5.4666000000000006E-2</v>
      </c>
      <c r="J71" s="1860">
        <f t="shared" si="2"/>
        <v>0.10834000000000001</v>
      </c>
      <c r="K71" s="1860">
        <f t="shared" si="2"/>
        <v>0</v>
      </c>
      <c r="L71" s="1860">
        <f t="shared" si="2"/>
        <v>0</v>
      </c>
      <c r="M71" s="1149"/>
    </row>
    <row r="72" spans="1:13" ht="13.5" thickBot="1">
      <c r="A72" s="1109"/>
      <c r="B72" s="1184"/>
      <c r="C72" s="1185"/>
      <c r="D72" s="1185"/>
      <c r="E72" s="1186"/>
      <c r="F72" s="1187"/>
      <c r="G72" s="1186"/>
      <c r="H72" s="1188"/>
      <c r="I72" s="1189"/>
      <c r="J72" s="1189"/>
      <c r="K72" s="1189"/>
      <c r="L72" s="1189"/>
      <c r="M72" s="1190"/>
    </row>
    <row r="73" spans="1:13" ht="13.5" thickBot="1">
      <c r="A73" s="1109"/>
      <c r="B73" s="1109"/>
      <c r="C73" s="1187"/>
      <c r="D73" s="1109"/>
      <c r="E73" s="1109"/>
      <c r="F73" s="1109"/>
      <c r="G73" s="1143"/>
      <c r="H73" s="1143"/>
      <c r="I73" s="1143"/>
      <c r="J73" s="1143"/>
      <c r="K73" s="1143"/>
      <c r="L73" s="1143"/>
      <c r="M73" s="1109"/>
    </row>
    <row r="74" spans="1:13">
      <c r="A74" s="1109"/>
      <c r="B74" s="1113"/>
      <c r="C74" s="1114" t="s">
        <v>111</v>
      </c>
      <c r="D74" s="1116"/>
      <c r="E74" s="1191"/>
      <c r="F74" s="1116"/>
      <c r="G74" s="1142"/>
      <c r="H74" s="1142"/>
      <c r="I74" s="1141"/>
      <c r="J74" s="1141"/>
      <c r="K74" s="1141"/>
      <c r="L74" s="1141"/>
      <c r="M74" s="1192"/>
    </row>
    <row r="75" spans="1:13" ht="13.5" thickBot="1">
      <c r="A75" s="1109"/>
      <c r="B75" s="1119"/>
      <c r="C75" s="1154"/>
      <c r="D75" s="1108"/>
      <c r="E75" s="1126"/>
      <c r="F75" s="1108"/>
      <c r="G75" s="1130"/>
      <c r="H75" s="1130"/>
      <c r="I75" s="1143"/>
      <c r="J75" s="1143"/>
      <c r="K75" s="1143"/>
      <c r="L75" s="1143"/>
      <c r="M75" s="1149"/>
    </row>
    <row r="76" spans="1:13" ht="90" customHeight="1" thickBot="1">
      <c r="A76" s="1109"/>
      <c r="B76" s="1098"/>
      <c r="C76" s="2169" t="s">
        <v>94</v>
      </c>
      <c r="D76" s="2169"/>
      <c r="E76" s="2169"/>
      <c r="F76" s="2170"/>
      <c r="G76" s="1172" t="s">
        <v>245</v>
      </c>
      <c r="H76" s="1173" t="s">
        <v>747</v>
      </c>
      <c r="I76" s="1173" t="s">
        <v>211</v>
      </c>
      <c r="J76" s="1173" t="s">
        <v>212</v>
      </c>
      <c r="K76" s="1173" t="s">
        <v>213</v>
      </c>
      <c r="L76" s="1173" t="s">
        <v>214</v>
      </c>
      <c r="M76" s="1149"/>
    </row>
    <row r="77" spans="1:13" ht="13.5" thickBot="1">
      <c r="A77" s="1109"/>
      <c r="B77" s="1098"/>
      <c r="C77" s="1033"/>
      <c r="D77" s="1155"/>
      <c r="E77" s="1109"/>
      <c r="F77" s="1109"/>
      <c r="G77" s="1145" t="s">
        <v>14</v>
      </c>
      <c r="H77" s="1145" t="s">
        <v>14</v>
      </c>
      <c r="I77" s="1145" t="s">
        <v>14</v>
      </c>
      <c r="J77" s="1145" t="s">
        <v>14</v>
      </c>
      <c r="K77" s="1145" t="s">
        <v>14</v>
      </c>
      <c r="L77" s="1145" t="s">
        <v>14</v>
      </c>
      <c r="M77" s="1149"/>
    </row>
    <row r="78" spans="1:13">
      <c r="A78" s="1109"/>
      <c r="B78" s="1098"/>
      <c r="C78" s="1033"/>
      <c r="D78" s="1033" t="s">
        <v>107</v>
      </c>
      <c r="E78" s="1033"/>
      <c r="G78" s="1193">
        <v>0</v>
      </c>
      <c r="H78" s="1194"/>
      <c r="I78" s="1195"/>
      <c r="J78" s="1195"/>
      <c r="K78" s="1196"/>
      <c r="L78" s="1197"/>
      <c r="M78" s="1149"/>
    </row>
    <row r="79" spans="1:13">
      <c r="A79" s="1109"/>
      <c r="B79" s="1098"/>
      <c r="C79" s="1033"/>
      <c r="D79" s="1033" t="s">
        <v>108</v>
      </c>
      <c r="E79" s="1033"/>
      <c r="G79" s="1193">
        <v>0</v>
      </c>
      <c r="H79" s="1194"/>
      <c r="I79" s="1195"/>
      <c r="J79" s="1195"/>
      <c r="K79" s="1196"/>
      <c r="L79" s="1197"/>
      <c r="M79" s="1149"/>
    </row>
    <row r="80" spans="1:13">
      <c r="A80" s="1109"/>
      <c r="B80" s="1098"/>
      <c r="C80" s="1033"/>
      <c r="D80" s="1033" t="s">
        <v>109</v>
      </c>
      <c r="E80" s="1033"/>
      <c r="G80" s="1193">
        <v>0</v>
      </c>
      <c r="H80" s="1198"/>
      <c r="I80" s="1199"/>
      <c r="J80" s="1199"/>
      <c r="K80" s="1200"/>
      <c r="L80" s="1201"/>
      <c r="M80" s="1149"/>
    </row>
    <row r="81" spans="1:13" ht="13.5" thickBot="1">
      <c r="A81" s="1109"/>
      <c r="B81" s="1098"/>
      <c r="C81" s="1033"/>
      <c r="D81" s="1033"/>
      <c r="F81" s="1235" t="s">
        <v>245</v>
      </c>
      <c r="G81" s="1202">
        <v>0</v>
      </c>
      <c r="H81" s="1202">
        <v>0</v>
      </c>
      <c r="I81" s="1202">
        <v>0</v>
      </c>
      <c r="J81" s="1202">
        <v>0</v>
      </c>
      <c r="K81" s="1202">
        <v>0</v>
      </c>
      <c r="L81" s="1202">
        <v>0</v>
      </c>
      <c r="M81" s="1149"/>
    </row>
    <row r="82" spans="1:13" ht="13.5" thickBot="1">
      <c r="A82" s="1109"/>
      <c r="B82" s="1098"/>
      <c r="C82" s="1033"/>
      <c r="D82" s="1033"/>
      <c r="E82" s="1155"/>
      <c r="F82" s="1109"/>
      <c r="G82" s="1203"/>
      <c r="H82" s="1203"/>
      <c r="I82" s="1143"/>
      <c r="J82" s="1143"/>
      <c r="K82" s="1143"/>
      <c r="L82" s="1143"/>
      <c r="M82" s="1149"/>
    </row>
    <row r="83" spans="1:13" ht="27" customHeight="1" thickBot="1">
      <c r="A83" s="1109"/>
      <c r="B83" s="1098"/>
      <c r="C83" s="2173" t="s">
        <v>187</v>
      </c>
      <c r="D83" s="2173"/>
      <c r="E83" s="2173"/>
      <c r="F83" s="2174"/>
      <c r="G83" s="1205">
        <v>0</v>
      </c>
      <c r="H83" s="1206"/>
      <c r="I83" s="1207">
        <v>0</v>
      </c>
      <c r="J83" s="1206"/>
      <c r="K83" s="1208"/>
      <c r="L83" s="1209"/>
      <c r="M83" s="1149"/>
    </row>
    <row r="84" spans="1:13" ht="13.5" thickBot="1">
      <c r="A84" s="1109"/>
      <c r="B84" s="1184"/>
      <c r="C84" s="1185"/>
      <c r="D84" s="1185"/>
      <c r="E84" s="1210"/>
      <c r="F84" s="1187"/>
      <c r="G84" s="1211"/>
      <c r="H84" s="1212"/>
      <c r="I84" s="1211"/>
      <c r="J84" s="1211"/>
      <c r="K84" s="1211"/>
      <c r="L84" s="1211"/>
      <c r="M84" s="1213"/>
    </row>
    <row r="85" spans="1:13" ht="13.5" thickBot="1">
      <c r="A85" s="1155"/>
      <c r="B85" s="1155"/>
      <c r="C85" s="1157"/>
      <c r="D85" s="1033"/>
      <c r="E85" s="1155"/>
      <c r="F85" s="1109"/>
      <c r="G85" s="1143"/>
      <c r="H85" s="1203"/>
      <c r="I85" s="1143"/>
      <c r="J85" s="1143"/>
      <c r="K85" s="1143"/>
      <c r="L85" s="1143"/>
      <c r="M85" s="1109"/>
    </row>
    <row r="86" spans="1:13" ht="13.5" thickBot="1">
      <c r="A86" s="1109"/>
      <c r="B86" s="1214"/>
      <c r="C86" s="1139" t="s">
        <v>175</v>
      </c>
      <c r="D86" s="1215"/>
      <c r="E86" s="1216"/>
      <c r="F86" s="1217"/>
      <c r="G86" s="1218"/>
      <c r="H86" s="1218"/>
      <c r="I86" s="1219"/>
      <c r="J86" s="1143"/>
      <c r="K86" s="1143"/>
      <c r="L86" s="1143"/>
      <c r="M86" s="1109"/>
    </row>
    <row r="87" spans="1:13" ht="13.5" thickBot="1">
      <c r="A87" s="1109"/>
      <c r="B87" s="1098"/>
      <c r="C87" s="1033"/>
      <c r="D87" s="1033"/>
      <c r="E87" s="1150"/>
      <c r="F87" s="1109"/>
      <c r="G87" s="1145" t="s">
        <v>14</v>
      </c>
      <c r="H87" s="1203"/>
      <c r="I87" s="1156"/>
      <c r="J87" s="1143"/>
      <c r="K87" s="1143"/>
      <c r="L87" s="1143"/>
      <c r="M87" s="1109"/>
    </row>
    <row r="88" spans="1:13" ht="29.25" customHeight="1" thickBot="1">
      <c r="A88" s="1109"/>
      <c r="B88" s="1098"/>
      <c r="C88" s="2169" t="s">
        <v>658</v>
      </c>
      <c r="D88" s="2169"/>
      <c r="E88" s="2169"/>
      <c r="F88" s="2170"/>
      <c r="G88" s="1234"/>
      <c r="H88" s="1143"/>
      <c r="I88" s="1156"/>
      <c r="J88" s="1143"/>
      <c r="K88" s="1143"/>
      <c r="L88" s="1143"/>
      <c r="M88" s="1109"/>
    </row>
    <row r="89" spans="1:13" ht="27" customHeight="1" thickBot="1">
      <c r="A89" s="1109"/>
      <c r="B89" s="1098"/>
      <c r="C89" s="2169" t="s">
        <v>914</v>
      </c>
      <c r="D89" s="2169"/>
      <c r="E89" s="2169"/>
      <c r="F89" s="2170"/>
      <c r="G89" s="1220">
        <v>0</v>
      </c>
      <c r="H89" s="1143"/>
      <c r="I89" s="1156"/>
      <c r="J89" s="1143"/>
      <c r="K89" s="1143"/>
      <c r="L89" s="1143"/>
      <c r="M89" s="1109"/>
    </row>
    <row r="90" spans="1:13" ht="13.5" thickBot="1">
      <c r="A90" s="1109"/>
      <c r="B90" s="1098"/>
      <c r="C90" s="1033"/>
      <c r="D90" s="1033"/>
      <c r="E90" s="1155"/>
      <c r="F90" s="1109"/>
      <c r="G90" s="1143"/>
      <c r="H90" s="1143"/>
      <c r="I90" s="1156"/>
      <c r="J90" s="1143"/>
      <c r="K90" s="1143"/>
      <c r="L90" s="1143"/>
      <c r="M90" s="1109"/>
    </row>
    <row r="91" spans="1:13" ht="13.5" thickBot="1">
      <c r="A91" s="1109"/>
      <c r="B91" s="1098"/>
      <c r="C91" s="1033"/>
      <c r="D91" s="1033"/>
      <c r="E91" s="1204"/>
      <c r="F91" s="1109"/>
      <c r="G91" s="1145" t="s">
        <v>14</v>
      </c>
      <c r="H91" s="1145" t="s">
        <v>177</v>
      </c>
      <c r="I91" s="1221"/>
      <c r="J91" s="1222"/>
      <c r="K91" s="1222"/>
      <c r="L91" s="1143"/>
      <c r="M91" s="1109"/>
    </row>
    <row r="92" spans="1:13" ht="13.5" thickBot="1">
      <c r="A92" s="1109"/>
      <c r="B92" s="1098"/>
      <c r="C92" s="1114" t="s">
        <v>190</v>
      </c>
      <c r="E92" s="1109"/>
      <c r="F92" s="1109"/>
      <c r="G92" s="1223"/>
      <c r="H92" s="1224"/>
      <c r="I92" s="1225"/>
      <c r="J92" s="1226"/>
      <c r="K92" s="1226"/>
      <c r="L92" s="1143"/>
      <c r="M92" s="1109"/>
    </row>
    <row r="93" spans="1:13" ht="14.25" thickTop="1" thickBot="1">
      <c r="A93" s="1109"/>
      <c r="B93" s="1148"/>
      <c r="C93" s="1109"/>
      <c r="D93" s="1227"/>
      <c r="E93" s="1109"/>
      <c r="F93" s="1109"/>
      <c r="G93" s="1109"/>
      <c r="H93" s="1109"/>
      <c r="I93" s="1225"/>
      <c r="J93" s="1228"/>
      <c r="K93" s="1228"/>
      <c r="L93" s="1143"/>
      <c r="M93" s="1109"/>
    </row>
    <row r="94" spans="1:13" ht="27.75" customHeight="1" thickBot="1">
      <c r="A94" s="1109"/>
      <c r="B94" s="1098"/>
      <c r="C94" s="2169" t="s">
        <v>191</v>
      </c>
      <c r="D94" s="2169"/>
      <c r="E94" s="2169"/>
      <c r="F94" s="2170"/>
      <c r="G94" s="1145" t="s">
        <v>14</v>
      </c>
      <c r="H94" s="1145" t="s">
        <v>177</v>
      </c>
      <c r="I94" s="1229"/>
      <c r="J94" s="1228"/>
      <c r="K94" s="1228"/>
      <c r="L94" s="1143"/>
      <c r="M94" s="1109"/>
    </row>
    <row r="95" spans="1:13">
      <c r="A95" s="1109"/>
      <c r="B95" s="1098"/>
      <c r="C95" s="1033"/>
      <c r="D95" s="1155" t="s">
        <v>239</v>
      </c>
      <c r="F95" s="1109"/>
      <c r="G95" s="1147">
        <v>0</v>
      </c>
      <c r="H95" s="1147">
        <v>0</v>
      </c>
      <c r="I95" s="1225"/>
      <c r="J95" s="1226"/>
      <c r="K95" s="1226"/>
      <c r="L95" s="1143"/>
      <c r="M95" s="1109"/>
    </row>
    <row r="96" spans="1:13">
      <c r="A96" s="1109"/>
      <c r="B96" s="1098"/>
      <c r="C96" s="1033"/>
      <c r="D96" s="1155" t="s">
        <v>238</v>
      </c>
      <c r="F96" s="1109"/>
      <c r="G96" s="1147">
        <v>0</v>
      </c>
      <c r="H96" s="1147"/>
      <c r="I96" s="1225"/>
      <c r="J96" s="1226"/>
      <c r="K96" s="1226"/>
      <c r="L96" s="1143"/>
      <c r="M96" s="1109"/>
    </row>
    <row r="97" spans="1:13" ht="13.5" thickBot="1">
      <c r="A97" s="1109"/>
      <c r="B97" s="1098"/>
      <c r="C97" s="1033"/>
      <c r="D97" s="1155" t="s">
        <v>192</v>
      </c>
      <c r="F97" s="1109"/>
      <c r="G97" s="1147">
        <v>0</v>
      </c>
      <c r="H97" s="1160">
        <v>0</v>
      </c>
      <c r="I97" s="1225"/>
      <c r="J97" s="1226"/>
      <c r="K97" s="1226"/>
      <c r="L97" s="1143"/>
      <c r="M97" s="1109"/>
    </row>
    <row r="98" spans="1:13" ht="26.25" customHeight="1">
      <c r="A98" s="1109"/>
      <c r="B98" s="1098"/>
      <c r="C98" s="1033"/>
      <c r="D98" s="2171" t="s">
        <v>193</v>
      </c>
      <c r="E98" s="2171"/>
      <c r="F98" s="2172"/>
      <c r="G98" s="1230">
        <v>0</v>
      </c>
      <c r="H98" s="1231"/>
      <c r="I98" s="1225"/>
      <c r="J98" s="1226"/>
      <c r="K98" s="1228"/>
      <c r="L98" s="1143"/>
      <c r="M98" s="1109"/>
    </row>
    <row r="99" spans="1:13" ht="13.5" thickBot="1">
      <c r="A99" s="1109"/>
      <c r="B99" s="1098"/>
      <c r="C99" s="2167" t="s">
        <v>178</v>
      </c>
      <c r="D99" s="2167"/>
      <c r="E99" s="2167"/>
      <c r="F99" s="2168"/>
      <c r="G99" s="1161">
        <v>0</v>
      </c>
      <c r="H99" s="1161"/>
      <c r="I99" s="1232"/>
      <c r="J99" s="1233"/>
      <c r="K99" s="1233"/>
      <c r="L99" s="1143"/>
      <c r="M99" s="1109"/>
    </row>
    <row r="100" spans="1:13" ht="14.25" thickTop="1" thickBot="1">
      <c r="A100" s="1109"/>
      <c r="B100" s="1184"/>
      <c r="C100" s="1185"/>
      <c r="D100" s="1185"/>
      <c r="E100" s="1185"/>
      <c r="F100" s="1185"/>
      <c r="G100" s="1187"/>
      <c r="H100" s="1187"/>
      <c r="I100" s="1213"/>
      <c r="J100" s="1109"/>
      <c r="K100" s="1109"/>
      <c r="L100" s="1109"/>
      <c r="M100" s="1109"/>
    </row>
    <row r="101" spans="1:13">
      <c r="A101" s="1109"/>
      <c r="B101" s="1020"/>
      <c r="C101" s="1020"/>
      <c r="D101" s="1020"/>
      <c r="E101" s="1020"/>
      <c r="F101" s="1020"/>
      <c r="G101" s="1109"/>
      <c r="H101" s="1109"/>
      <c r="I101" s="1109"/>
      <c r="J101" s="1109"/>
      <c r="K101" s="1109"/>
      <c r="L101" s="1109"/>
      <c r="M101" s="1109"/>
    </row>
  </sheetData>
  <mergeCells count="19">
    <mergeCell ref="L36:L37"/>
    <mergeCell ref="D17:F17"/>
    <mergeCell ref="D21:F21"/>
    <mergeCell ref="D22:F22"/>
    <mergeCell ref="E36:F36"/>
    <mergeCell ref="D63:F63"/>
    <mergeCell ref="D15:F15"/>
    <mergeCell ref="C25:F25"/>
    <mergeCell ref="C99:F99"/>
    <mergeCell ref="C89:F89"/>
    <mergeCell ref="C88:F88"/>
    <mergeCell ref="C94:F94"/>
    <mergeCell ref="D98:F98"/>
    <mergeCell ref="C76:F76"/>
    <mergeCell ref="C83:F83"/>
    <mergeCell ref="C60:E60"/>
    <mergeCell ref="C65:E65"/>
    <mergeCell ref="D62:F62"/>
    <mergeCell ref="E37:F37"/>
  </mergeCells>
  <phoneticPr fontId="0" type="noConversion"/>
  <dataValidations count="2">
    <dataValidation type="decimal" operator="lessThanOrEqual" allowBlank="1" showInputMessage="1" showErrorMessage="1" sqref="G31:G33">
      <formula1>0</formula1>
    </dataValidation>
    <dataValidation type="decimal" operator="greaterThanOrEqual" allowBlank="1" showInputMessage="1" showErrorMessage="1" sqref="J38:J50 G38:H50">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workbookViewId="0">
      <selection sqref="A1:XFD1048576"/>
    </sheetView>
  </sheetViews>
  <sheetFormatPr defaultColWidth="8.85546875" defaultRowHeight="10.5"/>
  <cols>
    <col min="1" max="1" width="8.140625" style="1862" customWidth="1"/>
    <col min="2" max="2" width="15.42578125" style="1862" customWidth="1"/>
    <col min="3" max="3" width="48.7109375" style="1862" bestFit="1" customWidth="1"/>
    <col min="4" max="4" width="16.140625" style="1862" customWidth="1"/>
    <col min="5" max="10" width="11" style="1862" customWidth="1"/>
    <col min="11" max="16384" width="8.85546875" style="1862"/>
  </cols>
  <sheetData>
    <row r="1" spans="1:10" ht="12.75" customHeight="1">
      <c r="A1" s="1243" t="s">
        <v>16</v>
      </c>
      <c r="B1" s="479"/>
      <c r="C1" s="479"/>
      <c r="D1" s="479"/>
      <c r="E1" s="479"/>
      <c r="F1" s="1861"/>
      <c r="G1" s="479"/>
      <c r="H1" s="479"/>
      <c r="I1" s="479"/>
    </row>
    <row r="2" spans="1:10" s="1863" customFormat="1" ht="12.75">
      <c r="A2" s="480"/>
      <c r="B2" s="481"/>
      <c r="C2" s="481"/>
      <c r="D2" s="481"/>
      <c r="E2" s="481"/>
      <c r="F2" s="481"/>
      <c r="G2" s="481"/>
      <c r="H2" s="481"/>
      <c r="I2" s="481"/>
    </row>
    <row r="3" spans="1:10" ht="15">
      <c r="A3" s="1243" t="s">
        <v>29</v>
      </c>
      <c r="B3" s="479"/>
      <c r="C3" s="479"/>
      <c r="D3" s="479"/>
      <c r="E3" s="479"/>
      <c r="F3" s="479"/>
      <c r="G3" s="479"/>
      <c r="H3" s="479"/>
      <c r="I3" s="479"/>
    </row>
    <row r="4" spans="1:10" ht="12.75">
      <c r="A4" s="478"/>
      <c r="B4" s="479"/>
      <c r="C4" s="479"/>
      <c r="D4" s="479"/>
      <c r="E4" s="479"/>
      <c r="F4" s="479"/>
      <c r="G4" s="479"/>
      <c r="H4" s="479"/>
      <c r="I4" s="479"/>
    </row>
    <row r="5" spans="1:10" ht="20.25">
      <c r="A5" s="2181" t="s">
        <v>30</v>
      </c>
      <c r="B5" s="2181"/>
      <c r="C5" s="2181"/>
      <c r="D5" s="455"/>
      <c r="E5" s="456"/>
      <c r="F5" s="456"/>
      <c r="G5" s="456"/>
    </row>
    <row r="6" spans="1:10" ht="15" thickBot="1">
      <c r="A6" s="457"/>
      <c r="B6" s="457"/>
      <c r="C6" s="352"/>
      <c r="D6" s="352"/>
      <c r="E6" s="458"/>
      <c r="F6" s="458"/>
      <c r="G6" s="458"/>
    </row>
    <row r="7" spans="1:10" ht="15.75" thickBot="1">
      <c r="A7" s="457"/>
      <c r="B7" s="457"/>
      <c r="C7" s="459"/>
      <c r="D7" s="460" t="s">
        <v>31</v>
      </c>
      <c r="E7" s="460" t="s">
        <v>32</v>
      </c>
      <c r="F7" s="460" t="s">
        <v>33</v>
      </c>
      <c r="G7" s="460" t="s">
        <v>29</v>
      </c>
      <c r="H7" s="460" t="s">
        <v>34</v>
      </c>
      <c r="I7" s="1242" t="s">
        <v>35</v>
      </c>
      <c r="J7" s="1242" t="s">
        <v>118</v>
      </c>
    </row>
    <row r="8" spans="1:10" ht="15">
      <c r="A8" s="457"/>
      <c r="B8" s="457"/>
      <c r="C8" s="461" t="s">
        <v>228</v>
      </c>
      <c r="D8" s="462"/>
      <c r="E8" s="2182" t="s">
        <v>229</v>
      </c>
      <c r="F8" s="2183"/>
      <c r="G8" s="2183"/>
      <c r="H8" s="2184" t="s">
        <v>162</v>
      </c>
      <c r="I8" s="2185"/>
      <c r="J8" s="2186"/>
    </row>
    <row r="9" spans="1:10" ht="14.25">
      <c r="A9" s="457"/>
      <c r="B9" s="457"/>
      <c r="C9" s="463" t="s">
        <v>163</v>
      </c>
      <c r="D9" s="464" t="s">
        <v>164</v>
      </c>
      <c r="E9" s="465"/>
      <c r="F9" s="466"/>
      <c r="G9" s="467">
        <v>2580775</v>
      </c>
      <c r="H9" s="465"/>
      <c r="I9" s="466"/>
      <c r="J9" s="1244"/>
    </row>
    <row r="10" spans="1:10" ht="14.25">
      <c r="A10" s="457"/>
      <c r="B10" s="457"/>
      <c r="C10" s="463" t="s">
        <v>165</v>
      </c>
      <c r="D10" s="464" t="s">
        <v>166</v>
      </c>
      <c r="E10" s="465"/>
      <c r="F10" s="466"/>
      <c r="G10" s="467">
        <v>2119306</v>
      </c>
      <c r="H10" s="465"/>
      <c r="I10" s="466"/>
      <c r="J10" s="1244"/>
    </row>
    <row r="11" spans="1:10" ht="14.25">
      <c r="A11" s="457"/>
      <c r="B11" s="457"/>
      <c r="C11" s="463" t="s">
        <v>47</v>
      </c>
      <c r="D11" s="464" t="s">
        <v>48</v>
      </c>
      <c r="E11" s="465"/>
      <c r="F11" s="466"/>
      <c r="G11" s="467">
        <v>198961241</v>
      </c>
      <c r="H11" s="465"/>
      <c r="I11" s="466"/>
      <c r="J11" s="1244"/>
    </row>
    <row r="12" spans="1:10" ht="15.75" thickBot="1">
      <c r="A12" s="457"/>
      <c r="B12" s="457"/>
      <c r="C12" s="463"/>
      <c r="D12" s="468"/>
      <c r="E12" s="469"/>
      <c r="F12" s="470"/>
      <c r="G12" s="470"/>
      <c r="H12" s="469"/>
      <c r="I12" s="470"/>
      <c r="J12" s="1245"/>
    </row>
    <row r="13" spans="1:10" ht="15">
      <c r="A13" s="457"/>
      <c r="B13" s="457"/>
      <c r="C13" s="471" t="s">
        <v>233</v>
      </c>
      <c r="D13" s="462"/>
      <c r="E13" s="472"/>
      <c r="F13" s="458"/>
      <c r="G13" s="458"/>
      <c r="J13" s="1864"/>
    </row>
    <row r="14" spans="1:10" ht="14.25">
      <c r="A14" s="457"/>
      <c r="B14" s="457"/>
      <c r="C14" s="473"/>
      <c r="D14" s="464"/>
      <c r="E14" s="472"/>
      <c r="F14" s="458"/>
      <c r="G14" s="458"/>
      <c r="J14" s="1864"/>
    </row>
    <row r="15" spans="1:10" ht="14.25">
      <c r="A15" s="457"/>
      <c r="B15" s="457"/>
      <c r="C15" s="474" t="s">
        <v>234</v>
      </c>
      <c r="D15" s="464"/>
      <c r="E15" s="472"/>
      <c r="F15" s="458"/>
      <c r="G15" s="458"/>
      <c r="J15" s="1864"/>
    </row>
    <row r="16" spans="1:10" ht="14.25">
      <c r="A16" s="457"/>
      <c r="B16" s="457"/>
      <c r="C16" s="474" t="s">
        <v>235</v>
      </c>
      <c r="D16" s="464"/>
      <c r="E16" s="472"/>
      <c r="F16" s="458"/>
      <c r="G16" s="458"/>
      <c r="J16" s="1864"/>
    </row>
    <row r="17" spans="1:10" ht="14.25">
      <c r="A17" s="457"/>
      <c r="B17" s="457"/>
      <c r="C17" s="473" t="s">
        <v>236</v>
      </c>
      <c r="D17" s="464" t="s">
        <v>237</v>
      </c>
      <c r="E17" s="465"/>
      <c r="F17" s="466"/>
      <c r="G17" s="467">
        <v>0</v>
      </c>
      <c r="H17" s="465"/>
      <c r="I17" s="466"/>
      <c r="J17" s="1244"/>
    </row>
    <row r="18" spans="1:10" ht="14.25">
      <c r="A18" s="457"/>
      <c r="B18" s="457"/>
      <c r="C18" s="473" t="s">
        <v>238</v>
      </c>
      <c r="D18" s="464" t="s">
        <v>237</v>
      </c>
      <c r="E18" s="465"/>
      <c r="F18" s="466"/>
      <c r="G18" s="467">
        <v>17</v>
      </c>
      <c r="H18" s="465"/>
      <c r="I18" s="466"/>
      <c r="J18" s="1244"/>
    </row>
    <row r="19" spans="1:10" ht="14.25">
      <c r="A19" s="457"/>
      <c r="B19" s="457"/>
      <c r="C19" s="473" t="s">
        <v>239</v>
      </c>
      <c r="D19" s="464" t="s">
        <v>237</v>
      </c>
      <c r="E19" s="465"/>
      <c r="F19" s="466"/>
      <c r="G19" s="467">
        <v>29758</v>
      </c>
      <c r="H19" s="465"/>
      <c r="I19" s="466"/>
      <c r="J19" s="1244"/>
    </row>
    <row r="20" spans="1:10" ht="14.25">
      <c r="A20" s="457"/>
      <c r="B20" s="457"/>
      <c r="C20" s="473" t="s">
        <v>240</v>
      </c>
      <c r="D20" s="464" t="s">
        <v>237</v>
      </c>
      <c r="E20" s="465"/>
      <c r="F20" s="466"/>
      <c r="G20" s="467">
        <v>9</v>
      </c>
      <c r="H20" s="465"/>
      <c r="I20" s="466"/>
      <c r="J20" s="1244"/>
    </row>
    <row r="21" spans="1:10" ht="14.25">
      <c r="A21" s="457"/>
      <c r="B21" s="457"/>
      <c r="C21" s="473"/>
      <c r="D21" s="464"/>
      <c r="E21" s="472"/>
      <c r="F21" s="458"/>
      <c r="G21" s="458"/>
      <c r="H21" s="472"/>
      <c r="I21" s="458"/>
      <c r="J21" s="1246"/>
    </row>
    <row r="22" spans="1:10" ht="14.25">
      <c r="A22" s="457"/>
      <c r="B22" s="457"/>
      <c r="C22" s="474" t="s">
        <v>241</v>
      </c>
      <c r="D22" s="464"/>
      <c r="E22" s="472"/>
      <c r="F22" s="458"/>
      <c r="G22" s="458"/>
      <c r="H22" s="472"/>
      <c r="I22" s="458"/>
      <c r="J22" s="1246"/>
    </row>
    <row r="23" spans="1:10" ht="14.25">
      <c r="A23" s="457"/>
      <c r="B23" s="457"/>
      <c r="C23" s="473" t="s">
        <v>242</v>
      </c>
      <c r="D23" s="464" t="s">
        <v>243</v>
      </c>
      <c r="E23" s="465"/>
      <c r="F23" s="466"/>
      <c r="G23" s="467">
        <v>0</v>
      </c>
      <c r="H23" s="465"/>
      <c r="I23" s="466"/>
      <c r="J23" s="1244"/>
    </row>
    <row r="24" spans="1:10" ht="14.25">
      <c r="A24" s="457"/>
      <c r="B24" s="457"/>
      <c r="C24" s="473" t="s">
        <v>244</v>
      </c>
      <c r="D24" s="464" t="s">
        <v>243</v>
      </c>
      <c r="E24" s="465"/>
      <c r="F24" s="466"/>
      <c r="G24" s="467">
        <v>166</v>
      </c>
      <c r="H24" s="465"/>
      <c r="I24" s="466"/>
      <c r="J24" s="1244"/>
    </row>
    <row r="25" spans="1:10" ht="14.25">
      <c r="A25" s="457"/>
      <c r="B25" s="457"/>
      <c r="C25" s="473" t="s">
        <v>238</v>
      </c>
      <c r="D25" s="464" t="s">
        <v>243</v>
      </c>
      <c r="E25" s="465"/>
      <c r="F25" s="466"/>
      <c r="G25" s="467">
        <v>145</v>
      </c>
      <c r="H25" s="465"/>
      <c r="I25" s="466"/>
      <c r="J25" s="1244"/>
    </row>
    <row r="26" spans="1:10" ht="15" thickBot="1">
      <c r="A26" s="457"/>
      <c r="B26" s="457"/>
      <c r="C26" s="473" t="s">
        <v>239</v>
      </c>
      <c r="D26" s="464" t="s">
        <v>243</v>
      </c>
      <c r="E26" s="465"/>
      <c r="F26" s="466"/>
      <c r="G26" s="467">
        <v>2.2000000000000002</v>
      </c>
      <c r="H26" s="465"/>
      <c r="I26" s="466"/>
      <c r="J26" s="1244"/>
    </row>
    <row r="27" spans="1:10" ht="15" thickBot="1">
      <c r="A27" s="457"/>
      <c r="B27" s="457"/>
      <c r="C27" s="474" t="s">
        <v>245</v>
      </c>
      <c r="D27" s="464"/>
      <c r="E27" s="1247"/>
      <c r="F27" s="475"/>
      <c r="G27" s="475">
        <v>313.2</v>
      </c>
      <c r="H27" s="475"/>
      <c r="I27" s="475"/>
      <c r="J27" s="1248"/>
    </row>
    <row r="28" spans="1:10" ht="14.25">
      <c r="A28" s="457"/>
      <c r="B28" s="457"/>
      <c r="C28" s="473"/>
      <c r="D28" s="464"/>
      <c r="E28" s="1249"/>
      <c r="F28" s="44"/>
      <c r="G28" s="44"/>
      <c r="H28" s="44"/>
      <c r="I28" s="44"/>
      <c r="J28" s="1250"/>
    </row>
    <row r="29" spans="1:10" ht="14.25">
      <c r="A29" s="457"/>
      <c r="B29" s="457"/>
      <c r="C29" s="474" t="s">
        <v>246</v>
      </c>
      <c r="D29" s="464"/>
      <c r="E29" s="1249"/>
      <c r="F29" s="44"/>
      <c r="G29" s="44"/>
      <c r="H29" s="44"/>
      <c r="I29" s="44"/>
      <c r="J29" s="1250"/>
    </row>
    <row r="30" spans="1:10" ht="14.25">
      <c r="A30" s="457"/>
      <c r="B30" s="457"/>
      <c r="C30" s="473" t="s">
        <v>17</v>
      </c>
      <c r="D30" s="464" t="s">
        <v>243</v>
      </c>
      <c r="E30" s="465"/>
      <c r="F30" s="466"/>
      <c r="G30" s="467">
        <v>5635</v>
      </c>
      <c r="H30" s="465"/>
      <c r="I30" s="466"/>
      <c r="J30" s="1244"/>
    </row>
    <row r="31" spans="1:10" ht="14.25">
      <c r="A31" s="457"/>
      <c r="B31" s="457"/>
      <c r="C31" s="473" t="s">
        <v>18</v>
      </c>
      <c r="D31" s="464" t="s">
        <v>243</v>
      </c>
      <c r="E31" s="465"/>
      <c r="F31" s="466"/>
      <c r="G31" s="467">
        <v>5497</v>
      </c>
      <c r="H31" s="465"/>
      <c r="I31" s="466"/>
      <c r="J31" s="1244"/>
    </row>
    <row r="32" spans="1:10" ht="14.25">
      <c r="A32" s="457"/>
      <c r="B32" s="457"/>
      <c r="C32" s="473"/>
      <c r="D32" s="464"/>
      <c r="E32" s="1249"/>
      <c r="F32" s="44"/>
      <c r="G32" s="44"/>
      <c r="H32" s="44"/>
      <c r="I32" s="44"/>
      <c r="J32" s="1250"/>
    </row>
    <row r="33" spans="1:10" ht="14.25">
      <c r="A33" s="457"/>
      <c r="B33" s="457"/>
      <c r="C33" s="474" t="s">
        <v>50</v>
      </c>
      <c r="D33" s="464"/>
      <c r="E33" s="1249"/>
      <c r="F33" s="44"/>
      <c r="G33" s="44"/>
      <c r="H33" s="44"/>
      <c r="I33" s="44"/>
      <c r="J33" s="1250"/>
    </row>
    <row r="34" spans="1:10" ht="14.25">
      <c r="A34" s="457"/>
      <c r="B34" s="457"/>
      <c r="C34" s="473" t="s">
        <v>236</v>
      </c>
      <c r="D34" s="464" t="s">
        <v>51</v>
      </c>
      <c r="E34" s="465"/>
      <c r="F34" s="466"/>
      <c r="G34" s="467">
        <v>710</v>
      </c>
      <c r="H34" s="465"/>
      <c r="I34" s="466"/>
      <c r="J34" s="1244"/>
    </row>
    <row r="35" spans="1:10" ht="14.25">
      <c r="A35" s="457"/>
      <c r="B35" s="457"/>
      <c r="C35" s="473" t="s">
        <v>238</v>
      </c>
      <c r="D35" s="464" t="s">
        <v>51</v>
      </c>
      <c r="E35" s="465"/>
      <c r="F35" s="466"/>
      <c r="G35" s="467">
        <v>9669</v>
      </c>
      <c r="H35" s="465"/>
      <c r="I35" s="466"/>
      <c r="J35" s="1244"/>
    </row>
    <row r="36" spans="1:10" ht="15" thickBot="1">
      <c r="A36" s="457"/>
      <c r="B36" s="457"/>
      <c r="C36" s="473" t="s">
        <v>239</v>
      </c>
      <c r="D36" s="464" t="s">
        <v>51</v>
      </c>
      <c r="E36" s="465"/>
      <c r="F36" s="466"/>
      <c r="G36" s="467">
        <v>19286</v>
      </c>
      <c r="H36" s="465"/>
      <c r="I36" s="466"/>
      <c r="J36" s="1244"/>
    </row>
    <row r="37" spans="1:10" ht="15" thickBot="1">
      <c r="A37" s="457"/>
      <c r="B37" s="457"/>
      <c r="C37" s="474" t="s">
        <v>245</v>
      </c>
      <c r="D37" s="464"/>
      <c r="E37" s="1247"/>
      <c r="F37" s="475"/>
      <c r="G37" s="475">
        <v>29665</v>
      </c>
      <c r="H37" s="475"/>
      <c r="I37" s="475"/>
      <c r="J37" s="1248"/>
    </row>
    <row r="38" spans="1:10" ht="14.25">
      <c r="A38" s="457"/>
      <c r="B38" s="457"/>
      <c r="C38" s="473"/>
      <c r="D38" s="464"/>
      <c r="E38" s="472"/>
      <c r="F38" s="458"/>
      <c r="G38" s="458"/>
      <c r="H38" s="472"/>
      <c r="I38" s="458"/>
      <c r="J38" s="1246"/>
    </row>
    <row r="39" spans="1:10" ht="14.25">
      <c r="A39" s="457"/>
      <c r="B39" s="457"/>
      <c r="C39" s="474" t="s">
        <v>52</v>
      </c>
      <c r="D39" s="464"/>
      <c r="E39" s="472"/>
      <c r="F39" s="458"/>
      <c r="G39" s="458"/>
      <c r="H39" s="472"/>
      <c r="I39" s="458"/>
      <c r="J39" s="1246"/>
    </row>
    <row r="40" spans="1:10" ht="14.25">
      <c r="A40" s="457"/>
      <c r="B40" s="457"/>
      <c r="C40" s="473" t="s">
        <v>53</v>
      </c>
      <c r="D40" s="464" t="s">
        <v>54</v>
      </c>
      <c r="E40" s="465"/>
      <c r="F40" s="466"/>
      <c r="G40" s="467">
        <v>1439</v>
      </c>
      <c r="H40" s="465"/>
      <c r="I40" s="466"/>
      <c r="J40" s="1244"/>
    </row>
    <row r="41" spans="1:10" ht="14.25">
      <c r="A41" s="457"/>
      <c r="B41" s="457"/>
      <c r="C41" s="473" t="s">
        <v>55</v>
      </c>
      <c r="D41" s="464" t="s">
        <v>56</v>
      </c>
      <c r="E41" s="465"/>
      <c r="F41" s="466"/>
      <c r="G41" s="476">
        <v>4.8508343165346371E-2</v>
      </c>
      <c r="H41" s="465"/>
      <c r="I41" s="466"/>
      <c r="J41" s="1251"/>
    </row>
    <row r="42" spans="1:10" ht="14.25">
      <c r="A42" s="457"/>
      <c r="B42" s="457"/>
      <c r="C42" s="473"/>
      <c r="D42" s="464"/>
      <c r="E42" s="1249"/>
      <c r="F42" s="44"/>
      <c r="G42" s="44"/>
      <c r="H42" s="44"/>
      <c r="I42" s="44"/>
      <c r="J42" s="1250"/>
    </row>
    <row r="43" spans="1:10" ht="15.75" thickBot="1">
      <c r="A43" s="457"/>
      <c r="B43" s="457"/>
      <c r="C43" s="463"/>
      <c r="D43" s="468"/>
      <c r="E43" s="469"/>
      <c r="F43" s="470"/>
      <c r="G43" s="470"/>
      <c r="H43" s="470"/>
      <c r="I43" s="470"/>
      <c r="J43" s="1245"/>
    </row>
    <row r="44" spans="1:10" ht="15">
      <c r="A44" s="457"/>
      <c r="B44" s="457"/>
      <c r="C44" s="471" t="s">
        <v>57</v>
      </c>
      <c r="D44" s="464"/>
      <c r="E44" s="1249"/>
      <c r="F44" s="44"/>
      <c r="G44" s="44"/>
      <c r="H44" s="44"/>
      <c r="I44" s="44"/>
      <c r="J44" s="1250"/>
    </row>
    <row r="45" spans="1:10" ht="14.25">
      <c r="A45" s="457"/>
      <c r="B45" s="457"/>
      <c r="C45" s="473"/>
      <c r="D45" s="464"/>
      <c r="E45" s="1249"/>
      <c r="F45" s="44"/>
      <c r="G45" s="44"/>
      <c r="H45" s="44"/>
      <c r="I45" s="44"/>
      <c r="J45" s="1250"/>
    </row>
    <row r="46" spans="1:10" ht="14.25">
      <c r="A46" s="457"/>
      <c r="B46" s="457"/>
      <c r="C46" s="474" t="s">
        <v>169</v>
      </c>
      <c r="D46" s="464"/>
      <c r="E46" s="1249"/>
      <c r="F46" s="44"/>
      <c r="G46" s="44"/>
      <c r="H46" s="44"/>
      <c r="I46" s="44"/>
      <c r="J46" s="1250"/>
    </row>
    <row r="47" spans="1:10" ht="14.25">
      <c r="A47" s="457"/>
      <c r="B47" s="457"/>
      <c r="C47" s="473" t="s">
        <v>242</v>
      </c>
      <c r="D47" s="464" t="s">
        <v>170</v>
      </c>
      <c r="E47" s="465"/>
      <c r="F47" s="466"/>
      <c r="G47" s="477">
        <v>2384</v>
      </c>
      <c r="H47" s="465"/>
      <c r="I47" s="466"/>
      <c r="J47" s="1252"/>
    </row>
    <row r="48" spans="1:10" ht="14.25">
      <c r="A48" s="457"/>
      <c r="B48" s="457"/>
      <c r="C48" s="473" t="s">
        <v>244</v>
      </c>
      <c r="D48" s="464" t="s">
        <v>170</v>
      </c>
      <c r="E48" s="465"/>
      <c r="F48" s="466"/>
      <c r="G48" s="477">
        <v>2702</v>
      </c>
      <c r="H48" s="465"/>
      <c r="I48" s="466"/>
      <c r="J48" s="1252"/>
    </row>
    <row r="49" spans="1:10" ht="14.25">
      <c r="A49" s="457"/>
      <c r="B49" s="457"/>
      <c r="C49" s="473" t="s">
        <v>238</v>
      </c>
      <c r="D49" s="464" t="s">
        <v>170</v>
      </c>
      <c r="E49" s="465"/>
      <c r="F49" s="466"/>
      <c r="G49" s="477">
        <v>12593</v>
      </c>
      <c r="H49" s="465"/>
      <c r="I49" s="466"/>
      <c r="J49" s="1252"/>
    </row>
    <row r="50" spans="1:10" ht="15" thickBot="1">
      <c r="A50" s="457"/>
      <c r="B50" s="457"/>
      <c r="C50" s="473" t="s">
        <v>239</v>
      </c>
      <c r="D50" s="464" t="s">
        <v>170</v>
      </c>
      <c r="E50" s="465"/>
      <c r="F50" s="466"/>
      <c r="G50" s="477">
        <v>5071</v>
      </c>
      <c r="H50" s="465"/>
      <c r="I50" s="466"/>
      <c r="J50" s="1252"/>
    </row>
    <row r="51" spans="1:10" ht="15" thickBot="1">
      <c r="A51" s="457"/>
      <c r="B51" s="457"/>
      <c r="C51" s="474" t="s">
        <v>245</v>
      </c>
      <c r="D51" s="464" t="s">
        <v>170</v>
      </c>
      <c r="E51" s="1247"/>
      <c r="F51" s="475"/>
      <c r="G51" s="475">
        <v>22750</v>
      </c>
      <c r="H51" s="475"/>
      <c r="I51" s="475"/>
      <c r="J51" s="1248"/>
    </row>
    <row r="52" spans="1:10" ht="14.25">
      <c r="A52" s="457"/>
      <c r="B52" s="457"/>
      <c r="C52" s="473"/>
      <c r="D52" s="464"/>
      <c r="E52" s="1249"/>
      <c r="F52" s="44"/>
      <c r="G52" s="44"/>
      <c r="H52" s="44"/>
      <c r="I52" s="44"/>
      <c r="J52" s="1250"/>
    </row>
    <row r="53" spans="1:10" ht="14.25">
      <c r="A53" s="457"/>
      <c r="B53" s="457"/>
      <c r="C53" s="474" t="s">
        <v>171</v>
      </c>
      <c r="D53" s="464"/>
      <c r="E53" s="1249"/>
      <c r="F53" s="44"/>
      <c r="G53" s="44"/>
      <c r="H53" s="44"/>
      <c r="I53" s="44"/>
      <c r="J53" s="1250"/>
    </row>
    <row r="54" spans="1:10" ht="14.25">
      <c r="A54" s="457"/>
      <c r="B54" s="457"/>
      <c r="C54" s="473" t="s">
        <v>242</v>
      </c>
      <c r="D54" s="464" t="s">
        <v>170</v>
      </c>
      <c r="E54" s="465"/>
      <c r="F54" s="466"/>
      <c r="G54" s="477">
        <v>199</v>
      </c>
      <c r="H54" s="465"/>
      <c r="I54" s="466"/>
      <c r="J54" s="1252"/>
    </row>
    <row r="55" spans="1:10" ht="14.25">
      <c r="A55" s="457"/>
      <c r="B55" s="457"/>
      <c r="C55" s="473" t="s">
        <v>244</v>
      </c>
      <c r="D55" s="464" t="s">
        <v>170</v>
      </c>
      <c r="E55" s="465"/>
      <c r="F55" s="466"/>
      <c r="G55" s="477">
        <v>1721</v>
      </c>
      <c r="H55" s="465"/>
      <c r="I55" s="466"/>
      <c r="J55" s="1252"/>
    </row>
    <row r="56" spans="1:10" ht="14.25">
      <c r="A56" s="457"/>
      <c r="B56" s="457"/>
      <c r="C56" s="473" t="s">
        <v>238</v>
      </c>
      <c r="D56" s="464" t="s">
        <v>170</v>
      </c>
      <c r="E56" s="465"/>
      <c r="F56" s="466"/>
      <c r="G56" s="477">
        <v>13288</v>
      </c>
      <c r="H56" s="465"/>
      <c r="I56" s="466"/>
      <c r="J56" s="1252"/>
    </row>
    <row r="57" spans="1:10" ht="15" thickBot="1">
      <c r="A57" s="457"/>
      <c r="B57" s="457"/>
      <c r="C57" s="473" t="s">
        <v>239</v>
      </c>
      <c r="D57" s="464" t="s">
        <v>170</v>
      </c>
      <c r="E57" s="465"/>
      <c r="F57" s="466"/>
      <c r="G57" s="477">
        <v>32990</v>
      </c>
      <c r="H57" s="465"/>
      <c r="I57" s="466"/>
      <c r="J57" s="1252"/>
    </row>
    <row r="58" spans="1:10" ht="15" thickBot="1">
      <c r="A58" s="457"/>
      <c r="B58" s="457"/>
      <c r="C58" s="473" t="s">
        <v>245</v>
      </c>
      <c r="D58" s="464" t="s">
        <v>170</v>
      </c>
      <c r="E58" s="1247"/>
      <c r="F58" s="475"/>
      <c r="G58" s="475">
        <v>48198</v>
      </c>
      <c r="H58" s="475"/>
      <c r="I58" s="475"/>
      <c r="J58" s="1248"/>
    </row>
    <row r="59" spans="1:10" ht="14.25">
      <c r="A59" s="457"/>
      <c r="B59" s="457"/>
      <c r="C59" s="473"/>
      <c r="D59" s="464"/>
      <c r="E59" s="1249"/>
      <c r="F59" s="44"/>
      <c r="G59" s="44"/>
      <c r="H59" s="44"/>
      <c r="I59" s="44"/>
      <c r="J59" s="1250"/>
    </row>
    <row r="60" spans="1:10" ht="14.25">
      <c r="A60" s="457"/>
      <c r="B60" s="457"/>
      <c r="C60" s="474" t="s">
        <v>172</v>
      </c>
      <c r="D60" s="464"/>
      <c r="E60" s="1249"/>
      <c r="F60" s="44"/>
      <c r="G60" s="44"/>
      <c r="H60" s="44"/>
      <c r="I60" s="44"/>
      <c r="J60" s="1250"/>
    </row>
    <row r="61" spans="1:10" ht="14.25">
      <c r="A61" s="457"/>
      <c r="B61" s="457"/>
      <c r="C61" s="473" t="s">
        <v>242</v>
      </c>
      <c r="D61" s="464" t="s">
        <v>170</v>
      </c>
      <c r="E61" s="1253"/>
      <c r="F61" s="477"/>
      <c r="G61" s="477">
        <v>2583</v>
      </c>
      <c r="H61" s="477"/>
      <c r="I61" s="477"/>
      <c r="J61" s="1252"/>
    </row>
    <row r="62" spans="1:10" ht="14.25">
      <c r="A62" s="457"/>
      <c r="B62" s="457"/>
      <c r="C62" s="473" t="s">
        <v>244</v>
      </c>
      <c r="D62" s="464" t="s">
        <v>170</v>
      </c>
      <c r="E62" s="1253"/>
      <c r="F62" s="477"/>
      <c r="G62" s="477">
        <v>4423</v>
      </c>
      <c r="H62" s="477"/>
      <c r="I62" s="477"/>
      <c r="J62" s="1252"/>
    </row>
    <row r="63" spans="1:10" ht="14.25">
      <c r="A63" s="457"/>
      <c r="B63" s="457"/>
      <c r="C63" s="473" t="s">
        <v>238</v>
      </c>
      <c r="D63" s="464" t="s">
        <v>170</v>
      </c>
      <c r="E63" s="1253"/>
      <c r="F63" s="477"/>
      <c r="G63" s="477">
        <v>25881</v>
      </c>
      <c r="H63" s="477"/>
      <c r="I63" s="477"/>
      <c r="J63" s="1252"/>
    </row>
    <row r="64" spans="1:10" ht="15" thickBot="1">
      <c r="A64" s="457"/>
      <c r="B64" s="457"/>
      <c r="C64" s="473" t="s">
        <v>239</v>
      </c>
      <c r="D64" s="464" t="s">
        <v>170</v>
      </c>
      <c r="E64" s="1253"/>
      <c r="F64" s="477"/>
      <c r="G64" s="477">
        <v>38061</v>
      </c>
      <c r="H64" s="477"/>
      <c r="I64" s="477"/>
      <c r="J64" s="1252"/>
    </row>
    <row r="65" spans="1:10" ht="15" thickBot="1">
      <c r="A65" s="457"/>
      <c r="B65" s="457"/>
      <c r="C65" s="474" t="s">
        <v>245</v>
      </c>
      <c r="D65" s="464" t="s">
        <v>170</v>
      </c>
      <c r="E65" s="1247"/>
      <c r="F65" s="475"/>
      <c r="G65" s="475">
        <v>70948</v>
      </c>
      <c r="H65" s="475"/>
      <c r="I65" s="475"/>
      <c r="J65" s="1248"/>
    </row>
    <row r="66" spans="1:10" ht="14.25">
      <c r="A66" s="457"/>
      <c r="B66" s="457"/>
      <c r="C66" s="473"/>
      <c r="D66" s="464"/>
      <c r="E66" s="1249"/>
      <c r="F66" s="44"/>
      <c r="G66" s="44"/>
      <c r="H66" s="44"/>
      <c r="I66" s="44"/>
      <c r="J66" s="1250"/>
    </row>
    <row r="67" spans="1:10" ht="14.25">
      <c r="A67" s="457"/>
      <c r="B67" s="457"/>
      <c r="C67" s="474" t="s">
        <v>173</v>
      </c>
      <c r="D67" s="464"/>
      <c r="E67" s="1249"/>
      <c r="F67" s="44"/>
      <c r="G67" s="44"/>
      <c r="H67" s="44"/>
      <c r="I67" s="44"/>
      <c r="J67" s="1250"/>
    </row>
    <row r="68" spans="1:10" ht="14.25">
      <c r="A68" s="457"/>
      <c r="B68" s="457"/>
      <c r="C68" s="473" t="s">
        <v>242</v>
      </c>
      <c r="D68" s="464" t="s">
        <v>174</v>
      </c>
      <c r="E68" s="465"/>
      <c r="F68" s="466"/>
      <c r="G68" s="467">
        <v>80</v>
      </c>
      <c r="H68" s="465"/>
      <c r="I68" s="466"/>
      <c r="J68" s="1244"/>
    </row>
    <row r="69" spans="1:10" ht="14.25">
      <c r="A69" s="457"/>
      <c r="B69" s="457"/>
      <c r="C69" s="473" t="s">
        <v>87</v>
      </c>
      <c r="D69" s="464" t="s">
        <v>174</v>
      </c>
      <c r="E69" s="465"/>
      <c r="F69" s="466"/>
      <c r="G69" s="467">
        <v>340</v>
      </c>
      <c r="H69" s="465"/>
      <c r="I69" s="466"/>
      <c r="J69" s="1244"/>
    </row>
    <row r="70" spans="1:10" ht="14.25">
      <c r="A70" s="457"/>
      <c r="B70" s="457"/>
      <c r="C70" s="473" t="s">
        <v>88</v>
      </c>
      <c r="D70" s="464" t="s">
        <v>174</v>
      </c>
      <c r="E70" s="465"/>
      <c r="F70" s="466"/>
      <c r="G70" s="467">
        <v>0</v>
      </c>
      <c r="H70" s="465"/>
      <c r="I70" s="466"/>
      <c r="J70" s="1244"/>
    </row>
    <row r="71" spans="1:10" ht="14.25">
      <c r="A71" s="457"/>
      <c r="B71" s="457"/>
      <c r="C71" s="473" t="s">
        <v>89</v>
      </c>
      <c r="D71" s="464" t="s">
        <v>174</v>
      </c>
      <c r="E71" s="465"/>
      <c r="F71" s="466"/>
      <c r="G71" s="467">
        <v>19981</v>
      </c>
      <c r="H71" s="465"/>
      <c r="I71" s="466"/>
      <c r="J71" s="1244"/>
    </row>
    <row r="72" spans="1:10" ht="15" thickBot="1">
      <c r="A72" s="457"/>
      <c r="B72" s="457"/>
      <c r="C72" s="473" t="s">
        <v>90</v>
      </c>
      <c r="D72" s="464" t="s">
        <v>174</v>
      </c>
      <c r="E72" s="465"/>
      <c r="F72" s="466"/>
      <c r="G72" s="467">
        <v>22698</v>
      </c>
      <c r="H72" s="465"/>
      <c r="I72" s="466"/>
      <c r="J72" s="1244"/>
    </row>
    <row r="73" spans="1:10" ht="15" thickBot="1">
      <c r="A73" s="457"/>
      <c r="B73" s="457"/>
      <c r="C73" s="474" t="s">
        <v>245</v>
      </c>
      <c r="D73" s="464" t="s">
        <v>174</v>
      </c>
      <c r="E73" s="1247"/>
      <c r="F73" s="475"/>
      <c r="G73" s="475">
        <v>43099</v>
      </c>
      <c r="H73" s="475"/>
      <c r="I73" s="475"/>
      <c r="J73" s="1248"/>
    </row>
    <row r="74" spans="1:10" ht="15.75" thickBot="1">
      <c r="A74" s="457"/>
      <c r="B74" s="457"/>
      <c r="C74" s="469"/>
      <c r="D74" s="468"/>
      <c r="E74" s="469"/>
      <c r="F74" s="470"/>
      <c r="G74" s="470"/>
      <c r="H74" s="469"/>
      <c r="I74" s="470"/>
      <c r="J74" s="1245"/>
    </row>
    <row r="75" spans="1:10" ht="14.25">
      <c r="A75" s="352"/>
      <c r="B75" s="352"/>
      <c r="C75" s="352"/>
      <c r="D75" s="352"/>
      <c r="E75" s="352"/>
      <c r="F75" s="352"/>
      <c r="G75" s="352"/>
    </row>
    <row r="76" spans="1:10" ht="14.25">
      <c r="A76" s="457"/>
      <c r="B76" s="457"/>
      <c r="C76" s="352"/>
      <c r="D76" s="352"/>
      <c r="E76" s="352"/>
      <c r="F76" s="352"/>
      <c r="G76" s="352"/>
    </row>
    <row r="77" spans="1:10" ht="14.25">
      <c r="A77" s="457"/>
      <c r="B77" s="457"/>
      <c r="C77" s="352"/>
      <c r="D77" s="352"/>
      <c r="E77" s="352"/>
      <c r="F77" s="352"/>
      <c r="G77" s="352"/>
    </row>
    <row r="78" spans="1:10" ht="14.25">
      <c r="A78" s="457"/>
      <c r="B78" s="457"/>
      <c r="C78" s="352"/>
      <c r="D78" s="352"/>
      <c r="E78" s="352"/>
      <c r="F78" s="352"/>
      <c r="G78" s="352"/>
    </row>
    <row r="79" spans="1:10" ht="14.25">
      <c r="A79" s="457"/>
      <c r="B79" s="457"/>
      <c r="C79" s="352"/>
      <c r="D79" s="352"/>
      <c r="E79" s="352"/>
      <c r="F79" s="352"/>
      <c r="G79" s="352"/>
    </row>
    <row r="80" spans="1:10" ht="14.25">
      <c r="A80" s="457"/>
      <c r="B80" s="457"/>
      <c r="C80" s="352"/>
      <c r="D80" s="352"/>
      <c r="E80" s="352"/>
      <c r="F80" s="352"/>
      <c r="G80" s="352"/>
    </row>
  </sheetData>
  <mergeCells count="3">
    <mergeCell ref="A5:C5"/>
    <mergeCell ref="E8:G8"/>
    <mergeCell ref="H8:J8"/>
  </mergeCells>
  <phoneticPr fontId="0" type="noConversion"/>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theme="3" tint="0.79998168889431442"/>
  </sheetPr>
  <dimension ref="A1:M66"/>
  <sheetViews>
    <sheetView workbookViewId="0">
      <selection sqref="A1:XFD1048576"/>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1342" t="s">
        <v>538</v>
      </c>
      <c r="J1" s="230"/>
    </row>
    <row r="8" spans="1:12" ht="15">
      <c r="A8" s="308" t="s">
        <v>539</v>
      </c>
      <c r="B8" s="309"/>
      <c r="C8" s="31"/>
      <c r="D8" s="1865"/>
      <c r="E8" s="309"/>
      <c r="F8" s="309"/>
      <c r="G8" s="310"/>
      <c r="H8" s="311" t="s">
        <v>32</v>
      </c>
      <c r="I8" s="311" t="s">
        <v>33</v>
      </c>
      <c r="J8" s="311" t="s">
        <v>29</v>
      </c>
      <c r="K8" s="311" t="s">
        <v>34</v>
      </c>
      <c r="L8" s="311" t="s">
        <v>35</v>
      </c>
    </row>
    <row r="9" spans="1:12" ht="15">
      <c r="H9" s="311">
        <v>16</v>
      </c>
      <c r="I9" s="311">
        <v>17</v>
      </c>
      <c r="J9" s="311">
        <v>18</v>
      </c>
      <c r="K9" s="311">
        <v>19</v>
      </c>
      <c r="L9" s="311">
        <v>20</v>
      </c>
    </row>
    <row r="10" spans="1:12" ht="15">
      <c r="H10" s="311"/>
      <c r="I10" s="311"/>
      <c r="J10" s="311"/>
      <c r="K10" s="311"/>
      <c r="L10" s="311"/>
    </row>
    <row r="11" spans="1:12" ht="14.25">
      <c r="B11" s="310" t="s">
        <v>523</v>
      </c>
      <c r="F11" t="s">
        <v>14</v>
      </c>
      <c r="H11" s="1866">
        <v>257.60172699999998</v>
      </c>
      <c r="I11" s="1866">
        <v>263.83625999999998</v>
      </c>
      <c r="J11" s="1866">
        <v>276.42685499999999</v>
      </c>
      <c r="K11" s="1866"/>
      <c r="L11" s="1866"/>
    </row>
    <row r="12" spans="1:12" ht="14.25">
      <c r="B12" s="310" t="s">
        <v>518</v>
      </c>
      <c r="F12" t="s">
        <v>14</v>
      </c>
      <c r="H12" s="1866">
        <v>2.1202839999999998</v>
      </c>
      <c r="I12" s="1866">
        <v>-2.1209500000000001</v>
      </c>
      <c r="J12" s="1866">
        <v>-4.5983270000000003</v>
      </c>
      <c r="K12" s="1866"/>
      <c r="L12" s="1866"/>
    </row>
    <row r="13" spans="1:12" ht="14.25">
      <c r="B13" s="310" t="s">
        <v>519</v>
      </c>
      <c r="F13" t="s">
        <v>14</v>
      </c>
      <c r="H13" s="1866">
        <v>9.429665</v>
      </c>
      <c r="I13" s="1866">
        <v>8.5679599999999994</v>
      </c>
      <c r="J13" s="1866">
        <v>26.407907999999999</v>
      </c>
      <c r="K13" s="1866"/>
      <c r="L13" s="1866"/>
    </row>
    <row r="14" spans="1:12" ht="14.25">
      <c r="B14" s="310" t="s">
        <v>520</v>
      </c>
      <c r="F14" t="s">
        <v>14</v>
      </c>
      <c r="H14" s="1866">
        <v>8.5620899999999995</v>
      </c>
      <c r="I14" s="1866">
        <v>-5.3793519999999999</v>
      </c>
      <c r="J14" s="1866">
        <v>-1.480097</v>
      </c>
      <c r="K14" s="1866"/>
      <c r="L14" s="1866"/>
    </row>
    <row r="15" spans="1:12" ht="14.25">
      <c r="B15" s="310"/>
      <c r="H15" s="1867"/>
      <c r="I15" s="1867"/>
      <c r="J15" s="1867"/>
      <c r="K15" s="1867"/>
      <c r="L15" s="1867"/>
    </row>
    <row r="16" spans="1:12" ht="14.25">
      <c r="B16" s="310" t="s">
        <v>521</v>
      </c>
      <c r="F16" t="s">
        <v>14</v>
      </c>
      <c r="H16" s="1868">
        <v>260.589586</v>
      </c>
      <c r="I16" s="1868">
        <v>275.662622</v>
      </c>
      <c r="J16" s="1868">
        <v>299.71653300000003</v>
      </c>
      <c r="K16" s="1868"/>
      <c r="L16" s="1868"/>
    </row>
    <row r="17" spans="1:12" ht="14.25">
      <c r="B17" s="310"/>
      <c r="H17" s="1869"/>
      <c r="I17" s="1869"/>
      <c r="J17" s="1869"/>
      <c r="K17" s="1869"/>
      <c r="L17" s="1869"/>
    </row>
    <row r="18" spans="1:12" ht="14.25">
      <c r="B18" s="310" t="s">
        <v>522</v>
      </c>
      <c r="F18" t="s">
        <v>14</v>
      </c>
      <c r="H18" s="1866">
        <v>255.53</v>
      </c>
      <c r="I18" s="1866">
        <v>274.27999999999997</v>
      </c>
      <c r="J18" s="1866">
        <v>287.86</v>
      </c>
      <c r="K18" s="1866"/>
      <c r="L18" s="1866"/>
    </row>
    <row r="19" spans="1:12" ht="14.25">
      <c r="B19" s="310" t="s">
        <v>377</v>
      </c>
      <c r="F19" t="s">
        <v>14</v>
      </c>
      <c r="H19" s="1866">
        <v>1.83</v>
      </c>
      <c r="I19" s="1866">
        <v>-0.72</v>
      </c>
      <c r="J19" s="1866">
        <v>-3.93</v>
      </c>
      <c r="K19" s="1866"/>
      <c r="L19" s="1866"/>
    </row>
    <row r="20" spans="1:12" ht="14.25">
      <c r="B20" s="310"/>
      <c r="H20" s="1867"/>
      <c r="I20" s="1867"/>
      <c r="J20" s="1867"/>
      <c r="K20" s="1867"/>
      <c r="L20" s="1867"/>
    </row>
    <row r="21" spans="1:12" ht="14.25">
      <c r="B21" s="310" t="s">
        <v>378</v>
      </c>
      <c r="F21" t="s">
        <v>14</v>
      </c>
      <c r="H21" s="1870">
        <v>-5.0595860000000004</v>
      </c>
      <c r="I21" s="1870">
        <v>-1.382622</v>
      </c>
      <c r="J21" s="1870">
        <v>-11.856533000000001</v>
      </c>
      <c r="K21" s="1870"/>
      <c r="L21" s="1870"/>
    </row>
    <row r="22" spans="1:12" ht="14.25">
      <c r="H22" s="1869"/>
      <c r="I22" s="1869"/>
      <c r="J22" s="1869"/>
      <c r="K22" s="1869"/>
      <c r="L22" s="1869"/>
    </row>
    <row r="23" spans="1:12" ht="14.25">
      <c r="H23" s="1869"/>
      <c r="I23" s="1869"/>
      <c r="J23" s="1869"/>
      <c r="K23" s="1869"/>
      <c r="L23" s="1869"/>
    </row>
    <row r="24" spans="1:12" ht="15">
      <c r="A24" s="308" t="s">
        <v>379</v>
      </c>
      <c r="H24" s="1869"/>
      <c r="I24" s="1869"/>
      <c r="J24" s="1869"/>
      <c r="K24" s="1869"/>
      <c r="L24" s="1869"/>
    </row>
    <row r="25" spans="1:12" ht="14.25">
      <c r="H25" s="1869"/>
      <c r="I25" s="1869"/>
      <c r="J25" s="1869"/>
      <c r="K25" s="1869"/>
      <c r="L25" s="1869"/>
    </row>
    <row r="26" spans="1:12" ht="14.25">
      <c r="B26" s="310" t="s">
        <v>380</v>
      </c>
      <c r="F26" t="s">
        <v>14</v>
      </c>
      <c r="H26" s="1866">
        <v>0</v>
      </c>
      <c r="I26" s="1866">
        <v>1.2822999999999999E-2</v>
      </c>
      <c r="J26" s="1866">
        <v>4.2557999999999999E-2</v>
      </c>
      <c r="K26" s="1866"/>
      <c r="L26" s="1866"/>
    </row>
    <row r="27" spans="1:12" ht="14.25">
      <c r="B27" s="310" t="s">
        <v>381</v>
      </c>
      <c r="F27" t="s">
        <v>14</v>
      </c>
      <c r="H27" s="1866">
        <v>0</v>
      </c>
      <c r="I27" s="1866">
        <v>0</v>
      </c>
      <c r="J27" s="1866">
        <v>0</v>
      </c>
      <c r="K27" s="1866"/>
      <c r="L27" s="1866"/>
    </row>
    <row r="28" spans="1:12" ht="14.25">
      <c r="B28" s="310" t="s">
        <v>382</v>
      </c>
      <c r="F28" t="s">
        <v>14</v>
      </c>
      <c r="H28" s="1866">
        <v>0</v>
      </c>
      <c r="I28" s="1866">
        <v>0</v>
      </c>
      <c r="J28" s="1866">
        <v>-3.0219999999999999E-3</v>
      </c>
      <c r="K28" s="1866"/>
      <c r="L28" s="1866"/>
    </row>
    <row r="29" spans="1:12" ht="14.25">
      <c r="B29" s="310"/>
      <c r="H29" s="1867"/>
      <c r="I29" s="1867"/>
      <c r="J29" s="1867"/>
      <c r="K29" s="1867"/>
      <c r="L29" s="1867"/>
    </row>
    <row r="30" spans="1:12" ht="14.25">
      <c r="B30" s="310" t="s">
        <v>379</v>
      </c>
      <c r="F30" t="s">
        <v>14</v>
      </c>
      <c r="H30" s="1868">
        <v>0</v>
      </c>
      <c r="I30" s="1868">
        <v>1.2822999999999999E-2</v>
      </c>
      <c r="J30" s="1868">
        <v>4.5580000000000002E-2</v>
      </c>
      <c r="K30" s="1868"/>
      <c r="L30" s="1868"/>
    </row>
    <row r="31" spans="1:12" ht="14.25">
      <c r="B31" s="310"/>
      <c r="H31" s="1869"/>
      <c r="I31" s="1869"/>
      <c r="J31" s="1869"/>
      <c r="K31" s="1869"/>
      <c r="L31" s="1869"/>
    </row>
    <row r="32" spans="1:12" ht="14.25">
      <c r="B32" s="310" t="s">
        <v>345</v>
      </c>
      <c r="F32" t="s">
        <v>14</v>
      </c>
      <c r="H32" s="1866">
        <v>0</v>
      </c>
      <c r="I32" s="1866">
        <v>0.01</v>
      </c>
      <c r="J32" s="1866">
        <v>0.08</v>
      </c>
      <c r="K32" s="1866"/>
      <c r="L32" s="1866"/>
    </row>
    <row r="33" spans="1:12" ht="14.25">
      <c r="B33" s="310"/>
      <c r="H33" s="1869"/>
      <c r="I33" s="1869"/>
      <c r="J33" s="1869"/>
      <c r="K33" s="1869"/>
      <c r="L33" s="1869"/>
    </row>
    <row r="34" spans="1:12" ht="14.25">
      <c r="B34" s="310" t="s">
        <v>378</v>
      </c>
      <c r="F34" t="s">
        <v>14</v>
      </c>
      <c r="H34" s="1870">
        <v>0</v>
      </c>
      <c r="I34" s="1870">
        <v>-2.823E-3</v>
      </c>
      <c r="J34" s="1870">
        <v>3.4419999999999999E-2</v>
      </c>
      <c r="K34" s="1870"/>
      <c r="L34" s="1870"/>
    </row>
    <row r="35" spans="1:12" ht="14.25">
      <c r="H35" s="1869"/>
      <c r="I35" s="1869"/>
      <c r="J35" s="1869"/>
      <c r="K35" s="1869"/>
      <c r="L35" s="1869"/>
    </row>
    <row r="36" spans="1:12" ht="14.25">
      <c r="H36" s="1869"/>
      <c r="I36" s="1869"/>
      <c r="J36" s="1869"/>
      <c r="K36" s="1869"/>
      <c r="L36" s="1869"/>
    </row>
    <row r="37" spans="1:12" ht="15">
      <c r="A37" s="308" t="s">
        <v>346</v>
      </c>
      <c r="H37" s="1871"/>
      <c r="I37" s="1871"/>
      <c r="J37" s="1871"/>
      <c r="K37" s="1871"/>
      <c r="L37" s="1871"/>
    </row>
    <row r="38" spans="1:12" ht="14.25">
      <c r="B38" s="310" t="s">
        <v>327</v>
      </c>
      <c r="F38" t="s">
        <v>14</v>
      </c>
      <c r="H38" s="1866">
        <v>9.06</v>
      </c>
      <c r="I38" s="1866">
        <v>8.98</v>
      </c>
      <c r="J38" s="1866">
        <v>9.85</v>
      </c>
      <c r="K38" s="1866"/>
      <c r="L38" s="1866"/>
    </row>
    <row r="39" spans="1:12" ht="14.25">
      <c r="B39" s="310" t="s">
        <v>376</v>
      </c>
      <c r="F39" t="s">
        <v>14</v>
      </c>
      <c r="H39" s="1866">
        <v>6.7381739999999999</v>
      </c>
      <c r="I39" s="1866">
        <v>4.3875710000000003</v>
      </c>
      <c r="J39" s="1872">
        <v>0</v>
      </c>
      <c r="K39" s="1872"/>
      <c r="L39" s="1872"/>
    </row>
    <row r="40" spans="1:12" ht="14.25">
      <c r="C40" s="310"/>
      <c r="H40" s="1869"/>
      <c r="I40" s="1869"/>
      <c r="J40" s="1869"/>
      <c r="K40" s="1869"/>
      <c r="L40" s="1869"/>
    </row>
    <row r="41" spans="1:12" ht="14.25">
      <c r="H41" s="1873">
        <v>15.798173999999999</v>
      </c>
      <c r="I41" s="1873">
        <v>13.367571</v>
      </c>
      <c r="J41" s="1873">
        <v>9.85</v>
      </c>
      <c r="K41" s="1873"/>
      <c r="L41" s="1873"/>
    </row>
    <row r="42" spans="1:12" ht="14.25">
      <c r="H42" s="1871"/>
      <c r="I42" s="1871"/>
      <c r="J42" s="1871"/>
      <c r="K42" s="1871"/>
      <c r="L42" s="1871"/>
    </row>
    <row r="43" spans="1:12" ht="14.25">
      <c r="H43" s="1871"/>
      <c r="I43" s="1871"/>
      <c r="J43" s="1871"/>
      <c r="K43" s="1871"/>
      <c r="L43" s="1871"/>
    </row>
    <row r="44" spans="1:12" ht="15">
      <c r="A44" s="308" t="s">
        <v>369</v>
      </c>
      <c r="H44" s="1871"/>
      <c r="I44" s="1871"/>
      <c r="J44" s="1871"/>
      <c r="K44" s="1871"/>
      <c r="L44" s="1871"/>
    </row>
    <row r="45" spans="1:12" ht="15">
      <c r="A45" s="308"/>
      <c r="B45" s="310" t="s">
        <v>370</v>
      </c>
      <c r="F45" t="s">
        <v>14</v>
      </c>
      <c r="H45" s="1866">
        <v>63.79</v>
      </c>
      <c r="I45" s="1866">
        <v>67.66</v>
      </c>
      <c r="J45" s="1866">
        <v>104.02</v>
      </c>
      <c r="K45" s="1866"/>
      <c r="L45" s="1866"/>
    </row>
    <row r="46" spans="1:12" ht="14.25">
      <c r="B46" s="310" t="s">
        <v>371</v>
      </c>
      <c r="F46" t="s">
        <v>14</v>
      </c>
      <c r="H46" s="1874">
        <v>4.87</v>
      </c>
      <c r="I46" s="1874">
        <v>4.63</v>
      </c>
      <c r="J46" s="1874">
        <v>4.45</v>
      </c>
      <c r="K46" s="1874"/>
      <c r="L46" s="1874"/>
    </row>
    <row r="47" spans="1:12" ht="14.25">
      <c r="B47" s="310" t="s">
        <v>912</v>
      </c>
      <c r="F47" t="s">
        <v>14</v>
      </c>
      <c r="H47" s="1874">
        <v>2.89</v>
      </c>
      <c r="I47" s="1874">
        <v>2.57</v>
      </c>
      <c r="J47" s="1874">
        <v>2.2200000000000002</v>
      </c>
      <c r="K47" s="1874"/>
      <c r="L47" s="1874"/>
    </row>
    <row r="48" spans="1:12" ht="14.25">
      <c r="H48" s="1871"/>
      <c r="I48" s="1871"/>
      <c r="J48" s="1871"/>
      <c r="K48" s="1871"/>
      <c r="L48" s="1871"/>
    </row>
    <row r="49" spans="2:13" ht="14.25">
      <c r="H49" s="1870">
        <v>71.55</v>
      </c>
      <c r="I49" s="1870">
        <v>74.86</v>
      </c>
      <c r="J49" s="1870">
        <v>110.69</v>
      </c>
      <c r="K49" s="1870"/>
      <c r="L49" s="1870"/>
    </row>
    <row r="50" spans="2:13" ht="14.25">
      <c r="H50" s="310"/>
      <c r="I50" s="310"/>
      <c r="J50" s="310"/>
      <c r="K50" s="310"/>
      <c r="L50" s="310"/>
    </row>
    <row r="51" spans="2:13" ht="14.25">
      <c r="H51" s="1875"/>
      <c r="I51" s="1875"/>
      <c r="J51" s="1875"/>
      <c r="K51" s="1875"/>
      <c r="L51" s="1875"/>
    </row>
    <row r="52" spans="2:13" ht="14.25">
      <c r="H52" s="310"/>
      <c r="I52" s="310"/>
      <c r="J52" s="310"/>
      <c r="K52" s="310"/>
      <c r="L52" s="310"/>
    </row>
    <row r="54" spans="2:13" ht="15">
      <c r="B54" s="1281" t="s">
        <v>950</v>
      </c>
      <c r="C54" s="1290" t="s">
        <v>951</v>
      </c>
      <c r="D54" s="1290"/>
      <c r="E54" s="1290"/>
      <c r="F54" s="1282"/>
      <c r="G54" s="1282"/>
      <c r="H54" s="1282"/>
      <c r="I54" s="1282"/>
      <c r="J54" s="1282"/>
      <c r="K54" s="1282"/>
      <c r="L54" s="1282"/>
      <c r="M54" s="1282"/>
    </row>
    <row r="55" spans="2:13" ht="30">
      <c r="B55" s="1281" t="s">
        <v>952</v>
      </c>
      <c r="C55" s="1296" t="s">
        <v>953</v>
      </c>
      <c r="D55" s="1291"/>
      <c r="E55" s="1291"/>
      <c r="F55" s="1291"/>
      <c r="G55" s="1291"/>
      <c r="H55" s="1291"/>
      <c r="I55" s="1291"/>
      <c r="J55" s="1291"/>
      <c r="K55" s="1291"/>
      <c r="L55" s="1291"/>
      <c r="M55" s="1291"/>
    </row>
    <row r="56" spans="2:13" ht="15">
      <c r="B56" s="1290" t="s">
        <v>523</v>
      </c>
      <c r="C56" s="1290"/>
      <c r="D56" s="1290"/>
      <c r="E56" s="1290"/>
      <c r="F56" s="1282"/>
      <c r="G56" s="1282"/>
      <c r="H56" s="1282"/>
      <c r="I56" s="1282"/>
      <c r="J56" s="1282"/>
      <c r="K56" s="1282"/>
      <c r="L56" s="1282"/>
      <c r="M56" s="1282"/>
    </row>
    <row r="57" spans="2:13" ht="15.75">
      <c r="B57" s="1283" t="s">
        <v>954</v>
      </c>
      <c r="C57" s="1282"/>
      <c r="D57" s="1283" t="s">
        <v>979</v>
      </c>
      <c r="E57" s="1283"/>
      <c r="F57" s="1283"/>
      <c r="G57" s="1283"/>
      <c r="H57" s="1282"/>
      <c r="I57" s="1282"/>
      <c r="J57" s="1282"/>
      <c r="K57" s="1282"/>
      <c r="L57" s="1282"/>
      <c r="M57" s="1282"/>
    </row>
    <row r="58" spans="2:13">
      <c r="B58" s="1282"/>
      <c r="C58" s="1282"/>
      <c r="D58" s="1282"/>
      <c r="E58" s="1282"/>
      <c r="F58" s="1282"/>
      <c r="G58" s="1282"/>
      <c r="H58" s="1282"/>
      <c r="I58" s="1282"/>
      <c r="J58" s="1285" t="s">
        <v>955</v>
      </c>
      <c r="K58" s="1285"/>
      <c r="L58" s="1282"/>
      <c r="M58" s="1282"/>
    </row>
    <row r="59" spans="2:13" ht="14.25">
      <c r="B59" s="1282"/>
      <c r="C59" s="1282"/>
      <c r="D59" s="1282"/>
      <c r="E59" s="1282"/>
      <c r="F59" s="1282"/>
      <c r="G59" s="1282"/>
      <c r="H59" s="1282"/>
      <c r="I59" s="1282"/>
      <c r="J59" s="1284" t="s">
        <v>29</v>
      </c>
      <c r="K59" s="1282"/>
      <c r="L59" s="1282"/>
      <c r="M59" s="1282"/>
    </row>
    <row r="60" spans="2:13" ht="15">
      <c r="B60" s="1285" t="s">
        <v>956</v>
      </c>
      <c r="C60" s="1285" t="s">
        <v>957</v>
      </c>
      <c r="D60" s="1285"/>
      <c r="E60" s="1285"/>
      <c r="F60" s="1285"/>
      <c r="G60" s="1285"/>
      <c r="H60" s="1282"/>
      <c r="I60" s="1282"/>
      <c r="J60" s="1282"/>
      <c r="K60" s="1290" t="s">
        <v>958</v>
      </c>
      <c r="L60" s="1290"/>
      <c r="M60" s="1290"/>
    </row>
    <row r="61" spans="2:13" ht="15.75">
      <c r="B61" s="1283" t="s">
        <v>980</v>
      </c>
      <c r="C61" s="1283" t="s">
        <v>959</v>
      </c>
      <c r="D61" s="1283"/>
      <c r="E61" s="1283"/>
      <c r="F61" s="1283" t="s">
        <v>14</v>
      </c>
      <c r="G61" s="1282"/>
      <c r="H61" s="1282"/>
      <c r="I61" s="1282"/>
      <c r="J61" s="1286">
        <v>259.90771599999999</v>
      </c>
      <c r="K61" s="1283" t="s">
        <v>960</v>
      </c>
      <c r="L61" s="1282"/>
      <c r="M61" s="1282"/>
    </row>
    <row r="62" spans="2:13" ht="15.75">
      <c r="B62" s="1283" t="s">
        <v>981</v>
      </c>
      <c r="C62" s="1283" t="s">
        <v>961</v>
      </c>
      <c r="D62" s="1283"/>
      <c r="E62" s="1282"/>
      <c r="F62" s="1282"/>
      <c r="G62" s="1282"/>
      <c r="H62" s="1282"/>
      <c r="I62" s="1282"/>
      <c r="J62" s="1286">
        <v>1.06396</v>
      </c>
      <c r="K62" s="1283" t="s">
        <v>962</v>
      </c>
      <c r="L62" s="1282"/>
      <c r="M62" s="1282"/>
    </row>
    <row r="63" spans="2:13" ht="15.75">
      <c r="B63" s="1283" t="s">
        <v>982</v>
      </c>
      <c r="C63" s="1283" t="s">
        <v>963</v>
      </c>
      <c r="D63" s="1283"/>
      <c r="E63" s="1282"/>
      <c r="F63" s="1283" t="s">
        <v>14</v>
      </c>
      <c r="G63" s="1282"/>
      <c r="H63" s="1282"/>
      <c r="I63" s="1282"/>
      <c r="J63" s="1286">
        <v>3.8284189999999998</v>
      </c>
      <c r="K63" s="1283" t="s">
        <v>964</v>
      </c>
      <c r="L63" s="1282"/>
      <c r="M63" s="1282"/>
    </row>
    <row r="64" spans="2:13">
      <c r="B64" s="1282"/>
      <c r="C64" s="1282"/>
      <c r="D64" s="1282"/>
      <c r="E64" s="1282"/>
      <c r="F64" s="1282"/>
      <c r="G64" s="1282"/>
      <c r="H64" s="1282"/>
      <c r="I64" s="1282"/>
      <c r="J64" s="1282"/>
      <c r="K64" s="1282"/>
      <c r="L64" s="1282"/>
      <c r="M64" s="1282"/>
    </row>
    <row r="65" spans="2:13">
      <c r="K65" s="1282"/>
      <c r="L65" s="1282"/>
      <c r="M65" s="1282"/>
    </row>
    <row r="66" spans="2:13">
      <c r="B66" s="1282"/>
      <c r="C66" s="1282"/>
      <c r="D66" s="1282"/>
      <c r="E66" s="1282"/>
      <c r="F66" s="1282"/>
      <c r="G66" s="1282"/>
      <c r="H66" s="1282"/>
      <c r="I66" s="1282"/>
      <c r="J66" s="1282"/>
      <c r="K66" s="1282"/>
      <c r="L66" s="1282"/>
      <c r="M66" s="1282"/>
    </row>
  </sheetData>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enableFormatConditionsCalculation="0">
    <tabColor theme="3" tint="0.79998168889431442"/>
  </sheetPr>
  <dimension ref="A14:I163"/>
  <sheetViews>
    <sheetView showGridLines="0" topLeftCell="A130" workbookViewId="0">
      <selection activeCell="E149" sqref="E149:E154"/>
    </sheetView>
  </sheetViews>
  <sheetFormatPr defaultColWidth="11.42578125" defaultRowHeight="12.75"/>
  <cols>
    <col min="5" max="5" width="12" bestFit="1" customWidth="1"/>
  </cols>
  <sheetData>
    <row r="14" spans="1:9">
      <c r="A14" s="8" t="s">
        <v>706</v>
      </c>
      <c r="B14" s="1"/>
      <c r="C14" s="1"/>
      <c r="D14" s="1"/>
      <c r="E14" s="1"/>
      <c r="F14" s="1"/>
      <c r="G14" s="1"/>
      <c r="H14" s="1"/>
      <c r="I14" s="1"/>
    </row>
    <row r="16" spans="1:9" ht="63.75">
      <c r="A16" s="28"/>
      <c r="B16" s="973"/>
      <c r="C16" s="974" t="s">
        <v>635</v>
      </c>
      <c r="D16" s="975" t="s">
        <v>31</v>
      </c>
      <c r="E16" s="976" t="s">
        <v>870</v>
      </c>
      <c r="F16" s="976"/>
      <c r="G16" s="976" t="s">
        <v>707</v>
      </c>
      <c r="H16" s="976" t="s">
        <v>697</v>
      </c>
      <c r="I16" s="976" t="s">
        <v>455</v>
      </c>
    </row>
    <row r="17" spans="1:9" ht="114.75">
      <c r="A17" s="3"/>
      <c r="B17" s="14"/>
      <c r="C17" s="19"/>
      <c r="D17" s="3"/>
      <c r="E17" s="977" t="s">
        <v>579</v>
      </c>
      <c r="F17" s="977" t="s">
        <v>216</v>
      </c>
      <c r="G17" s="977" t="s">
        <v>442</v>
      </c>
      <c r="H17" s="977" t="s">
        <v>907</v>
      </c>
      <c r="I17" s="978" t="s">
        <v>877</v>
      </c>
    </row>
    <row r="18" spans="1:9">
      <c r="A18" s="3" t="s">
        <v>459</v>
      </c>
      <c r="B18" s="14"/>
      <c r="C18" s="19"/>
      <c r="D18" s="3"/>
      <c r="E18" s="3"/>
      <c r="F18" s="19"/>
      <c r="G18" s="19"/>
      <c r="H18" s="19"/>
      <c r="I18" s="19"/>
    </row>
    <row r="19" spans="1:9">
      <c r="A19" s="25"/>
      <c r="B19" s="20" t="s">
        <v>224</v>
      </c>
      <c r="C19" s="21"/>
      <c r="D19" s="25"/>
      <c r="E19" s="25"/>
      <c r="F19" s="21"/>
      <c r="G19" s="21"/>
      <c r="H19" s="21"/>
      <c r="I19" s="21"/>
    </row>
    <row r="20" spans="1:9">
      <c r="A20" s="25"/>
      <c r="B20" s="20"/>
      <c r="C20" s="21" t="s">
        <v>460</v>
      </c>
      <c r="D20" s="25" t="s">
        <v>177</v>
      </c>
      <c r="E20" s="4">
        <f>IF(ISNUMBER('FBPQ C2'!J12),'FBPQ C2'!J12,IF(ISNUMBER('FBPQ C2'!I12),'FBPQ C2'!I12,""))</f>
        <v>39.50991010706953</v>
      </c>
      <c r="F20" s="29" t="s">
        <v>217</v>
      </c>
      <c r="G20" s="29">
        <f t="shared" ref="G20:G51" si="0">IF(ISNUMBER(E20),E20,IF(H20&gt;0,F20," "))</f>
        <v>39.50991010706953</v>
      </c>
      <c r="H20" s="21">
        <f>IF(ISBLANK('FBPQ T4'!E12)," ",'FBPQ T4'!AE12)</f>
        <v>5011.7</v>
      </c>
      <c r="I20" s="21">
        <f t="shared" ref="I20:I51" si="1">IF(ISERROR(G20*H20)," ",G20*H20)</f>
        <v>198011.81648360036</v>
      </c>
    </row>
    <row r="21" spans="1:9">
      <c r="A21" s="25"/>
      <c r="B21" s="20"/>
      <c r="C21" s="21" t="s">
        <v>461</v>
      </c>
      <c r="D21" s="25" t="s">
        <v>738</v>
      </c>
      <c r="E21" s="4">
        <f>IF(ISNUMBER('FBPQ C2'!J13),'FBPQ C2'!J13,IF(ISNUMBER('FBPQ C2'!I13),'FBPQ C2'!I13,""))</f>
        <v>0.48182817203743339</v>
      </c>
      <c r="F21" s="29" t="s">
        <v>217</v>
      </c>
      <c r="G21" s="29">
        <f t="shared" si="0"/>
        <v>0.48182817203743339</v>
      </c>
      <c r="H21" s="21">
        <f>IF(ISBLANK('FBPQ T4'!E13)," ",'FBPQ T4'!AE13)</f>
        <v>124564</v>
      </c>
      <c r="I21" s="21">
        <f t="shared" si="1"/>
        <v>60018.444421670851</v>
      </c>
    </row>
    <row r="22" spans="1:9">
      <c r="A22" s="25"/>
      <c r="B22" s="20"/>
      <c r="C22" s="21"/>
      <c r="D22" s="25"/>
      <c r="E22" s="4" t="str">
        <f>IF(ISNUMBER('FBPQ C2'!J14),'FBPQ C2'!J14,IF(ISNUMBER('FBPQ C2'!I14),'FBPQ C2'!I14,""))</f>
        <v/>
      </c>
      <c r="F22" s="29"/>
      <c r="G22" s="29">
        <f t="shared" si="0"/>
        <v>0</v>
      </c>
      <c r="H22" s="21" t="str">
        <f>IF(ISBLANK('FBPQ T4'!E14)," ",'FBPQ T4'!AE14)</f>
        <v xml:space="preserve"> </v>
      </c>
      <c r="I22" s="21" t="str">
        <f t="shared" si="1"/>
        <v xml:space="preserve"> </v>
      </c>
    </row>
    <row r="23" spans="1:9">
      <c r="A23" s="25"/>
      <c r="B23" s="20" t="s">
        <v>739</v>
      </c>
      <c r="C23" s="21"/>
      <c r="D23" s="25"/>
      <c r="E23" s="4" t="str">
        <f>IF(ISNUMBER('FBPQ C2'!J15),'FBPQ C2'!J15,IF(ISNUMBER('FBPQ C2'!I15),'FBPQ C2'!I15,""))</f>
        <v/>
      </c>
      <c r="F23" s="29"/>
      <c r="G23" s="29">
        <f t="shared" si="0"/>
        <v>0</v>
      </c>
      <c r="H23" s="21" t="str">
        <f>IF(ISBLANK('FBPQ T4'!E15)," ",'FBPQ T4'!AE15)</f>
        <v xml:space="preserve"> </v>
      </c>
      <c r="I23" s="21" t="str">
        <f t="shared" si="1"/>
        <v xml:space="preserve"> </v>
      </c>
    </row>
    <row r="24" spans="1:9">
      <c r="A24" s="25"/>
      <c r="B24" s="20"/>
      <c r="C24" s="21" t="s">
        <v>740</v>
      </c>
      <c r="D24" s="25" t="s">
        <v>738</v>
      </c>
      <c r="E24" s="4">
        <f>IF(ISNUMBER('FBPQ C2'!J16),'FBPQ C2'!J16,IF(ISNUMBER('FBPQ C2'!I16),'FBPQ C2'!I16,""))</f>
        <v>0</v>
      </c>
      <c r="F24" s="29" t="s">
        <v>217</v>
      </c>
      <c r="G24" s="29">
        <f t="shared" si="0"/>
        <v>0</v>
      </c>
      <c r="H24" s="21">
        <f>IF(ISBLANK('FBPQ T4'!E16)," ",'FBPQ T4'!AE16)</f>
        <v>121993</v>
      </c>
      <c r="I24" s="21">
        <f t="shared" si="1"/>
        <v>0</v>
      </c>
    </row>
    <row r="25" spans="1:9">
      <c r="A25" s="25"/>
      <c r="B25" s="20"/>
      <c r="C25" s="21"/>
      <c r="D25" s="25"/>
      <c r="E25" s="4" t="str">
        <f>IF(ISNUMBER('FBPQ C2'!J17),'FBPQ C2'!J17,IF(ISNUMBER('FBPQ C2'!I17),'FBPQ C2'!I17,""))</f>
        <v/>
      </c>
      <c r="F25" s="29"/>
      <c r="G25" s="29">
        <f t="shared" si="0"/>
        <v>0</v>
      </c>
      <c r="H25" s="21" t="str">
        <f>IF(ISBLANK('FBPQ T4'!E17)," ",'FBPQ T4'!AE17)</f>
        <v xml:space="preserve"> </v>
      </c>
      <c r="I25" s="21" t="str">
        <f t="shared" si="1"/>
        <v xml:space="preserve"> </v>
      </c>
    </row>
    <row r="26" spans="1:9">
      <c r="A26" s="25"/>
      <c r="B26" s="20" t="s">
        <v>872</v>
      </c>
      <c r="C26" s="21"/>
      <c r="D26" s="25"/>
      <c r="E26" s="4" t="str">
        <f>IF(ISNUMBER('FBPQ C2'!J18),'FBPQ C2'!J18,IF(ISNUMBER('FBPQ C2'!I18),'FBPQ C2'!I18,""))</f>
        <v/>
      </c>
      <c r="F26" s="29"/>
      <c r="G26" s="29">
        <f t="shared" si="0"/>
        <v>0</v>
      </c>
      <c r="H26" s="21" t="str">
        <f>IF(ISBLANK('FBPQ T4'!E18)," ",'FBPQ T4'!AE18)</f>
        <v xml:space="preserve"> </v>
      </c>
      <c r="I26" s="21" t="str">
        <f t="shared" si="1"/>
        <v xml:space="preserve"> </v>
      </c>
    </row>
    <row r="27" spans="1:9">
      <c r="A27" s="25"/>
      <c r="B27" s="20"/>
      <c r="C27" s="21" t="s">
        <v>767</v>
      </c>
      <c r="D27" s="25" t="s">
        <v>177</v>
      </c>
      <c r="E27" s="4">
        <f>IF(ISNUMBER('FBPQ C2'!J19),'FBPQ C2'!J19,IF(ISNUMBER('FBPQ C2'!I19),'FBPQ C2'!I19,""))</f>
        <v>120.45704300935833</v>
      </c>
      <c r="F27" s="29" t="s">
        <v>217</v>
      </c>
      <c r="G27" s="29">
        <f t="shared" si="0"/>
        <v>120.45704300935833</v>
      </c>
      <c r="H27" s="21">
        <f>IF(ISBLANK('FBPQ T4'!E19)," ",'FBPQ T4'!AE19)</f>
        <v>11</v>
      </c>
      <c r="I27" s="21">
        <f t="shared" si="1"/>
        <v>1325.0274731029417</v>
      </c>
    </row>
    <row r="28" spans="1:9">
      <c r="A28" s="25"/>
      <c r="B28" s="20"/>
      <c r="C28" s="21" t="s">
        <v>628</v>
      </c>
      <c r="D28" s="25" t="s">
        <v>177</v>
      </c>
      <c r="E28" s="4">
        <f>IF(ISNUMBER('FBPQ C2'!J20),'FBPQ C2'!J20,IF(ISNUMBER('FBPQ C2'!I20),'FBPQ C2'!I20,""))</f>
        <v>120.45704300935833</v>
      </c>
      <c r="F28" s="29" t="s">
        <v>217</v>
      </c>
      <c r="G28" s="29">
        <f t="shared" si="0"/>
        <v>120.45704300935833</v>
      </c>
      <c r="H28" s="21">
        <f>IF(ISBLANK('FBPQ T4'!E20)," ",'FBPQ T4'!AE20)</f>
        <v>15211.5</v>
      </c>
      <c r="I28" s="21">
        <f t="shared" si="1"/>
        <v>1832332.3097368542</v>
      </c>
    </row>
    <row r="29" spans="1:9">
      <c r="A29" s="25"/>
      <c r="B29" s="20"/>
      <c r="C29" s="21" t="s">
        <v>629</v>
      </c>
      <c r="D29" s="25" t="s">
        <v>177</v>
      </c>
      <c r="E29" s="4">
        <f>IF(ISNUMBER('FBPQ C2'!J21),'FBPQ C2'!J21,IF(ISNUMBER('FBPQ C2'!I21),'FBPQ C2'!I21,""))</f>
        <v>120.45704300935833</v>
      </c>
      <c r="F29" s="29" t="s">
        <v>217</v>
      </c>
      <c r="G29" s="29">
        <f t="shared" si="0"/>
        <v>120.45704300935833</v>
      </c>
      <c r="H29" s="21">
        <f>IF(ISBLANK('FBPQ T4'!E21)," ",'FBPQ T4'!AE21)</f>
        <v>18317</v>
      </c>
      <c r="I29" s="21">
        <f t="shared" si="1"/>
        <v>2206411.6568024163</v>
      </c>
    </row>
    <row r="30" spans="1:9">
      <c r="A30" s="25"/>
      <c r="B30" s="20"/>
      <c r="C30" s="21" t="s">
        <v>630</v>
      </c>
      <c r="D30" s="25" t="s">
        <v>738</v>
      </c>
      <c r="E30" s="4">
        <f>IF(ISNUMBER('FBPQ C2'!J22),'FBPQ C2'!J22,IF(ISNUMBER('FBPQ C2'!I22),'FBPQ C2'!I22,""))</f>
        <v>1.6107756705297416</v>
      </c>
      <c r="F30" s="29" t="s">
        <v>217</v>
      </c>
      <c r="G30" s="29">
        <f t="shared" si="0"/>
        <v>1.6107756705297416</v>
      </c>
      <c r="H30" s="21">
        <f>IF(ISBLANK('FBPQ T4'!E22)," ",'FBPQ T4'!AE22)</f>
        <v>2485119.1</v>
      </c>
      <c r="I30" s="21">
        <f t="shared" si="1"/>
        <v>4002969.3846487682</v>
      </c>
    </row>
    <row r="31" spans="1:9">
      <c r="A31" s="25"/>
      <c r="B31" s="20"/>
      <c r="C31" s="21"/>
      <c r="D31" s="25"/>
      <c r="E31" s="4" t="str">
        <f>IF(ISNUMBER('FBPQ C2'!J23),'FBPQ C2'!J23,IF(ISNUMBER('FBPQ C2'!I23),'FBPQ C2'!I23,""))</f>
        <v/>
      </c>
      <c r="F31" s="29"/>
      <c r="G31" s="29">
        <f t="shared" si="0"/>
        <v>0</v>
      </c>
      <c r="H31" s="21" t="str">
        <f>IF(ISBLANK('FBPQ T4'!E23)," ",'FBPQ T4'!AE23)</f>
        <v xml:space="preserve"> </v>
      </c>
      <c r="I31" s="21" t="str">
        <f t="shared" si="1"/>
        <v xml:space="preserve"> </v>
      </c>
    </row>
    <row r="32" spans="1:9">
      <c r="A32" s="25"/>
      <c r="B32" s="20" t="s">
        <v>631</v>
      </c>
      <c r="C32" s="21"/>
      <c r="D32" s="25"/>
      <c r="E32" s="4" t="str">
        <f>IF(ISNUMBER('FBPQ C2'!J24),'FBPQ C2'!J24,IF(ISNUMBER('FBPQ C2'!I24),'FBPQ C2'!I24,""))</f>
        <v/>
      </c>
      <c r="F32" s="29"/>
      <c r="G32" s="29">
        <f t="shared" si="0"/>
        <v>0</v>
      </c>
      <c r="H32" s="21" t="str">
        <f>IF(ISBLANK('FBPQ T4'!E24)," ",'FBPQ T4'!AE24)</f>
        <v xml:space="preserve"> </v>
      </c>
      <c r="I32" s="21" t="str">
        <f t="shared" si="1"/>
        <v xml:space="preserve"> </v>
      </c>
    </row>
    <row r="33" spans="1:9">
      <c r="A33" s="25"/>
      <c r="B33" s="20"/>
      <c r="C33" s="21" t="s">
        <v>632</v>
      </c>
      <c r="D33" s="25" t="s">
        <v>738</v>
      </c>
      <c r="E33" s="4">
        <f>IF(ISNUMBER('FBPQ C2'!J25),'FBPQ C2'!J25,IF(ISNUMBER('FBPQ C2'!I25),'FBPQ C2'!I25,""))</f>
        <v>5.4205669354211254</v>
      </c>
      <c r="F33" s="29" t="s">
        <v>217</v>
      </c>
      <c r="G33" s="29">
        <f t="shared" si="0"/>
        <v>5.4205669354211254</v>
      </c>
      <c r="H33" s="21">
        <f>IF(ISBLANK('FBPQ T4'!E25)," ",'FBPQ T4'!AE25)</f>
        <v>9596</v>
      </c>
      <c r="I33" s="21">
        <f t="shared" si="1"/>
        <v>52015.760312301121</v>
      </c>
    </row>
    <row r="34" spans="1:9">
      <c r="A34" s="25"/>
      <c r="B34" s="20"/>
      <c r="C34" s="21" t="s">
        <v>633</v>
      </c>
      <c r="D34" s="25" t="s">
        <v>738</v>
      </c>
      <c r="E34" s="4">
        <f>IF(ISNUMBER('FBPQ C2'!J26),'FBPQ C2'!J26,IF(ISNUMBER('FBPQ C2'!I26),'FBPQ C2'!I26,""))</f>
        <v>5.4205669354211254</v>
      </c>
      <c r="F34" s="29" t="s">
        <v>217</v>
      </c>
      <c r="G34" s="29">
        <f t="shared" si="0"/>
        <v>5.4205669354211254</v>
      </c>
      <c r="H34" s="21">
        <f>IF(ISBLANK('FBPQ T4'!E26)," ",'FBPQ T4'!AE26)</f>
        <v>7772</v>
      </c>
      <c r="I34" s="21">
        <f t="shared" si="1"/>
        <v>42128.64622209299</v>
      </c>
    </row>
    <row r="35" spans="1:9">
      <c r="A35" s="25"/>
      <c r="B35" s="20"/>
      <c r="C35" s="21" t="s">
        <v>752</v>
      </c>
      <c r="D35" s="25" t="s">
        <v>738</v>
      </c>
      <c r="E35" s="4">
        <f>IF(ISNUMBER('FBPQ C2'!J27),'FBPQ C2'!J27,IF(ISNUMBER('FBPQ C2'!I27),'FBPQ C2'!I27,""))</f>
        <v>5.4205669354211254</v>
      </c>
      <c r="F35" s="29" t="s">
        <v>217</v>
      </c>
      <c r="G35" s="29">
        <f t="shared" si="0"/>
        <v>5.4205669354211254</v>
      </c>
      <c r="H35" s="21">
        <f>IF(ISBLANK('FBPQ T4'!E27)," ",'FBPQ T4'!AE27)</f>
        <v>2299</v>
      </c>
      <c r="I35" s="21">
        <f t="shared" si="1"/>
        <v>12461.883384533168</v>
      </c>
    </row>
    <row r="36" spans="1:9">
      <c r="A36" s="25"/>
      <c r="B36" s="20"/>
      <c r="C36" s="21" t="s">
        <v>753</v>
      </c>
      <c r="D36" s="25" t="s">
        <v>738</v>
      </c>
      <c r="E36" s="4">
        <f>IF(ISNUMBER('FBPQ C2'!J28),'FBPQ C2'!J28,IF(ISNUMBER('FBPQ C2'!I28),'FBPQ C2'!I28,""))</f>
        <v>4.5773676343556167</v>
      </c>
      <c r="F36" s="29" t="s">
        <v>217</v>
      </c>
      <c r="G36" s="29">
        <f t="shared" si="0"/>
        <v>4.5773676343556167</v>
      </c>
      <c r="H36" s="21">
        <f>IF(ISBLANK('FBPQ T4'!E28)," ",'FBPQ T4'!AE28)</f>
        <v>28524</v>
      </c>
      <c r="I36" s="21">
        <f t="shared" si="1"/>
        <v>130564.83440235961</v>
      </c>
    </row>
    <row r="37" spans="1:9">
      <c r="A37" s="25"/>
      <c r="B37" s="20"/>
      <c r="C37" s="21" t="s">
        <v>41</v>
      </c>
      <c r="D37" s="25" t="s">
        <v>738</v>
      </c>
      <c r="E37" s="4" t="str">
        <f>IF(ISNUMBER('FBPQ C2'!J29),'FBPQ C2'!J29,IF(ISNUMBER('FBPQ C2'!I29),'FBPQ C2'!I29,""))</f>
        <v/>
      </c>
      <c r="F37" s="29" t="s">
        <v>217</v>
      </c>
      <c r="G37" s="29" t="str">
        <f t="shared" si="0"/>
        <v>DATA</v>
      </c>
      <c r="H37" s="21">
        <f>IF(ISBLANK('FBPQ T4'!E29)," ",'FBPQ T4'!AE29)</f>
        <v>22692</v>
      </c>
      <c r="I37" s="21" t="str">
        <f t="shared" si="1"/>
        <v xml:space="preserve"> </v>
      </c>
    </row>
    <row r="38" spans="1:9">
      <c r="A38" s="25"/>
      <c r="B38" s="20"/>
      <c r="C38" s="21" t="s">
        <v>42</v>
      </c>
      <c r="D38" s="25" t="s">
        <v>738</v>
      </c>
      <c r="E38" s="4" t="str">
        <f>IF(ISNUMBER('FBPQ C2'!J30),'FBPQ C2'!J30,IF(ISNUMBER('FBPQ C2'!I30),'FBPQ C2'!I30,""))</f>
        <v/>
      </c>
      <c r="F38" s="29" t="s">
        <v>217</v>
      </c>
      <c r="G38" s="29" t="str">
        <f t="shared" si="0"/>
        <v xml:space="preserve"> </v>
      </c>
      <c r="H38" s="21">
        <f>IF(ISBLANK('FBPQ T4'!E30)," ",'FBPQ T4'!AE30)</f>
        <v>0</v>
      </c>
      <c r="I38" s="21" t="str">
        <f t="shared" si="1"/>
        <v xml:space="preserve"> </v>
      </c>
    </row>
    <row r="39" spans="1:9">
      <c r="A39" s="25"/>
      <c r="B39" s="20"/>
      <c r="C39" s="21"/>
      <c r="D39" s="25"/>
      <c r="E39" s="4" t="str">
        <f>IF(ISNUMBER('FBPQ C2'!J31),'FBPQ C2'!J31,IF(ISNUMBER('FBPQ C2'!I31),'FBPQ C2'!I31,""))</f>
        <v/>
      </c>
      <c r="F39" s="29"/>
      <c r="G39" s="29">
        <f t="shared" si="0"/>
        <v>0</v>
      </c>
      <c r="H39" s="21" t="str">
        <f>IF(ISBLANK('FBPQ T4'!E31)," ",'FBPQ T4'!AE31)</f>
        <v xml:space="preserve"> </v>
      </c>
      <c r="I39" s="21" t="str">
        <f t="shared" si="1"/>
        <v xml:space="preserve"> </v>
      </c>
    </row>
    <row r="40" spans="1:9">
      <c r="A40" s="25" t="s">
        <v>43</v>
      </c>
      <c r="B40" s="20"/>
      <c r="C40" s="21"/>
      <c r="D40" s="25"/>
      <c r="E40" s="4" t="str">
        <f>IF(ISNUMBER('FBPQ C2'!J32),'FBPQ C2'!J32,IF(ISNUMBER('FBPQ C2'!I32),'FBPQ C2'!I32,""))</f>
        <v/>
      </c>
      <c r="F40" s="29"/>
      <c r="G40" s="29">
        <f t="shared" si="0"/>
        <v>0</v>
      </c>
      <c r="H40" s="21" t="str">
        <f>IF(ISBLANK('FBPQ T4'!E32)," ",'FBPQ T4'!AE32)</f>
        <v xml:space="preserve"> </v>
      </c>
      <c r="I40" s="21" t="str">
        <f t="shared" si="1"/>
        <v xml:space="preserve"> </v>
      </c>
    </row>
    <row r="41" spans="1:9">
      <c r="A41" s="25"/>
      <c r="B41" s="20" t="s">
        <v>224</v>
      </c>
      <c r="C41" s="21"/>
      <c r="D41" s="25"/>
      <c r="E41" s="4" t="str">
        <f>IF(ISNUMBER('FBPQ C2'!J33),'FBPQ C2'!J33,IF(ISNUMBER('FBPQ C2'!I33),'FBPQ C2'!I33,""))</f>
        <v/>
      </c>
      <c r="F41" s="29"/>
      <c r="G41" s="29">
        <f t="shared" si="0"/>
        <v>0</v>
      </c>
      <c r="H41" s="21" t="str">
        <f>IF(ISBLANK('FBPQ T4'!E33)," ",'FBPQ T4'!AE33)</f>
        <v xml:space="preserve"> </v>
      </c>
      <c r="I41" s="21" t="str">
        <f t="shared" si="1"/>
        <v xml:space="preserve"> </v>
      </c>
    </row>
    <row r="42" spans="1:9">
      <c r="A42" s="25"/>
      <c r="B42" s="20"/>
      <c r="C42" s="21" t="s">
        <v>44</v>
      </c>
      <c r="D42" s="25" t="s">
        <v>177</v>
      </c>
      <c r="E42" s="4">
        <f>IF(ISNUMBER('FBPQ C2'!J34),'FBPQ C2'!J34,IF(ISNUMBER('FBPQ C2'!I34),'FBPQ C2'!I34,""))</f>
        <v>40.834937580172472</v>
      </c>
      <c r="F42" s="29" t="s">
        <v>217</v>
      </c>
      <c r="G42" s="29">
        <f t="shared" si="0"/>
        <v>40.834937580172472</v>
      </c>
      <c r="H42" s="21">
        <f>IF(ISBLANK('FBPQ T4'!E34)," ",'FBPQ T4'!AE34)</f>
        <v>12473.2</v>
      </c>
      <c r="I42" s="21">
        <f t="shared" si="1"/>
        <v>509342.3434250073</v>
      </c>
    </row>
    <row r="43" spans="1:9">
      <c r="A43" s="25"/>
      <c r="B43" s="20"/>
      <c r="C43" s="21" t="s">
        <v>45</v>
      </c>
      <c r="D43" s="25" t="s">
        <v>177</v>
      </c>
      <c r="E43" s="4">
        <f>IF(ISNUMBER('FBPQ C2'!J35),'FBPQ C2'!J35,IF(ISNUMBER('FBPQ C2'!I35),'FBPQ C2'!I35,""))</f>
        <v>40.834937580172472</v>
      </c>
      <c r="F43" s="29" t="s">
        <v>217</v>
      </c>
      <c r="G43" s="29">
        <f t="shared" si="0"/>
        <v>40.834937580172472</v>
      </c>
      <c r="H43" s="21">
        <f>IF(ISBLANK('FBPQ T4'!E35)," ",'FBPQ T4'!AE35)</f>
        <v>20</v>
      </c>
      <c r="I43" s="21">
        <f t="shared" si="1"/>
        <v>816.69875160344941</v>
      </c>
    </row>
    <row r="44" spans="1:9">
      <c r="A44" s="25"/>
      <c r="B44" s="20"/>
      <c r="C44" s="21" t="s">
        <v>46</v>
      </c>
      <c r="D44" s="25" t="s">
        <v>177</v>
      </c>
      <c r="E44" s="4">
        <f>IF(ISNUMBER('FBPQ C2'!J36),'FBPQ C2'!J36,IF(ISNUMBER('FBPQ C2'!I36),'FBPQ C2'!I36,""))</f>
        <v>0</v>
      </c>
      <c r="F44" s="29" t="s">
        <v>217</v>
      </c>
      <c r="G44" s="29">
        <f t="shared" si="0"/>
        <v>0</v>
      </c>
      <c r="H44" s="21">
        <f>IF(ISBLANK('FBPQ T4'!E36)," ",'FBPQ T4'!AE36)</f>
        <v>0</v>
      </c>
      <c r="I44" s="21">
        <f t="shared" si="1"/>
        <v>0</v>
      </c>
    </row>
    <row r="45" spans="1:9">
      <c r="A45" s="25"/>
      <c r="B45" s="20"/>
      <c r="C45" s="21" t="s">
        <v>643</v>
      </c>
      <c r="D45" s="25" t="s">
        <v>177</v>
      </c>
      <c r="E45" s="4">
        <f>IF(ISNUMBER('FBPQ C2'!J37),'FBPQ C2'!J37,IF(ISNUMBER('FBPQ C2'!I37),'FBPQ C2'!I37,""))</f>
        <v>0</v>
      </c>
      <c r="F45" s="29" t="s">
        <v>217</v>
      </c>
      <c r="G45" s="29">
        <f t="shared" si="0"/>
        <v>0</v>
      </c>
      <c r="H45" s="21">
        <f>IF(ISBLANK('FBPQ T4'!E37)," ",'FBPQ T4'!AE37)</f>
        <v>0</v>
      </c>
      <c r="I45" s="21">
        <f t="shared" si="1"/>
        <v>0</v>
      </c>
    </row>
    <row r="46" spans="1:9">
      <c r="A46" s="25"/>
      <c r="B46" s="20"/>
      <c r="C46" s="21"/>
      <c r="D46" s="25"/>
      <c r="E46" s="4" t="str">
        <f>IF(ISNUMBER('FBPQ C2'!J38),'FBPQ C2'!J38,IF(ISNUMBER('FBPQ C2'!I38),'FBPQ C2'!I38,""))</f>
        <v/>
      </c>
      <c r="F46" s="29"/>
      <c r="G46" s="29">
        <f t="shared" si="0"/>
        <v>0</v>
      </c>
      <c r="H46" s="21" t="str">
        <f>IF(ISBLANK('FBPQ T4'!E38)," ",'FBPQ T4'!AE38)</f>
        <v xml:space="preserve"> </v>
      </c>
      <c r="I46" s="21" t="str">
        <f t="shared" si="1"/>
        <v xml:space="preserve"> </v>
      </c>
    </row>
    <row r="47" spans="1:9">
      <c r="A47" s="25"/>
      <c r="B47" s="20" t="s">
        <v>739</v>
      </c>
      <c r="C47" s="21"/>
      <c r="D47" s="25"/>
      <c r="E47" s="4" t="str">
        <f>IF(ISNUMBER('FBPQ C2'!J39),'FBPQ C2'!J39,IF(ISNUMBER('FBPQ C2'!I39),'FBPQ C2'!I39,""))</f>
        <v/>
      </c>
      <c r="F47" s="29"/>
      <c r="G47" s="29">
        <f t="shared" si="0"/>
        <v>0</v>
      </c>
      <c r="H47" s="21" t="str">
        <f>IF(ISBLANK('FBPQ T4'!E39)," ",'FBPQ T4'!AE39)</f>
        <v xml:space="preserve"> </v>
      </c>
      <c r="I47" s="21" t="str">
        <f t="shared" si="1"/>
        <v xml:space="preserve"> </v>
      </c>
    </row>
    <row r="48" spans="1:9">
      <c r="A48" s="25"/>
      <c r="B48" s="20"/>
      <c r="C48" s="21" t="s">
        <v>761</v>
      </c>
      <c r="D48" s="25" t="s">
        <v>738</v>
      </c>
      <c r="E48" s="4">
        <f>IF(ISNUMBER('FBPQ C2'!J40),'FBPQ C2'!J40,IF(ISNUMBER('FBPQ C2'!I40),'FBPQ C2'!I40,""))</f>
        <v>0</v>
      </c>
      <c r="F48" s="29" t="s">
        <v>217</v>
      </c>
      <c r="G48" s="29">
        <f t="shared" si="0"/>
        <v>0</v>
      </c>
      <c r="H48" s="21">
        <f>IF(ISBLANK('FBPQ T4'!E40)," ",'FBPQ T4'!AE40)</f>
        <v>160773</v>
      </c>
      <c r="I48" s="21">
        <f t="shared" si="1"/>
        <v>0</v>
      </c>
    </row>
    <row r="49" spans="1:9">
      <c r="A49" s="25"/>
      <c r="B49" s="20"/>
      <c r="C49" s="21" t="s">
        <v>762</v>
      </c>
      <c r="D49" s="25" t="s">
        <v>738</v>
      </c>
      <c r="E49" s="4">
        <f>IF(ISNUMBER('FBPQ C2'!J41),'FBPQ C2'!J41,IF(ISNUMBER('FBPQ C2'!I41),'FBPQ C2'!I41,""))</f>
        <v>0</v>
      </c>
      <c r="F49" s="29" t="s">
        <v>217</v>
      </c>
      <c r="G49" s="29">
        <f t="shared" si="0"/>
        <v>0</v>
      </c>
      <c r="H49" s="21">
        <f>IF(ISBLANK('FBPQ T4'!E41)," ",'FBPQ T4'!AE41)</f>
        <v>0</v>
      </c>
      <c r="I49" s="21">
        <f t="shared" si="1"/>
        <v>0</v>
      </c>
    </row>
    <row r="50" spans="1:9">
      <c r="A50" s="25"/>
      <c r="B50" s="20"/>
      <c r="C50" s="21"/>
      <c r="D50" s="25"/>
      <c r="E50" s="4" t="str">
        <f>IF(ISNUMBER('FBPQ C2'!J42),'FBPQ C2'!J42,IF(ISNUMBER('FBPQ C2'!I42),'FBPQ C2'!I42,""))</f>
        <v/>
      </c>
      <c r="F50" s="29" t="s">
        <v>217</v>
      </c>
      <c r="G50" s="29" t="str">
        <f t="shared" si="0"/>
        <v>DATA</v>
      </c>
      <c r="H50" s="21" t="str">
        <f>IF(ISBLANK('FBPQ T4'!E42)," ",'FBPQ T4'!AE42)</f>
        <v xml:space="preserve"> </v>
      </c>
      <c r="I50" s="21" t="str">
        <f t="shared" si="1"/>
        <v xml:space="preserve"> </v>
      </c>
    </row>
    <row r="51" spans="1:9">
      <c r="A51" s="25"/>
      <c r="B51" s="20" t="s">
        <v>763</v>
      </c>
      <c r="C51" s="21"/>
      <c r="D51" s="25"/>
      <c r="E51" s="4" t="str">
        <f>IF(ISNUMBER('FBPQ C2'!J43),'FBPQ C2'!J43,IF(ISNUMBER('FBPQ C2'!I43),'FBPQ C2'!I43,""))</f>
        <v/>
      </c>
      <c r="F51" s="29"/>
      <c r="G51" s="29">
        <f t="shared" si="0"/>
        <v>0</v>
      </c>
      <c r="H51" s="21" t="str">
        <f>IF(ISBLANK('FBPQ T4'!E43)," ",'FBPQ T4'!AE43)</f>
        <v xml:space="preserve"> </v>
      </c>
      <c r="I51" s="21" t="str">
        <f t="shared" si="1"/>
        <v xml:space="preserve"> </v>
      </c>
    </row>
    <row r="52" spans="1:9">
      <c r="A52" s="25"/>
      <c r="B52" s="20"/>
      <c r="C52" s="21" t="s">
        <v>764</v>
      </c>
      <c r="D52" s="25" t="s">
        <v>177</v>
      </c>
      <c r="E52" s="4">
        <f>IF(ISNUMBER('FBPQ C2'!J44),'FBPQ C2'!J44,IF(ISNUMBER('FBPQ C2'!I44),'FBPQ C2'!I44,""))</f>
        <v>80.103933601223289</v>
      </c>
      <c r="F52" s="29" t="s">
        <v>217</v>
      </c>
      <c r="G52" s="29">
        <f t="shared" ref="G52:G83" si="2">IF(ISNUMBER(E52),E52,IF(H52&gt;0,F52," "))</f>
        <v>80.103933601223289</v>
      </c>
      <c r="H52" s="21">
        <f>IF(ISBLANK('FBPQ T4'!E44)," ",'FBPQ T4'!AE44)</f>
        <v>13673.9</v>
      </c>
      <c r="I52" s="21">
        <f t="shared" ref="I52:I83" si="3">IF(ISERROR(G52*H52)," ",G52*H52)</f>
        <v>1095333.1776697671</v>
      </c>
    </row>
    <row r="53" spans="1:9">
      <c r="A53" s="25"/>
      <c r="B53" s="20"/>
      <c r="C53" s="21" t="s">
        <v>765</v>
      </c>
      <c r="D53" s="25" t="s">
        <v>177</v>
      </c>
      <c r="E53" s="4">
        <f>IF(ISNUMBER('FBPQ C2'!J45),'FBPQ C2'!J45,IF(ISNUMBER('FBPQ C2'!I45),'FBPQ C2'!I45,""))</f>
        <v>0</v>
      </c>
      <c r="F53" s="29" t="s">
        <v>217</v>
      </c>
      <c r="G53" s="29">
        <f t="shared" si="2"/>
        <v>0</v>
      </c>
      <c r="H53" s="21">
        <f>IF(ISBLANK('FBPQ T4'!E45)," ",'FBPQ T4'!AE45)</f>
        <v>0</v>
      </c>
      <c r="I53" s="21">
        <f t="shared" si="3"/>
        <v>0</v>
      </c>
    </row>
    <row r="54" spans="1:9">
      <c r="A54" s="25"/>
      <c r="B54" s="20"/>
      <c r="C54" s="21"/>
      <c r="D54" s="25"/>
      <c r="E54" s="4" t="str">
        <f>IF(ISNUMBER('FBPQ C2'!J46),'FBPQ C2'!J46,IF(ISNUMBER('FBPQ C2'!I46),'FBPQ C2'!I46,""))</f>
        <v/>
      </c>
      <c r="F54" s="29"/>
      <c r="G54" s="29">
        <f t="shared" si="2"/>
        <v>0</v>
      </c>
      <c r="H54" s="21" t="str">
        <f>IF(ISBLANK('FBPQ T4'!E46)," ",'FBPQ T4'!AE46)</f>
        <v xml:space="preserve"> </v>
      </c>
      <c r="I54" s="21" t="str">
        <f t="shared" si="3"/>
        <v xml:space="preserve"> </v>
      </c>
    </row>
    <row r="55" spans="1:9">
      <c r="A55" s="25"/>
      <c r="B55" s="20" t="s">
        <v>68</v>
      </c>
      <c r="C55" s="21"/>
      <c r="D55" s="25"/>
      <c r="E55" s="4" t="str">
        <f>IF(ISNUMBER('FBPQ C2'!J47),'FBPQ C2'!J47,IF(ISNUMBER('FBPQ C2'!I47),'FBPQ C2'!I47,""))</f>
        <v/>
      </c>
      <c r="F55" s="29"/>
      <c r="G55" s="29">
        <f t="shared" si="2"/>
        <v>0</v>
      </c>
      <c r="H55" s="21" t="str">
        <f>IF(ISBLANK('FBPQ T4'!E47)," ",'FBPQ T4'!AE47)</f>
        <v xml:space="preserve"> </v>
      </c>
      <c r="I55" s="21" t="str">
        <f t="shared" si="3"/>
        <v xml:space="preserve"> </v>
      </c>
    </row>
    <row r="56" spans="1:9">
      <c r="A56" s="25"/>
      <c r="B56" s="20"/>
      <c r="C56" s="21" t="s">
        <v>69</v>
      </c>
      <c r="D56" s="25" t="s">
        <v>177</v>
      </c>
      <c r="E56" s="4">
        <f>IF(ISNUMBER('FBPQ C2'!J48),'FBPQ C2'!J48,IF(ISNUMBER('FBPQ C2'!I48),'FBPQ C2'!I48,""))</f>
        <v>0</v>
      </c>
      <c r="F56" s="29" t="s">
        <v>217</v>
      </c>
      <c r="G56" s="29">
        <f t="shared" si="2"/>
        <v>0</v>
      </c>
      <c r="H56" s="21">
        <f>IF(ISBLANK('FBPQ T4'!E48)," ",'FBPQ T4'!AE48)</f>
        <v>0</v>
      </c>
      <c r="I56" s="21">
        <f t="shared" si="3"/>
        <v>0</v>
      </c>
    </row>
    <row r="57" spans="1:9">
      <c r="A57" s="25"/>
      <c r="B57" s="20"/>
      <c r="C57" s="21"/>
      <c r="D57" s="25"/>
      <c r="E57" s="4" t="str">
        <f>IF(ISNUMBER('FBPQ C2'!J49),'FBPQ C2'!J49,IF(ISNUMBER('FBPQ C2'!I49),'FBPQ C2'!I49,""))</f>
        <v/>
      </c>
      <c r="F57" s="29" t="s">
        <v>217</v>
      </c>
      <c r="G57" s="29" t="str">
        <f t="shared" si="2"/>
        <v>DATA</v>
      </c>
      <c r="H57" s="21" t="str">
        <f>IF(ISBLANK('FBPQ T4'!E49)," ",'FBPQ T4'!AE49)</f>
        <v xml:space="preserve"> </v>
      </c>
      <c r="I57" s="21" t="str">
        <f t="shared" si="3"/>
        <v xml:space="preserve"> </v>
      </c>
    </row>
    <row r="58" spans="1:9">
      <c r="A58" s="25"/>
      <c r="B58" s="20" t="s">
        <v>631</v>
      </c>
      <c r="C58" s="21"/>
      <c r="D58" s="25"/>
      <c r="E58" s="4" t="str">
        <f>IF(ISNUMBER('FBPQ C2'!J50),'FBPQ C2'!J50,IF(ISNUMBER('FBPQ C2'!I50),'FBPQ C2'!I50,""))</f>
        <v/>
      </c>
      <c r="F58" s="29"/>
      <c r="G58" s="29">
        <f t="shared" si="2"/>
        <v>0</v>
      </c>
      <c r="H58" s="21" t="str">
        <f>IF(ISBLANK('FBPQ T4'!E50)," ",'FBPQ T4'!AE50)</f>
        <v xml:space="preserve"> </v>
      </c>
      <c r="I58" s="21" t="str">
        <f t="shared" si="3"/>
        <v xml:space="preserve"> </v>
      </c>
    </row>
    <row r="59" spans="1:9">
      <c r="A59" s="25"/>
      <c r="B59" s="20"/>
      <c r="C59" s="21" t="s">
        <v>70</v>
      </c>
      <c r="D59" s="25" t="s">
        <v>738</v>
      </c>
      <c r="E59" s="4">
        <f>IF(ISNUMBER('FBPQ C2'!J51),'FBPQ C2'!J51,IF(ISNUMBER('FBPQ C2'!I51),'FBPQ C2'!I51,""))</f>
        <v>13.250274731029416</v>
      </c>
      <c r="F59" s="29" t="s">
        <v>217</v>
      </c>
      <c r="G59" s="29">
        <f t="shared" si="2"/>
        <v>13.250274731029416</v>
      </c>
      <c r="H59" s="21">
        <f>IF(ISBLANK('FBPQ T4'!E51)," ",'FBPQ T4'!AE51)</f>
        <v>1227</v>
      </c>
      <c r="I59" s="21">
        <f t="shared" si="3"/>
        <v>16258.087094973092</v>
      </c>
    </row>
    <row r="60" spans="1:9">
      <c r="A60" s="25"/>
      <c r="B60" s="20"/>
      <c r="C60" s="21" t="s">
        <v>80</v>
      </c>
      <c r="D60" s="25" t="s">
        <v>738</v>
      </c>
      <c r="E60" s="4">
        <f>IF(ISNUMBER('FBPQ C2'!J52),'FBPQ C2'!J52,IF(ISNUMBER('FBPQ C2'!I52),'FBPQ C2'!I52,""))</f>
        <v>29.271061451274075</v>
      </c>
      <c r="F60" s="29" t="s">
        <v>217</v>
      </c>
      <c r="G60" s="29">
        <f t="shared" si="2"/>
        <v>29.271061451274075</v>
      </c>
      <c r="H60" s="21">
        <f>IF(ISBLANK('FBPQ T4'!E52)," ",'FBPQ T4'!AE52)</f>
        <v>7868</v>
      </c>
      <c r="I60" s="21">
        <f t="shared" si="3"/>
        <v>230304.71149862441</v>
      </c>
    </row>
    <row r="61" spans="1:9">
      <c r="A61" s="25"/>
      <c r="B61" s="20"/>
      <c r="C61" s="21" t="s">
        <v>81</v>
      </c>
      <c r="D61" s="25" t="s">
        <v>738</v>
      </c>
      <c r="E61" s="4">
        <f>IF(ISNUMBER('FBPQ C2'!J53),'FBPQ C2'!J53,IF(ISNUMBER('FBPQ C2'!I53),'FBPQ C2'!I53,""))</f>
        <v>1.5659415591216583</v>
      </c>
      <c r="F61" s="29" t="s">
        <v>217</v>
      </c>
      <c r="G61" s="29">
        <f t="shared" si="2"/>
        <v>1.5659415591216583</v>
      </c>
      <c r="H61" s="21">
        <f>IF(ISBLANK('FBPQ T4'!E53)," ",'FBPQ T4'!AE53)</f>
        <v>387</v>
      </c>
      <c r="I61" s="21">
        <f t="shared" si="3"/>
        <v>606.01938338008176</v>
      </c>
    </row>
    <row r="62" spans="1:9">
      <c r="A62" s="25"/>
      <c r="B62" s="20"/>
      <c r="C62" s="21" t="s">
        <v>82</v>
      </c>
      <c r="D62" s="25" t="s">
        <v>738</v>
      </c>
      <c r="E62" s="4">
        <f>IF(ISNUMBER('FBPQ C2'!J54),'FBPQ C2'!J54,IF(ISNUMBER('FBPQ C2'!I54),'FBPQ C2'!I54,""))</f>
        <v>4.9387387633836912</v>
      </c>
      <c r="F62" s="29" t="s">
        <v>217</v>
      </c>
      <c r="G62" s="29">
        <f t="shared" si="2"/>
        <v>4.9387387633836912</v>
      </c>
      <c r="H62" s="21">
        <f>IF(ISBLANK('FBPQ T4'!E54)," ",'FBPQ T4'!AE54)</f>
        <v>10608</v>
      </c>
      <c r="I62" s="21">
        <f t="shared" si="3"/>
        <v>52390.140801974194</v>
      </c>
    </row>
    <row r="63" spans="1:9">
      <c r="A63" s="25"/>
      <c r="B63" s="20"/>
      <c r="C63" s="21" t="s">
        <v>776</v>
      </c>
      <c r="D63" s="25" t="s">
        <v>738</v>
      </c>
      <c r="E63" s="4">
        <f>IF(ISNUMBER('FBPQ C2'!J55),'FBPQ C2'!J55,IF(ISNUMBER('FBPQ C2'!I55),'FBPQ C2'!I55,""))</f>
        <v>15.538958548207226</v>
      </c>
      <c r="F63" s="29" t="s">
        <v>217</v>
      </c>
      <c r="G63" s="29">
        <f t="shared" si="2"/>
        <v>15.538958548207226</v>
      </c>
      <c r="H63" s="21">
        <f>IF(ISBLANK('FBPQ T4'!E55)," ",'FBPQ T4'!AE55)</f>
        <v>17327</v>
      </c>
      <c r="I63" s="21">
        <f t="shared" si="3"/>
        <v>269243.5347647866</v>
      </c>
    </row>
    <row r="64" spans="1:9">
      <c r="A64" s="25"/>
      <c r="B64" s="20"/>
      <c r="C64" s="21" t="s">
        <v>777</v>
      </c>
      <c r="D64" s="25" t="s">
        <v>738</v>
      </c>
      <c r="E64" s="1876">
        <f>E61</f>
        <v>1.5659415591216583</v>
      </c>
      <c r="F64" s="29" t="s">
        <v>217</v>
      </c>
      <c r="G64" s="29">
        <f t="shared" si="2"/>
        <v>1.5659415591216583</v>
      </c>
      <c r="H64" s="21">
        <f>IF(ISBLANK('FBPQ T4'!E56)," ",'FBPQ T4'!AE56)</f>
        <v>11757</v>
      </c>
      <c r="I64" s="21">
        <f t="shared" si="3"/>
        <v>18410.774910593336</v>
      </c>
    </row>
    <row r="65" spans="1:9">
      <c r="A65" s="25"/>
      <c r="B65" s="20"/>
      <c r="C65" s="21" t="s">
        <v>72</v>
      </c>
      <c r="D65" s="25" t="s">
        <v>738</v>
      </c>
      <c r="E65" s="4" t="str">
        <f>IF(ISNUMBER('FBPQ C2'!J57),'FBPQ C2'!J57,IF(ISNUMBER('FBPQ C2'!I57),'FBPQ C2'!I57,""))</f>
        <v/>
      </c>
      <c r="F65" s="29" t="s">
        <v>217</v>
      </c>
      <c r="G65" s="29" t="str">
        <f t="shared" si="2"/>
        <v xml:space="preserve"> </v>
      </c>
      <c r="H65" s="21">
        <f>IF(ISBLANK('FBPQ T4'!E57)," ",'FBPQ T4'!AE57)</f>
        <v>0</v>
      </c>
      <c r="I65" s="21" t="str">
        <f t="shared" si="3"/>
        <v xml:space="preserve"> </v>
      </c>
    </row>
    <row r="66" spans="1:9">
      <c r="A66" s="25"/>
      <c r="B66" s="20"/>
      <c r="C66" s="21" t="s">
        <v>656</v>
      </c>
      <c r="D66" s="25" t="s">
        <v>738</v>
      </c>
      <c r="E66" s="4">
        <f>IF(ISNUMBER('FBPQ C2'!J58),'FBPQ C2'!J58,IF(ISNUMBER('FBPQ C2'!I58),'FBPQ C2'!I58,""))</f>
        <v>0</v>
      </c>
      <c r="F66" s="29" t="s">
        <v>217</v>
      </c>
      <c r="G66" s="29">
        <f t="shared" si="2"/>
        <v>0</v>
      </c>
      <c r="H66" s="21">
        <f>IF(ISBLANK('FBPQ T4'!E58)," ",'FBPQ T4'!AE58)</f>
        <v>0</v>
      </c>
      <c r="I66" s="21">
        <f t="shared" si="3"/>
        <v>0</v>
      </c>
    </row>
    <row r="67" spans="1:9">
      <c r="A67" s="25"/>
      <c r="B67" s="20"/>
      <c r="C67" s="21" t="s">
        <v>495</v>
      </c>
      <c r="D67" s="25" t="s">
        <v>738</v>
      </c>
      <c r="E67" s="4">
        <f>IF(ISNUMBER('FBPQ C2'!J59),'FBPQ C2'!J59,IF(ISNUMBER('FBPQ C2'!I59),'FBPQ C2'!I59,""))</f>
        <v>0</v>
      </c>
      <c r="F67" s="29" t="s">
        <v>217</v>
      </c>
      <c r="G67" s="29">
        <f t="shared" si="2"/>
        <v>0</v>
      </c>
      <c r="H67" s="21">
        <f>IF(ISBLANK('FBPQ T4'!E59)," ",'FBPQ T4'!AE59)</f>
        <v>0</v>
      </c>
      <c r="I67" s="21">
        <f t="shared" si="3"/>
        <v>0</v>
      </c>
    </row>
    <row r="68" spans="1:9">
      <c r="A68" s="25"/>
      <c r="B68" s="20"/>
      <c r="C68" s="21" t="s">
        <v>496</v>
      </c>
      <c r="D68" s="25" t="s">
        <v>738</v>
      </c>
      <c r="E68" s="4">
        <f>IF(ISNUMBER('FBPQ C2'!J60),'FBPQ C2'!J60,IF(ISNUMBER('FBPQ C2'!I60),'FBPQ C2'!I60,""))</f>
        <v>0</v>
      </c>
      <c r="F68" s="29" t="s">
        <v>217</v>
      </c>
      <c r="G68" s="29">
        <f t="shared" si="2"/>
        <v>0</v>
      </c>
      <c r="H68" s="21">
        <f>IF(ISBLANK('FBPQ T4'!E60)," ",'FBPQ T4'!AE60)</f>
        <v>0</v>
      </c>
      <c r="I68" s="21">
        <f t="shared" si="3"/>
        <v>0</v>
      </c>
    </row>
    <row r="69" spans="1:9">
      <c r="A69" s="25"/>
      <c r="B69" s="20"/>
      <c r="C69" s="21" t="s">
        <v>497</v>
      </c>
      <c r="D69" s="25" t="s">
        <v>738</v>
      </c>
      <c r="E69" s="4">
        <f>IF(ISNUMBER('FBPQ C2'!J61),'FBPQ C2'!J61,IF(ISNUMBER('FBPQ C2'!I61),'FBPQ C2'!I61,""))</f>
        <v>0</v>
      </c>
      <c r="F69" s="29" t="s">
        <v>217</v>
      </c>
      <c r="G69" s="29">
        <f t="shared" si="2"/>
        <v>0</v>
      </c>
      <c r="H69" s="21">
        <f>IF(ISBLANK('FBPQ T4'!E61)," ",'FBPQ T4'!AE61)</f>
        <v>0</v>
      </c>
      <c r="I69" s="21">
        <f t="shared" si="3"/>
        <v>0</v>
      </c>
    </row>
    <row r="70" spans="1:9">
      <c r="A70" s="25"/>
      <c r="B70" s="20"/>
      <c r="C70" s="21" t="s">
        <v>500</v>
      </c>
      <c r="D70" s="25" t="s">
        <v>738</v>
      </c>
      <c r="E70" s="4">
        <f>IF(ISNUMBER('FBPQ C2'!J62),'FBPQ C2'!J62,IF(ISNUMBER('FBPQ C2'!I62),'FBPQ C2'!I62,""))</f>
        <v>0</v>
      </c>
      <c r="F70" s="29" t="s">
        <v>217</v>
      </c>
      <c r="G70" s="29">
        <f t="shared" si="2"/>
        <v>0</v>
      </c>
      <c r="H70" s="21">
        <f>IF(ISBLANK('FBPQ T4'!E62)," ",'FBPQ T4'!AE62)</f>
        <v>0</v>
      </c>
      <c r="I70" s="21">
        <f t="shared" si="3"/>
        <v>0</v>
      </c>
    </row>
    <row r="71" spans="1:9">
      <c r="A71" s="25"/>
      <c r="B71" s="20"/>
      <c r="C71" s="21" t="s">
        <v>659</v>
      </c>
      <c r="D71" s="25" t="s">
        <v>738</v>
      </c>
      <c r="E71" s="4" t="str">
        <f>IF(ISNUMBER('FBPQ C2'!J63),'FBPQ C2'!J63,IF(ISNUMBER('FBPQ C2'!I63),'FBPQ C2'!I63,""))</f>
        <v/>
      </c>
      <c r="F71" s="29" t="s">
        <v>217</v>
      </c>
      <c r="G71" s="29" t="str">
        <f t="shared" si="2"/>
        <v xml:space="preserve"> </v>
      </c>
      <c r="H71" s="21">
        <f>IF(ISBLANK('FBPQ T4'!E63)," ",'FBPQ T4'!AE63)</f>
        <v>0</v>
      </c>
      <c r="I71" s="21" t="str">
        <f t="shared" si="3"/>
        <v xml:space="preserve"> </v>
      </c>
    </row>
    <row r="72" spans="1:9">
      <c r="A72" s="25"/>
      <c r="B72" s="20"/>
      <c r="C72" s="21" t="s">
        <v>505</v>
      </c>
      <c r="D72" s="25" t="s">
        <v>738</v>
      </c>
      <c r="E72" s="4" t="str">
        <f>IF(ISNUMBER('FBPQ C2'!J64),'FBPQ C2'!J64,IF(ISNUMBER('FBPQ C2'!I64),'FBPQ C2'!I64,""))</f>
        <v/>
      </c>
      <c r="F72" s="29" t="s">
        <v>217</v>
      </c>
      <c r="G72" s="29" t="str">
        <f t="shared" si="2"/>
        <v xml:space="preserve"> </v>
      </c>
      <c r="H72" s="21">
        <f>IF(ISBLANK('FBPQ T4'!E64)," ",'FBPQ T4'!AE64)</f>
        <v>0</v>
      </c>
      <c r="I72" s="21" t="str">
        <f t="shared" si="3"/>
        <v xml:space="preserve"> </v>
      </c>
    </row>
    <row r="73" spans="1:9">
      <c r="A73" s="25"/>
      <c r="B73" s="20"/>
      <c r="C73" s="21"/>
      <c r="D73" s="25"/>
      <c r="E73" s="4" t="str">
        <f>IF(ISNUMBER('FBPQ C2'!J65),'FBPQ C2'!J65,IF(ISNUMBER('FBPQ C2'!I65),'FBPQ C2'!I65,""))</f>
        <v/>
      </c>
      <c r="F73" s="29"/>
      <c r="G73" s="29">
        <f t="shared" si="2"/>
        <v>0</v>
      </c>
      <c r="H73" s="21" t="str">
        <f>IF(ISBLANK('FBPQ T4'!E65)," ",'FBPQ T4'!AE65)</f>
        <v xml:space="preserve"> </v>
      </c>
      <c r="I73" s="21" t="str">
        <f t="shared" si="3"/>
        <v xml:space="preserve"> </v>
      </c>
    </row>
    <row r="74" spans="1:9">
      <c r="A74" s="25"/>
      <c r="B74" s="20" t="s">
        <v>506</v>
      </c>
      <c r="C74" s="21"/>
      <c r="D74" s="25"/>
      <c r="E74" s="4" t="str">
        <f>IF(ISNUMBER('FBPQ C2'!J66),'FBPQ C2'!J66,IF(ISNUMBER('FBPQ C2'!I66),'FBPQ C2'!I66,""))</f>
        <v/>
      </c>
      <c r="F74" s="29"/>
      <c r="G74" s="29">
        <f t="shared" si="2"/>
        <v>0</v>
      </c>
      <c r="H74" s="21" t="str">
        <f>IF(ISBLANK('FBPQ T4'!E66)," ",'FBPQ T4'!AE66)</f>
        <v xml:space="preserve"> </v>
      </c>
      <c r="I74" s="21" t="str">
        <f t="shared" si="3"/>
        <v xml:space="preserve"> </v>
      </c>
    </row>
    <row r="75" spans="1:9">
      <c r="A75" s="25"/>
      <c r="B75" s="20"/>
      <c r="C75" s="21" t="s">
        <v>507</v>
      </c>
      <c r="D75" s="25" t="s">
        <v>738</v>
      </c>
      <c r="E75" s="4">
        <f>IF(ISNUMBER('FBPQ C2'!J67),'FBPQ C2'!J67,IF(ISNUMBER('FBPQ C2'!I67),'FBPQ C2'!I67,""))</f>
        <v>3.4932542472713912</v>
      </c>
      <c r="F75" s="29" t="s">
        <v>217</v>
      </c>
      <c r="G75" s="29">
        <f t="shared" si="2"/>
        <v>3.4932542472713912</v>
      </c>
      <c r="H75" s="21">
        <f>IF(ISBLANK('FBPQ T4'!E67)," ",'FBPQ T4'!AE67)</f>
        <v>22854</v>
      </c>
      <c r="I75" s="21">
        <f t="shared" si="3"/>
        <v>79834.832567140373</v>
      </c>
    </row>
    <row r="76" spans="1:9">
      <c r="A76" s="25"/>
      <c r="B76" s="20"/>
      <c r="C76" s="21" t="s">
        <v>508</v>
      </c>
      <c r="D76" s="25" t="s">
        <v>738</v>
      </c>
      <c r="E76" s="4">
        <f>IF(ISNUMBER('FBPQ C2'!J68),'FBPQ C2'!J68,IF(ISNUMBER('FBPQ C2'!I68),'FBPQ C2'!I68,""))</f>
        <v>11.322962042879682</v>
      </c>
      <c r="F76" s="29" t="s">
        <v>217</v>
      </c>
      <c r="G76" s="29">
        <f t="shared" si="2"/>
        <v>11.322962042879682</v>
      </c>
      <c r="H76" s="21">
        <f>IF(ISBLANK('FBPQ T4'!E68)," ",'FBPQ T4'!AE68)</f>
        <v>19308</v>
      </c>
      <c r="I76" s="21">
        <f t="shared" si="3"/>
        <v>218623.7511239209</v>
      </c>
    </row>
    <row r="77" spans="1:9">
      <c r="A77" s="25"/>
      <c r="B77" s="20"/>
      <c r="C77" s="21" t="s">
        <v>509</v>
      </c>
      <c r="D77" s="25" t="s">
        <v>738</v>
      </c>
      <c r="E77" s="4">
        <f>IF(ISNUMBER('FBPQ C2'!J69),'FBPQ C2'!J69,IF(ISNUMBER('FBPQ C2'!I69),'FBPQ C2'!I69,""))</f>
        <v>0</v>
      </c>
      <c r="F77" s="29" t="s">
        <v>217</v>
      </c>
      <c r="G77" s="29">
        <f t="shared" si="2"/>
        <v>0</v>
      </c>
      <c r="H77" s="21">
        <f>IF(ISBLANK('FBPQ T4'!E69)," ",'FBPQ T4'!AE69)</f>
        <v>0</v>
      </c>
      <c r="I77" s="21">
        <f t="shared" si="3"/>
        <v>0</v>
      </c>
    </row>
    <row r="78" spans="1:9">
      <c r="A78" s="25"/>
      <c r="B78" s="20"/>
      <c r="C78" s="21" t="s">
        <v>510</v>
      </c>
      <c r="D78" s="25" t="s">
        <v>738</v>
      </c>
      <c r="E78" s="4">
        <f>IF(ISNUMBER('FBPQ C2'!J70),'FBPQ C2'!J70,IF(ISNUMBER('FBPQ C2'!I70),'FBPQ C2'!I70,""))</f>
        <v>0</v>
      </c>
      <c r="F78" s="29" t="s">
        <v>217</v>
      </c>
      <c r="G78" s="29">
        <f t="shared" si="2"/>
        <v>0</v>
      </c>
      <c r="H78" s="21">
        <f>IF(ISBLANK('FBPQ T4'!E70)," ",'FBPQ T4'!AE70)</f>
        <v>0</v>
      </c>
      <c r="I78" s="21">
        <f t="shared" si="3"/>
        <v>0</v>
      </c>
    </row>
    <row r="79" spans="1:9">
      <c r="A79" s="25"/>
      <c r="B79" s="20"/>
      <c r="C79" s="21"/>
      <c r="D79" s="25"/>
      <c r="E79" s="4" t="str">
        <f>IF(ISNUMBER('FBPQ C2'!J71),'FBPQ C2'!J71,IF(ISNUMBER('FBPQ C2'!I71),'FBPQ C2'!I71,""))</f>
        <v/>
      </c>
      <c r="F79" s="29"/>
      <c r="G79" s="29">
        <f t="shared" si="2"/>
        <v>0</v>
      </c>
      <c r="H79" s="21" t="str">
        <f>IF(ISBLANK('FBPQ T4'!E71)," ",'FBPQ T4'!AE71)</f>
        <v xml:space="preserve"> </v>
      </c>
      <c r="I79" s="21" t="str">
        <f t="shared" si="3"/>
        <v xml:space="preserve"> </v>
      </c>
    </row>
    <row r="80" spans="1:9">
      <c r="A80" s="25" t="s">
        <v>524</v>
      </c>
      <c r="B80" s="20"/>
      <c r="C80" s="21"/>
      <c r="D80" s="25"/>
      <c r="E80" s="4" t="str">
        <f>IF(ISNUMBER('FBPQ C2'!J72),'FBPQ C2'!J72,IF(ISNUMBER('FBPQ C2'!I72),'FBPQ C2'!I72,""))</f>
        <v/>
      </c>
      <c r="F80" s="29"/>
      <c r="G80" s="29">
        <f t="shared" si="2"/>
        <v>0</v>
      </c>
      <c r="H80" s="21" t="str">
        <f>IF(ISBLANK('FBPQ T4'!E72)," ",'FBPQ T4'!AE72)</f>
        <v xml:space="preserve"> </v>
      </c>
      <c r="I80" s="21" t="str">
        <f t="shared" si="3"/>
        <v xml:space="preserve"> </v>
      </c>
    </row>
    <row r="81" spans="1:9">
      <c r="A81" s="25"/>
      <c r="B81" s="20" t="s">
        <v>224</v>
      </c>
      <c r="C81" s="21"/>
      <c r="D81" s="25"/>
      <c r="E81" s="4" t="str">
        <f>IF(ISNUMBER('FBPQ C2'!J73),'FBPQ C2'!J73,IF(ISNUMBER('FBPQ C2'!I73),'FBPQ C2'!I73,""))</f>
        <v/>
      </c>
      <c r="F81" s="29"/>
      <c r="G81" s="29">
        <f t="shared" si="2"/>
        <v>0</v>
      </c>
      <c r="H81" s="21" t="str">
        <f>IF(ISBLANK('FBPQ T4'!E73)," ",'FBPQ T4'!AE73)</f>
        <v xml:space="preserve"> </v>
      </c>
      <c r="I81" s="21" t="str">
        <f t="shared" si="3"/>
        <v xml:space="preserve"> </v>
      </c>
    </row>
    <row r="82" spans="1:9">
      <c r="A82" s="25"/>
      <c r="B82" s="20"/>
      <c r="C82" s="21" t="s">
        <v>525</v>
      </c>
      <c r="D82" s="25" t="s">
        <v>177</v>
      </c>
      <c r="E82" s="4">
        <f>IF(ISNUMBER('FBPQ C2'!J74),'FBPQ C2'!J74,IF(ISNUMBER('FBPQ C2'!I74),'FBPQ C2'!I74,""))</f>
        <v>93.233751289243358</v>
      </c>
      <c r="F82" s="29" t="s">
        <v>217</v>
      </c>
      <c r="G82" s="29">
        <f t="shared" si="2"/>
        <v>93.233751289243358</v>
      </c>
      <c r="H82" s="21">
        <f>IF(ISBLANK('FBPQ T4'!E74)," ",'FBPQ T4'!AE74)</f>
        <v>1753.5</v>
      </c>
      <c r="I82" s="21">
        <f t="shared" si="3"/>
        <v>163485.38288568822</v>
      </c>
    </row>
    <row r="83" spans="1:9">
      <c r="A83" s="25"/>
      <c r="B83" s="20"/>
      <c r="C83" s="21" t="s">
        <v>526</v>
      </c>
      <c r="D83" s="25" t="s">
        <v>177</v>
      </c>
      <c r="E83" s="4">
        <f>IF(ISNUMBER('FBPQ C2'!J75),'FBPQ C2'!J75,IF(ISNUMBER('FBPQ C2'!I75),'FBPQ C2'!I75,""))</f>
        <v>148.5235340305388</v>
      </c>
      <c r="F83" s="29" t="s">
        <v>217</v>
      </c>
      <c r="G83" s="29">
        <f t="shared" si="2"/>
        <v>148.5235340305388</v>
      </c>
      <c r="H83" s="21">
        <f>IF(ISBLANK('FBPQ T4'!E75)," ",'FBPQ T4'!AE75)</f>
        <v>933</v>
      </c>
      <c r="I83" s="21">
        <f t="shared" si="3"/>
        <v>138572.45725049271</v>
      </c>
    </row>
    <row r="84" spans="1:9">
      <c r="A84" s="25"/>
      <c r="B84" s="20"/>
      <c r="C84" s="21" t="s">
        <v>527</v>
      </c>
      <c r="D84" s="25" t="s">
        <v>177</v>
      </c>
      <c r="E84" s="4">
        <f>IF(ISNUMBER('FBPQ C2'!J76),'FBPQ C2'!J76,IF(ISNUMBER('FBPQ C2'!I76),'FBPQ C2'!I76,""))</f>
        <v>175.86728279366315</v>
      </c>
      <c r="F84" s="29" t="s">
        <v>217</v>
      </c>
      <c r="G84" s="29">
        <f t="shared" ref="G84:G115" si="4">IF(ISNUMBER(E84),E84,IF(H84&gt;0,F84," "))</f>
        <v>175.86728279366315</v>
      </c>
      <c r="H84" s="21">
        <f>IF(ISBLANK('FBPQ T4'!E76)," ",'FBPQ T4'!AE76)</f>
        <v>0</v>
      </c>
      <c r="I84" s="21">
        <f t="shared" ref="I84:I115" si="5">IF(ISERROR(G84*H84)," ",G84*H84)</f>
        <v>0</v>
      </c>
    </row>
    <row r="85" spans="1:9">
      <c r="A85" s="25"/>
      <c r="B85" s="20"/>
      <c r="C85" s="21" t="s">
        <v>528</v>
      </c>
      <c r="D85" s="25" t="s">
        <v>177</v>
      </c>
      <c r="E85" s="4">
        <f>IF(ISNUMBER('FBPQ C2'!J77),'FBPQ C2'!J77,IF(ISNUMBER('FBPQ C2'!I77),'FBPQ C2'!I77,""))</f>
        <v>175.86728279366315</v>
      </c>
      <c r="F85" s="29" t="s">
        <v>217</v>
      </c>
      <c r="G85" s="29">
        <f t="shared" si="4"/>
        <v>175.86728279366315</v>
      </c>
      <c r="H85" s="21">
        <f>IF(ISBLANK('FBPQ T4'!E77)," ",'FBPQ T4'!AE77)</f>
        <v>0</v>
      </c>
      <c r="I85" s="21">
        <f t="shared" si="5"/>
        <v>0</v>
      </c>
    </row>
    <row r="86" spans="1:9">
      <c r="A86" s="25"/>
      <c r="B86" s="20"/>
      <c r="C86" s="21"/>
      <c r="D86" s="25"/>
      <c r="E86" s="4" t="str">
        <f>IF(ISNUMBER('FBPQ C2'!J78),'FBPQ C2'!J78,IF(ISNUMBER('FBPQ C2'!I78),'FBPQ C2'!I78,""))</f>
        <v/>
      </c>
      <c r="F86" s="29"/>
      <c r="G86" s="29">
        <f t="shared" si="4"/>
        <v>0</v>
      </c>
      <c r="H86" s="21" t="str">
        <f>IF(ISBLANK('FBPQ T4'!E78)," ",'FBPQ T4'!AE78)</f>
        <v xml:space="preserve"> </v>
      </c>
      <c r="I86" s="21" t="str">
        <f t="shared" si="5"/>
        <v xml:space="preserve"> </v>
      </c>
    </row>
    <row r="87" spans="1:9">
      <c r="A87" s="25"/>
      <c r="B87" s="20" t="s">
        <v>739</v>
      </c>
      <c r="C87" s="21"/>
      <c r="D87" s="25"/>
      <c r="E87" s="4" t="str">
        <f>IF(ISNUMBER('FBPQ C2'!J79),'FBPQ C2'!J79,IF(ISNUMBER('FBPQ C2'!I79),'FBPQ C2'!I79,""))</f>
        <v/>
      </c>
      <c r="F87" s="29"/>
      <c r="G87" s="29">
        <f t="shared" si="4"/>
        <v>0</v>
      </c>
      <c r="H87" s="21" t="str">
        <f>IF(ISBLANK('FBPQ T4'!E79)," ",'FBPQ T4'!AE79)</f>
        <v xml:space="preserve"> </v>
      </c>
      <c r="I87" s="21" t="str">
        <f t="shared" si="5"/>
        <v xml:space="preserve"> </v>
      </c>
    </row>
    <row r="88" spans="1:9">
      <c r="A88" s="25"/>
      <c r="B88" s="20"/>
      <c r="C88" s="21" t="s">
        <v>529</v>
      </c>
      <c r="D88" s="25" t="s">
        <v>738</v>
      </c>
      <c r="E88" s="4">
        <f>IF(ISNUMBER('FBPQ C2'!J80),'FBPQ C2'!J80,IF(ISNUMBER('FBPQ C2'!I80),'FBPQ C2'!I80,""))</f>
        <v>0</v>
      </c>
      <c r="F88" s="29" t="s">
        <v>217</v>
      </c>
      <c r="G88" s="29">
        <f t="shared" si="4"/>
        <v>0</v>
      </c>
      <c r="H88" s="21">
        <f>IF(ISBLANK('FBPQ T4'!E80)," ",'FBPQ T4'!AE80)</f>
        <v>28125</v>
      </c>
      <c r="I88" s="21">
        <f t="shared" si="5"/>
        <v>0</v>
      </c>
    </row>
    <row r="89" spans="1:9">
      <c r="A89" s="25"/>
      <c r="B89" s="20"/>
      <c r="C89" s="21" t="s">
        <v>530</v>
      </c>
      <c r="D89" s="25" t="s">
        <v>738</v>
      </c>
      <c r="E89" s="4">
        <f>IF(ISNUMBER('FBPQ C2'!J81),'FBPQ C2'!J81,IF(ISNUMBER('FBPQ C2'!I81),'FBPQ C2'!I81,""))</f>
        <v>0</v>
      </c>
      <c r="F89" s="29" t="s">
        <v>217</v>
      </c>
      <c r="G89" s="29">
        <f t="shared" si="4"/>
        <v>0</v>
      </c>
      <c r="H89" s="21">
        <f>IF(ISBLANK('FBPQ T4'!E81)," ",'FBPQ T4'!AE81)</f>
        <v>1287</v>
      </c>
      <c r="I89" s="21">
        <f t="shared" si="5"/>
        <v>0</v>
      </c>
    </row>
    <row r="90" spans="1:9">
      <c r="A90" s="25"/>
      <c r="B90" s="20"/>
      <c r="C90" s="21" t="s">
        <v>531</v>
      </c>
      <c r="D90" s="25" t="s">
        <v>738</v>
      </c>
      <c r="E90" s="4">
        <f>IF(ISNUMBER('FBPQ C2'!J82),'FBPQ C2'!J82,IF(ISNUMBER('FBPQ C2'!I82),'FBPQ C2'!I82,""))</f>
        <v>0</v>
      </c>
      <c r="F90" s="29" t="s">
        <v>217</v>
      </c>
      <c r="G90" s="29">
        <f t="shared" si="4"/>
        <v>0</v>
      </c>
      <c r="H90" s="21">
        <f>IF(ISBLANK('FBPQ T4'!E82)," ",'FBPQ T4'!AE82)</f>
        <v>0</v>
      </c>
      <c r="I90" s="21">
        <f t="shared" si="5"/>
        <v>0</v>
      </c>
    </row>
    <row r="91" spans="1:9">
      <c r="A91" s="25"/>
      <c r="B91" s="20"/>
      <c r="C91" s="21" t="s">
        <v>532</v>
      </c>
      <c r="D91" s="25" t="s">
        <v>738</v>
      </c>
      <c r="E91" s="4">
        <f>IF(ISNUMBER('FBPQ C2'!J83),'FBPQ C2'!J83,IF(ISNUMBER('FBPQ C2'!I83),'FBPQ C2'!I83,""))</f>
        <v>0</v>
      </c>
      <c r="F91" s="29" t="s">
        <v>217</v>
      </c>
      <c r="G91" s="29">
        <f t="shared" si="4"/>
        <v>0</v>
      </c>
      <c r="H91" s="21">
        <f>IF(ISBLANK('FBPQ T4'!E83)," ",'FBPQ T4'!AE83)</f>
        <v>0</v>
      </c>
      <c r="I91" s="21">
        <f t="shared" si="5"/>
        <v>0</v>
      </c>
    </row>
    <row r="92" spans="1:9">
      <c r="A92" s="25"/>
      <c r="B92" s="20"/>
      <c r="C92" s="21"/>
      <c r="D92" s="25"/>
      <c r="E92" s="4" t="str">
        <f>IF(ISNUMBER('FBPQ C2'!J84),'FBPQ C2'!J84,IF(ISNUMBER('FBPQ C2'!I84),'FBPQ C2'!I84,""))</f>
        <v/>
      </c>
      <c r="F92" s="29"/>
      <c r="G92" s="29">
        <f t="shared" si="4"/>
        <v>0</v>
      </c>
      <c r="H92" s="21" t="str">
        <f>IF(ISBLANK('FBPQ T4'!E84)," ",'FBPQ T4'!AE84)</f>
        <v xml:space="preserve"> </v>
      </c>
      <c r="I92" s="21" t="str">
        <f t="shared" si="5"/>
        <v xml:space="preserve"> </v>
      </c>
    </row>
    <row r="93" spans="1:9">
      <c r="A93" s="25"/>
      <c r="B93" s="20" t="s">
        <v>763</v>
      </c>
      <c r="C93" s="21"/>
      <c r="D93" s="25"/>
      <c r="E93" s="4" t="str">
        <f>IF(ISNUMBER('FBPQ C2'!J85),'FBPQ C2'!J85,IF(ISNUMBER('FBPQ C2'!I85),'FBPQ C2'!I85,""))</f>
        <v/>
      </c>
      <c r="F93" s="29"/>
      <c r="G93" s="29">
        <f t="shared" si="4"/>
        <v>0</v>
      </c>
      <c r="H93" s="21" t="str">
        <f>IF(ISBLANK('FBPQ T4'!E85)," ",'FBPQ T4'!AE85)</f>
        <v xml:space="preserve"> </v>
      </c>
      <c r="I93" s="21" t="str">
        <f t="shared" si="5"/>
        <v xml:space="preserve"> </v>
      </c>
    </row>
    <row r="94" spans="1:9">
      <c r="A94" s="25"/>
      <c r="B94" s="20"/>
      <c r="C94" s="21" t="s">
        <v>413</v>
      </c>
      <c r="D94" s="25" t="s">
        <v>177</v>
      </c>
      <c r="E94" s="4">
        <f>IF(ISNUMBER('FBPQ C2'!J86),'FBPQ C2'!J86,IF(ISNUMBER('FBPQ C2'!I86),'FBPQ C2'!I86,""))</f>
        <v>243.56414096492253</v>
      </c>
      <c r="F94" s="29" t="s">
        <v>217</v>
      </c>
      <c r="G94" s="29">
        <f t="shared" si="4"/>
        <v>243.56414096492253</v>
      </c>
      <c r="H94" s="21">
        <f>IF(ISBLANK('FBPQ T4'!E86)," ",'FBPQ T4'!AE86)</f>
        <v>1562.6</v>
      </c>
      <c r="I94" s="21">
        <f t="shared" si="5"/>
        <v>380593.32667178795</v>
      </c>
    </row>
    <row r="95" spans="1:9">
      <c r="A95" s="25"/>
      <c r="B95" s="20"/>
      <c r="C95" s="21" t="s">
        <v>414</v>
      </c>
      <c r="D95" s="25" t="s">
        <v>177</v>
      </c>
      <c r="E95" s="4">
        <f>IF(ISNUMBER('FBPQ C2'!J87),'FBPQ C2'!J87,IF(ISNUMBER('FBPQ C2'!I87),'FBPQ C2'!I87,""))</f>
        <v>243.56414096492253</v>
      </c>
      <c r="F95" s="29" t="s">
        <v>217</v>
      </c>
      <c r="G95" s="29">
        <f t="shared" si="4"/>
        <v>243.56414096492253</v>
      </c>
      <c r="H95" s="21">
        <f>IF(ISBLANK('FBPQ T4'!E87)," ",'FBPQ T4'!AE87)</f>
        <v>156</v>
      </c>
      <c r="I95" s="21">
        <f t="shared" si="5"/>
        <v>37996.005990527912</v>
      </c>
    </row>
    <row r="96" spans="1:9">
      <c r="A96" s="25"/>
      <c r="B96" s="20"/>
      <c r="C96" s="21" t="s">
        <v>415</v>
      </c>
      <c r="D96" s="25" t="s">
        <v>177</v>
      </c>
      <c r="E96" s="4">
        <f>IF(ISNUMBER('FBPQ C2'!J88),'FBPQ C2'!J88,IF(ISNUMBER('FBPQ C2'!I88),'FBPQ C2'!I88,""))</f>
        <v>0</v>
      </c>
      <c r="F96" s="29" t="s">
        <v>217</v>
      </c>
      <c r="G96" s="29">
        <f t="shared" si="4"/>
        <v>0</v>
      </c>
      <c r="H96" s="21">
        <f>IF(ISBLANK('FBPQ T4'!E88)," ",'FBPQ T4'!AE88)</f>
        <v>0</v>
      </c>
      <c r="I96" s="21">
        <f t="shared" si="5"/>
        <v>0</v>
      </c>
    </row>
    <row r="97" spans="1:9">
      <c r="A97" s="25"/>
      <c r="B97" s="20"/>
      <c r="C97" s="21" t="s">
        <v>537</v>
      </c>
      <c r="D97" s="25" t="s">
        <v>177</v>
      </c>
      <c r="E97" s="4">
        <f>IF(ISNUMBER('FBPQ C2'!J89),'FBPQ C2'!J89,IF(ISNUMBER('FBPQ C2'!I89),'FBPQ C2'!I89,""))</f>
        <v>1143.1373381588107</v>
      </c>
      <c r="F97" s="29" t="s">
        <v>217</v>
      </c>
      <c r="G97" s="29">
        <f t="shared" si="4"/>
        <v>1143.1373381588107</v>
      </c>
      <c r="H97" s="21">
        <f>IF(ISBLANK('FBPQ T4'!E89)," ",'FBPQ T4'!AE89)</f>
        <v>0</v>
      </c>
      <c r="I97" s="21">
        <f t="shared" si="5"/>
        <v>0</v>
      </c>
    </row>
    <row r="98" spans="1:9">
      <c r="A98" s="25"/>
      <c r="B98" s="20"/>
      <c r="C98" s="21" t="s">
        <v>425</v>
      </c>
      <c r="D98" s="25" t="s">
        <v>177</v>
      </c>
      <c r="E98" s="4">
        <f>IF(ISNUMBER('FBPQ C2'!J90),'FBPQ C2'!J90,IF(ISNUMBER('FBPQ C2'!I90),'FBPQ C2'!I90,""))</f>
        <v>1143.1373381588107</v>
      </c>
      <c r="F98" s="29" t="s">
        <v>217</v>
      </c>
      <c r="G98" s="29">
        <f t="shared" si="4"/>
        <v>1143.1373381588107</v>
      </c>
      <c r="H98" s="21">
        <f>IF(ISBLANK('FBPQ T4'!E90)," ",'FBPQ T4'!AE90)</f>
        <v>0</v>
      </c>
      <c r="I98" s="21">
        <f t="shared" si="5"/>
        <v>0</v>
      </c>
    </row>
    <row r="99" spans="1:9">
      <c r="A99" s="25"/>
      <c r="B99" s="20"/>
      <c r="C99" s="21" t="s">
        <v>426</v>
      </c>
      <c r="D99" s="25" t="s">
        <v>177</v>
      </c>
      <c r="E99" s="4">
        <f>IF(ISNUMBER('FBPQ C2'!J91),'FBPQ C2'!J91,IF(ISNUMBER('FBPQ C2'!I91),'FBPQ C2'!I91,""))</f>
        <v>0</v>
      </c>
      <c r="F99" s="29" t="s">
        <v>217</v>
      </c>
      <c r="G99" s="29">
        <f t="shared" si="4"/>
        <v>0</v>
      </c>
      <c r="H99" s="21">
        <f>IF(ISBLANK('FBPQ T4'!E91)," ",'FBPQ T4'!AE91)</f>
        <v>0</v>
      </c>
      <c r="I99" s="21">
        <f t="shared" si="5"/>
        <v>0</v>
      </c>
    </row>
    <row r="100" spans="1:9">
      <c r="A100" s="25"/>
      <c r="B100" s="20"/>
      <c r="C100" s="21"/>
      <c r="D100" s="25"/>
      <c r="E100" s="4" t="str">
        <f>IF(ISNUMBER('FBPQ C2'!J92),'FBPQ C2'!J92,IF(ISNUMBER('FBPQ C2'!I92),'FBPQ C2'!I92,""))</f>
        <v/>
      </c>
      <c r="F100" s="29"/>
      <c r="G100" s="29">
        <f t="shared" si="4"/>
        <v>0</v>
      </c>
      <c r="H100" s="21" t="str">
        <f>IF(ISBLANK('FBPQ T4'!E92)," ",'FBPQ T4'!AE92)</f>
        <v xml:space="preserve"> </v>
      </c>
      <c r="I100" s="21" t="str">
        <f t="shared" si="5"/>
        <v xml:space="preserve"> </v>
      </c>
    </row>
    <row r="101" spans="1:9">
      <c r="A101" s="25"/>
      <c r="B101" s="20" t="s">
        <v>68</v>
      </c>
      <c r="C101" s="21"/>
      <c r="D101" s="25"/>
      <c r="E101" s="4" t="str">
        <f>IF(ISNUMBER('FBPQ C2'!J93),'FBPQ C2'!J93,IF(ISNUMBER('FBPQ C2'!I93),'FBPQ C2'!I93,""))</f>
        <v/>
      </c>
      <c r="F101" s="29"/>
      <c r="G101" s="29">
        <f t="shared" si="4"/>
        <v>0</v>
      </c>
      <c r="H101" s="21" t="str">
        <f>IF(ISBLANK('FBPQ T4'!E93)," ",'FBPQ T4'!AE93)</f>
        <v xml:space="preserve"> </v>
      </c>
      <c r="I101" s="21" t="str">
        <f t="shared" si="5"/>
        <v xml:space="preserve"> </v>
      </c>
    </row>
    <row r="102" spans="1:9">
      <c r="A102" s="25"/>
      <c r="B102" s="20"/>
      <c r="C102" s="21" t="s">
        <v>387</v>
      </c>
      <c r="D102" s="25" t="s">
        <v>177</v>
      </c>
      <c r="E102" s="4">
        <f>IF(ISNUMBER('FBPQ C2'!J94),'FBPQ C2'!J94,IF(ISNUMBER('FBPQ C2'!I94),'FBPQ C2'!I94,""))</f>
        <v>0</v>
      </c>
      <c r="F102" s="29" t="s">
        <v>217</v>
      </c>
      <c r="G102" s="29">
        <f t="shared" si="4"/>
        <v>0</v>
      </c>
      <c r="H102" s="21">
        <f>IF(ISBLANK('FBPQ T4'!E94)," ",'FBPQ T4'!AE94)</f>
        <v>0</v>
      </c>
      <c r="I102" s="21">
        <f t="shared" si="5"/>
        <v>0</v>
      </c>
    </row>
    <row r="103" spans="1:9">
      <c r="A103" s="25"/>
      <c r="B103" s="20"/>
      <c r="C103" s="21"/>
      <c r="D103" s="25"/>
      <c r="E103" s="4" t="str">
        <f>IF(ISNUMBER('FBPQ C2'!J95),'FBPQ C2'!J95,IF(ISNUMBER('FBPQ C2'!I95),'FBPQ C2'!I95,""))</f>
        <v/>
      </c>
      <c r="F103" s="29"/>
      <c r="G103" s="29">
        <f t="shared" si="4"/>
        <v>0</v>
      </c>
      <c r="H103" s="21" t="str">
        <f>IF(ISBLANK('FBPQ T4'!E95)," ",'FBPQ T4'!AE95)</f>
        <v xml:space="preserve"> </v>
      </c>
      <c r="I103" s="21" t="str">
        <f t="shared" si="5"/>
        <v xml:space="preserve"> </v>
      </c>
    </row>
    <row r="104" spans="1:9">
      <c r="A104" s="25"/>
      <c r="B104" s="20" t="s">
        <v>631</v>
      </c>
      <c r="C104" s="21"/>
      <c r="D104" s="25"/>
      <c r="E104" s="4" t="str">
        <f>IF(ISNUMBER('FBPQ C2'!J96),'FBPQ C2'!J96,IF(ISNUMBER('FBPQ C2'!I96),'FBPQ C2'!I96,""))</f>
        <v/>
      </c>
      <c r="F104" s="29"/>
      <c r="G104" s="29">
        <f t="shared" si="4"/>
        <v>0</v>
      </c>
      <c r="H104" s="21" t="str">
        <f>IF(ISBLANK('FBPQ T4'!E96)," ",'FBPQ T4'!AE96)</f>
        <v xml:space="preserve"> </v>
      </c>
      <c r="I104" s="21" t="str">
        <f t="shared" si="5"/>
        <v xml:space="preserve"> </v>
      </c>
    </row>
    <row r="105" spans="1:9">
      <c r="A105" s="25"/>
      <c r="B105" s="20"/>
      <c r="C105" s="21" t="s">
        <v>388</v>
      </c>
      <c r="D105" s="25" t="s">
        <v>738</v>
      </c>
      <c r="E105" s="4">
        <f>IF(ISNUMBER('FBPQ C2'!J97),'FBPQ C2'!J97,IF(ISNUMBER('FBPQ C2'!I97),'FBPQ C2'!I97,""))</f>
        <v>175.26499757861637</v>
      </c>
      <c r="F105" s="29" t="s">
        <v>217</v>
      </c>
      <c r="G105" s="29">
        <f t="shared" si="4"/>
        <v>175.26499757861637</v>
      </c>
      <c r="H105" s="21">
        <f>IF(ISBLANK('FBPQ T4'!E97)," ",'FBPQ T4'!AE97)</f>
        <v>414</v>
      </c>
      <c r="I105" s="21">
        <f t="shared" si="5"/>
        <v>72559.708997547175</v>
      </c>
    </row>
    <row r="106" spans="1:9">
      <c r="A106" s="25"/>
      <c r="B106" s="20"/>
      <c r="C106" s="21" t="s">
        <v>389</v>
      </c>
      <c r="D106" s="25" t="s">
        <v>738</v>
      </c>
      <c r="E106" s="4">
        <f>IF(ISNUMBER('FBPQ C2'!J98),'FBPQ C2'!J98,IF(ISNUMBER('FBPQ C2'!I98),'FBPQ C2'!I98,""))</f>
        <v>175.26499757861637</v>
      </c>
      <c r="F106" s="29" t="s">
        <v>217</v>
      </c>
      <c r="G106" s="29">
        <f t="shared" si="4"/>
        <v>175.26499757861637</v>
      </c>
      <c r="H106" s="21">
        <f>IF(ISBLANK('FBPQ T4'!E98)," ",'FBPQ T4'!AE98)</f>
        <v>575</v>
      </c>
      <c r="I106" s="21">
        <f t="shared" si="5"/>
        <v>100777.37360770442</v>
      </c>
    </row>
    <row r="107" spans="1:9">
      <c r="A107" s="25"/>
      <c r="B107" s="20"/>
      <c r="C107" s="21" t="s">
        <v>390</v>
      </c>
      <c r="D107" s="25" t="s">
        <v>738</v>
      </c>
      <c r="E107" s="4">
        <f>IF(ISNUMBER('FBPQ C2'!J99),'FBPQ C2'!J99,IF(ISNUMBER('FBPQ C2'!I99),'FBPQ C2'!I99,""))</f>
        <v>0</v>
      </c>
      <c r="F107" s="29" t="s">
        <v>217</v>
      </c>
      <c r="G107" s="29">
        <f t="shared" si="4"/>
        <v>0</v>
      </c>
      <c r="H107" s="21">
        <f>IF(ISBLANK('FBPQ T4'!E99)," ",'FBPQ T4'!AE99)</f>
        <v>0</v>
      </c>
      <c r="I107" s="21">
        <f t="shared" si="5"/>
        <v>0</v>
      </c>
    </row>
    <row r="108" spans="1:9">
      <c r="A108" s="25"/>
      <c r="B108" s="20"/>
      <c r="C108" s="21" t="s">
        <v>391</v>
      </c>
      <c r="D108" s="25" t="s">
        <v>738</v>
      </c>
      <c r="E108" s="4">
        <f>IF(ISNUMBER('FBPQ C2'!J100),'FBPQ C2'!J100,IF(ISNUMBER('FBPQ C2'!I100),'FBPQ C2'!I100,""))</f>
        <v>0</v>
      </c>
      <c r="F108" s="29" t="s">
        <v>217</v>
      </c>
      <c r="G108" s="29">
        <f t="shared" si="4"/>
        <v>0</v>
      </c>
      <c r="H108" s="21">
        <f>IF(ISBLANK('FBPQ T4'!E100)," ",'FBPQ T4'!AE100)</f>
        <v>0</v>
      </c>
      <c r="I108" s="21">
        <f t="shared" si="5"/>
        <v>0</v>
      </c>
    </row>
    <row r="109" spans="1:9">
      <c r="A109" s="25"/>
      <c r="B109" s="20"/>
      <c r="C109" s="21" t="s">
        <v>392</v>
      </c>
      <c r="D109" s="25" t="s">
        <v>738</v>
      </c>
      <c r="E109" s="4">
        <f>IF(ISNUMBER('FBPQ C2'!J101),'FBPQ C2'!J101,IF(ISNUMBER('FBPQ C2'!I101),'FBPQ C2'!I101,""))</f>
        <v>557.59565209031973</v>
      </c>
      <c r="F109" s="29" t="s">
        <v>217</v>
      </c>
      <c r="G109" s="29">
        <f t="shared" si="4"/>
        <v>557.59565209031973</v>
      </c>
      <c r="H109" s="21">
        <f>IF(ISBLANK('FBPQ T4'!E101)," ",'FBPQ T4'!AE101)</f>
        <v>54</v>
      </c>
      <c r="I109" s="21">
        <f t="shared" si="5"/>
        <v>30110.165212877266</v>
      </c>
    </row>
    <row r="110" spans="1:9">
      <c r="A110" s="25"/>
      <c r="B110" s="20"/>
      <c r="C110" s="21" t="s">
        <v>393</v>
      </c>
      <c r="D110" s="25" t="s">
        <v>738</v>
      </c>
      <c r="E110" s="1876">
        <f>E106</f>
        <v>175.26499757861637</v>
      </c>
      <c r="F110" s="29" t="s">
        <v>217</v>
      </c>
      <c r="G110" s="29">
        <f t="shared" si="4"/>
        <v>175.26499757861637</v>
      </c>
      <c r="H110" s="21">
        <f>IF(ISBLANK('FBPQ T4'!E102)," ",'FBPQ T4'!AE102)</f>
        <v>2044</v>
      </c>
      <c r="I110" s="21">
        <f t="shared" si="5"/>
        <v>358241.65505069186</v>
      </c>
    </row>
    <row r="111" spans="1:9">
      <c r="A111" s="25"/>
      <c r="B111" s="20"/>
      <c r="C111" s="21" t="s">
        <v>394</v>
      </c>
      <c r="D111" s="25" t="s">
        <v>738</v>
      </c>
      <c r="E111" s="4">
        <f>IF(ISNUMBER('FBPQ C2'!J103),'FBPQ C2'!J103,IF(ISNUMBER('FBPQ C2'!I103),'FBPQ C2'!I103,""))</f>
        <v>661.18870907836788</v>
      </c>
      <c r="F111" s="29" t="s">
        <v>217</v>
      </c>
      <c r="G111" s="29">
        <f t="shared" si="4"/>
        <v>661.18870907836788</v>
      </c>
      <c r="H111" s="21">
        <f>IF(ISBLANK('FBPQ T4'!E103)," ",'FBPQ T4'!AE103)</f>
        <v>0</v>
      </c>
      <c r="I111" s="21">
        <f t="shared" si="5"/>
        <v>0</v>
      </c>
    </row>
    <row r="112" spans="1:9">
      <c r="A112" s="25"/>
      <c r="B112" s="20"/>
      <c r="C112" s="21" t="s">
        <v>395</v>
      </c>
      <c r="D112" s="25" t="s">
        <v>738</v>
      </c>
      <c r="E112" s="4" t="str">
        <f>IF(ISNUMBER('FBPQ C2'!J104),'FBPQ C2'!J104,IF(ISNUMBER('FBPQ C2'!I104),'FBPQ C2'!I104,""))</f>
        <v/>
      </c>
      <c r="F112" s="29" t="s">
        <v>217</v>
      </c>
      <c r="G112" s="29" t="str">
        <f t="shared" si="4"/>
        <v xml:space="preserve"> </v>
      </c>
      <c r="H112" s="21">
        <f>IF(ISBLANK('FBPQ T4'!E104)," ",'FBPQ T4'!AE104)</f>
        <v>0</v>
      </c>
      <c r="I112" s="21" t="str">
        <f t="shared" si="5"/>
        <v xml:space="preserve"> </v>
      </c>
    </row>
    <row r="113" spans="1:9">
      <c r="A113" s="25"/>
      <c r="B113" s="20"/>
      <c r="C113" s="21"/>
      <c r="D113" s="25"/>
      <c r="E113" s="4" t="str">
        <f>IF(ISNUMBER('FBPQ C2'!J105),'FBPQ C2'!J105,IF(ISNUMBER('FBPQ C2'!I105),'FBPQ C2'!I105,""))</f>
        <v/>
      </c>
      <c r="F113" s="29"/>
      <c r="G113" s="29">
        <f t="shared" si="4"/>
        <v>0</v>
      </c>
      <c r="H113" s="21" t="str">
        <f>IF(ISBLANK('FBPQ T4'!E105)," ",'FBPQ T4'!AE105)</f>
        <v xml:space="preserve"> </v>
      </c>
      <c r="I113" s="21" t="str">
        <f t="shared" si="5"/>
        <v xml:space="preserve"> </v>
      </c>
    </row>
    <row r="114" spans="1:9">
      <c r="A114" s="25"/>
      <c r="B114" s="20" t="s">
        <v>506</v>
      </c>
      <c r="C114" s="21"/>
      <c r="D114" s="25"/>
      <c r="E114" s="4" t="str">
        <f>IF(ISNUMBER('FBPQ C2'!J106),'FBPQ C2'!J106,IF(ISNUMBER('FBPQ C2'!I106),'FBPQ C2'!I106,""))</f>
        <v/>
      </c>
      <c r="F114" s="29"/>
      <c r="G114" s="29">
        <f t="shared" si="4"/>
        <v>0</v>
      </c>
      <c r="H114" s="21" t="str">
        <f>IF(ISBLANK('FBPQ T4'!E106)," ",'FBPQ T4'!AE106)</f>
        <v xml:space="preserve"> </v>
      </c>
      <c r="I114" s="21" t="str">
        <f t="shared" si="5"/>
        <v xml:space="preserve"> </v>
      </c>
    </row>
    <row r="115" spans="1:9">
      <c r="A115" s="25"/>
      <c r="B115" s="20"/>
      <c r="C115" s="21" t="s">
        <v>396</v>
      </c>
      <c r="D115" s="25" t="s">
        <v>738</v>
      </c>
      <c r="E115" s="4">
        <f>IF(ISNUMBER('FBPQ C2'!J107),'FBPQ C2'!J107,IF(ISNUMBER('FBPQ C2'!I107),'FBPQ C2'!I107,""))</f>
        <v>504.59455316620199</v>
      </c>
      <c r="F115" s="29" t="s">
        <v>217</v>
      </c>
      <c r="G115" s="29">
        <f t="shared" si="4"/>
        <v>504.59455316620199</v>
      </c>
      <c r="H115" s="21">
        <f>IF(ISBLANK('FBPQ T4'!E107)," ",'FBPQ T4'!AE107)</f>
        <v>0</v>
      </c>
      <c r="I115" s="21">
        <f t="shared" si="5"/>
        <v>0</v>
      </c>
    </row>
    <row r="116" spans="1:9">
      <c r="A116" s="25"/>
      <c r="B116" s="20"/>
      <c r="C116" s="21" t="s">
        <v>397</v>
      </c>
      <c r="D116" s="25" t="s">
        <v>738</v>
      </c>
      <c r="E116" s="4">
        <f>IF(ISNUMBER('FBPQ C2'!J108),'FBPQ C2'!J108,IF(ISNUMBER('FBPQ C2'!I108),'FBPQ C2'!I108,""))</f>
        <v>541.93623649910307</v>
      </c>
      <c r="F116" s="29" t="s">
        <v>217</v>
      </c>
      <c r="G116" s="29">
        <f t="shared" ref="G116:G147" si="6">IF(ISNUMBER(E116),E116,IF(H116&gt;0,F116," "))</f>
        <v>541.93623649910307</v>
      </c>
      <c r="H116" s="21">
        <f>IF(ISBLANK('FBPQ T4'!E108)," ",'FBPQ T4'!AE108)</f>
        <v>717</v>
      </c>
      <c r="I116" s="21">
        <f t="shared" ref="I116:I147" si="7">IF(ISERROR(G116*H116)," ",G116*H116)</f>
        <v>388568.28156985692</v>
      </c>
    </row>
    <row r="117" spans="1:9">
      <c r="A117" s="25"/>
      <c r="B117" s="20"/>
      <c r="C117" s="21" t="s">
        <v>398</v>
      </c>
      <c r="D117" s="25" t="s">
        <v>738</v>
      </c>
      <c r="E117" s="1876">
        <f>E76</f>
        <v>11.322962042879682</v>
      </c>
      <c r="F117" s="29" t="s">
        <v>217</v>
      </c>
      <c r="G117" s="29">
        <f t="shared" si="6"/>
        <v>11.322962042879682</v>
      </c>
      <c r="H117" s="21">
        <f>IF(ISBLANK('FBPQ T4'!E109)," ",'FBPQ T4'!AE109)</f>
        <v>651</v>
      </c>
      <c r="I117" s="21">
        <f t="shared" si="7"/>
        <v>7371.2482899146735</v>
      </c>
    </row>
    <row r="118" spans="1:9">
      <c r="A118" s="25"/>
      <c r="B118" s="20"/>
      <c r="C118" s="21" t="s">
        <v>589</v>
      </c>
      <c r="D118" s="25" t="s">
        <v>738</v>
      </c>
      <c r="E118" s="4">
        <f>IF(ISNUMBER('FBPQ C2'!J110),'FBPQ C2'!J110,IF(ISNUMBER('FBPQ C2'!I110),'FBPQ C2'!I110,""))</f>
        <v>2117.5143590615103</v>
      </c>
      <c r="F118" s="29" t="s">
        <v>217</v>
      </c>
      <c r="G118" s="29">
        <f t="shared" si="6"/>
        <v>2117.5143590615103</v>
      </c>
      <c r="H118" s="21">
        <f>IF(ISBLANK('FBPQ T4'!E110)," ",'FBPQ T4'!AE110)</f>
        <v>0</v>
      </c>
      <c r="I118" s="21">
        <f t="shared" si="7"/>
        <v>0</v>
      </c>
    </row>
    <row r="119" spans="1:9">
      <c r="A119" s="25"/>
      <c r="B119" s="20"/>
      <c r="C119" s="21" t="s">
        <v>590</v>
      </c>
      <c r="D119" s="25" t="s">
        <v>738</v>
      </c>
      <c r="E119" s="4" t="str">
        <f>IF(ISNUMBER('FBPQ C2'!J111),'FBPQ C2'!J111,IF(ISNUMBER('FBPQ C2'!I111),'FBPQ C2'!I111,""))</f>
        <v/>
      </c>
      <c r="F119" s="29" t="s">
        <v>217</v>
      </c>
      <c r="G119" s="29" t="str">
        <f t="shared" si="6"/>
        <v xml:space="preserve"> </v>
      </c>
      <c r="H119" s="21">
        <f>IF(ISBLANK('FBPQ T4'!E111)," ",'FBPQ T4'!AE111)</f>
        <v>0</v>
      </c>
      <c r="I119" s="21" t="str">
        <f t="shared" si="7"/>
        <v xml:space="preserve"> </v>
      </c>
    </row>
    <row r="120" spans="1:9">
      <c r="A120" s="25"/>
      <c r="B120" s="20"/>
      <c r="C120" s="21"/>
      <c r="D120" s="25"/>
      <c r="E120" s="4" t="str">
        <f>IF(ISNUMBER('FBPQ C2'!J112),'FBPQ C2'!J112,IF(ISNUMBER('FBPQ C2'!I112),'FBPQ C2'!I112,""))</f>
        <v/>
      </c>
      <c r="F120" s="29"/>
      <c r="G120" s="29">
        <f t="shared" si="6"/>
        <v>0</v>
      </c>
      <c r="H120" s="21" t="str">
        <f>IF(ISBLANK('FBPQ T4'!E112)," ",'FBPQ T4'!AE112)</f>
        <v xml:space="preserve"> </v>
      </c>
      <c r="I120" s="21" t="str">
        <f t="shared" si="7"/>
        <v xml:space="preserve"> </v>
      </c>
    </row>
    <row r="121" spans="1:9">
      <c r="A121" s="25" t="s">
        <v>591</v>
      </c>
      <c r="B121" s="20"/>
      <c r="C121" s="21"/>
      <c r="D121" s="25"/>
      <c r="E121" s="4" t="str">
        <f>IF(ISNUMBER('FBPQ C2'!J113),'FBPQ C2'!J113,IF(ISNUMBER('FBPQ C2'!I113),'FBPQ C2'!I113,""))</f>
        <v/>
      </c>
      <c r="F121" s="29"/>
      <c r="G121" s="29">
        <f t="shared" si="6"/>
        <v>0</v>
      </c>
      <c r="H121" s="21" t="str">
        <f>IF(ISBLANK('FBPQ T4'!E113)," ",'FBPQ T4'!AE113)</f>
        <v xml:space="preserve"> </v>
      </c>
      <c r="I121" s="21" t="str">
        <f t="shared" si="7"/>
        <v xml:space="preserve"> </v>
      </c>
    </row>
    <row r="122" spans="1:9">
      <c r="A122" s="25"/>
      <c r="B122" s="20" t="s">
        <v>224</v>
      </c>
      <c r="C122" s="21"/>
      <c r="D122" s="25"/>
      <c r="E122" s="4" t="str">
        <f>IF(ISNUMBER('FBPQ C2'!J114),'FBPQ C2'!J114,IF(ISNUMBER('FBPQ C2'!I114),'FBPQ C2'!I114,""))</f>
        <v/>
      </c>
      <c r="F122" s="29"/>
      <c r="G122" s="29">
        <f t="shared" si="6"/>
        <v>0</v>
      </c>
      <c r="H122" s="21" t="str">
        <f>IF(ISBLANK('FBPQ T4'!E114)," ",'FBPQ T4'!AE114)</f>
        <v xml:space="preserve"> </v>
      </c>
      <c r="I122" s="21" t="str">
        <f t="shared" si="7"/>
        <v xml:space="preserve"> </v>
      </c>
    </row>
    <row r="123" spans="1:9">
      <c r="A123" s="25"/>
      <c r="B123" s="20"/>
      <c r="C123" s="21" t="s">
        <v>592</v>
      </c>
      <c r="D123" s="25" t="s">
        <v>177</v>
      </c>
      <c r="E123" s="4">
        <f>IF(ISNUMBER('FBPQ C2'!J115),'FBPQ C2'!J115,IF(ISNUMBER('FBPQ C2'!I115),'FBPQ C2'!I115,""))</f>
        <v>677.32995284162189</v>
      </c>
      <c r="F123" s="29" t="s">
        <v>217</v>
      </c>
      <c r="G123" s="29">
        <f t="shared" si="6"/>
        <v>677.32995284162189</v>
      </c>
      <c r="H123" s="21">
        <f>IF(ISBLANK('FBPQ T4'!E115)," ",'FBPQ T4'!AE115)</f>
        <v>138</v>
      </c>
      <c r="I123" s="21">
        <f t="shared" si="7"/>
        <v>93471.533492143819</v>
      </c>
    </row>
    <row r="124" spans="1:9">
      <c r="A124" s="25"/>
      <c r="B124" s="20"/>
      <c r="C124" s="21" t="s">
        <v>593</v>
      </c>
      <c r="D124" s="25" t="s">
        <v>177</v>
      </c>
      <c r="E124" s="4">
        <f>IF(ISNUMBER('FBPQ C2'!J116),'FBPQ C2'!J116,IF(ISNUMBER('FBPQ C2'!I116),'FBPQ C2'!I116,""))</f>
        <v>1163.9764065994295</v>
      </c>
      <c r="F124" s="29" t="s">
        <v>217</v>
      </c>
      <c r="G124" s="29">
        <f t="shared" si="6"/>
        <v>1163.9764065994295</v>
      </c>
      <c r="H124" s="21">
        <f>IF(ISBLANK('FBPQ T4'!E116)," ",'FBPQ T4'!AE116)</f>
        <v>2246</v>
      </c>
      <c r="I124" s="21">
        <f t="shared" si="7"/>
        <v>2614291.0092223189</v>
      </c>
    </row>
    <row r="125" spans="1:9">
      <c r="A125" s="25"/>
      <c r="B125" s="20"/>
      <c r="C125" s="21"/>
      <c r="D125" s="25"/>
      <c r="E125" s="4" t="str">
        <f>IF(ISNUMBER('FBPQ C2'!J117),'FBPQ C2'!J117,IF(ISNUMBER('FBPQ C2'!I117),'FBPQ C2'!I117,""))</f>
        <v/>
      </c>
      <c r="F125" s="29"/>
      <c r="G125" s="29">
        <f t="shared" si="6"/>
        <v>0</v>
      </c>
      <c r="H125" s="21" t="str">
        <f>IF(ISBLANK('FBPQ T4'!E117)," ",'FBPQ T4'!AE117)</f>
        <v xml:space="preserve"> </v>
      </c>
      <c r="I125" s="21" t="str">
        <f t="shared" si="7"/>
        <v xml:space="preserve"> </v>
      </c>
    </row>
    <row r="126" spans="1:9">
      <c r="A126" s="25"/>
      <c r="B126" s="20" t="s">
        <v>739</v>
      </c>
      <c r="C126" s="21"/>
      <c r="D126" s="25"/>
      <c r="E126" s="4" t="str">
        <f>IF(ISNUMBER('FBPQ C2'!J118),'FBPQ C2'!J118,IF(ISNUMBER('FBPQ C2'!I118),'FBPQ C2'!I118,""))</f>
        <v/>
      </c>
      <c r="F126" s="29"/>
      <c r="G126" s="29">
        <f t="shared" si="6"/>
        <v>0</v>
      </c>
      <c r="H126" s="21" t="str">
        <f>IF(ISBLANK('FBPQ T4'!E118)," ",'FBPQ T4'!AE118)</f>
        <v xml:space="preserve"> </v>
      </c>
      <c r="I126" s="21" t="str">
        <f t="shared" si="7"/>
        <v xml:space="preserve"> </v>
      </c>
    </row>
    <row r="127" spans="1:9">
      <c r="A127" s="25"/>
      <c r="B127" s="20"/>
      <c r="C127" s="21" t="s">
        <v>594</v>
      </c>
      <c r="D127" s="25" t="s">
        <v>738</v>
      </c>
      <c r="E127" s="4">
        <f>IF(ISNUMBER('FBPQ C2'!J119),'FBPQ C2'!J119,IF(ISNUMBER('FBPQ C2'!I119),'FBPQ C2'!I119,""))</f>
        <v>0</v>
      </c>
      <c r="F127" s="29" t="s">
        <v>217</v>
      </c>
      <c r="G127" s="29">
        <f t="shared" si="6"/>
        <v>0</v>
      </c>
      <c r="H127" s="21">
        <f>IF(ISBLANK('FBPQ T4'!E119)," ",'FBPQ T4'!AE119)</f>
        <v>56</v>
      </c>
      <c r="I127" s="21">
        <f t="shared" si="7"/>
        <v>0</v>
      </c>
    </row>
    <row r="128" spans="1:9">
      <c r="A128" s="25"/>
      <c r="B128" s="20"/>
      <c r="C128" s="21" t="s">
        <v>595</v>
      </c>
      <c r="D128" s="25" t="s">
        <v>738</v>
      </c>
      <c r="E128" s="4">
        <f>IF(ISNUMBER('FBPQ C2'!J120),'FBPQ C2'!J120,IF(ISNUMBER('FBPQ C2'!I120),'FBPQ C2'!I120,""))</f>
        <v>0</v>
      </c>
      <c r="F128" s="29" t="s">
        <v>217</v>
      </c>
      <c r="G128" s="29">
        <f t="shared" si="6"/>
        <v>0</v>
      </c>
      <c r="H128" s="21">
        <f>IF(ISBLANK('FBPQ T4'!E120)," ",'FBPQ T4'!AE120)</f>
        <v>4562</v>
      </c>
      <c r="I128" s="21">
        <f t="shared" si="7"/>
        <v>0</v>
      </c>
    </row>
    <row r="129" spans="1:9">
      <c r="A129" s="25"/>
      <c r="B129" s="20"/>
      <c r="C129" s="21" t="s">
        <v>438</v>
      </c>
      <c r="D129" s="25" t="s">
        <v>738</v>
      </c>
      <c r="E129" s="4">
        <f>IF(ISNUMBER('FBPQ C2'!J121),'FBPQ C2'!J121,IF(ISNUMBER('FBPQ C2'!I121),'FBPQ C2'!I121,""))</f>
        <v>0</v>
      </c>
      <c r="F129" s="29" t="s">
        <v>217</v>
      </c>
      <c r="G129" s="29">
        <f t="shared" si="6"/>
        <v>0</v>
      </c>
      <c r="H129" s="21">
        <f>IF(ISBLANK('FBPQ T4'!E121)," ",'FBPQ T4'!AE121)</f>
        <v>9124</v>
      </c>
      <c r="I129" s="21">
        <f t="shared" si="7"/>
        <v>0</v>
      </c>
    </row>
    <row r="130" spans="1:9">
      <c r="A130" s="25"/>
      <c r="B130" s="20"/>
      <c r="C130" s="21"/>
      <c r="D130" s="25"/>
      <c r="E130" s="4" t="str">
        <f>IF(ISNUMBER('FBPQ C2'!J122),'FBPQ C2'!J122,IF(ISNUMBER('FBPQ C2'!I122),'FBPQ C2'!I122,""))</f>
        <v/>
      </c>
      <c r="F130" s="29"/>
      <c r="G130" s="29">
        <f t="shared" si="6"/>
        <v>0</v>
      </c>
      <c r="H130" s="21" t="str">
        <f>IF(ISBLANK('FBPQ T4'!E122)," ",'FBPQ T4'!AE122)</f>
        <v xml:space="preserve"> </v>
      </c>
      <c r="I130" s="21" t="str">
        <f t="shared" si="7"/>
        <v xml:space="preserve"> </v>
      </c>
    </row>
    <row r="131" spans="1:9">
      <c r="A131" s="25"/>
      <c r="B131" s="20" t="s">
        <v>763</v>
      </c>
      <c r="C131" s="21"/>
      <c r="D131" s="25"/>
      <c r="E131" s="4" t="str">
        <f>IF(ISNUMBER('FBPQ C2'!J123),'FBPQ C2'!J123,IF(ISNUMBER('FBPQ C2'!I123),'FBPQ C2'!I123,""))</f>
        <v/>
      </c>
      <c r="F131" s="29"/>
      <c r="G131" s="29">
        <f t="shared" si="6"/>
        <v>0</v>
      </c>
      <c r="H131" s="21" t="str">
        <f>IF(ISBLANK('FBPQ T4'!E123)," ",'FBPQ T4'!AE123)</f>
        <v xml:space="preserve"> </v>
      </c>
      <c r="I131" s="21" t="str">
        <f t="shared" si="7"/>
        <v xml:space="preserve"> </v>
      </c>
    </row>
    <row r="132" spans="1:9">
      <c r="A132" s="25"/>
      <c r="B132" s="20"/>
      <c r="C132" s="21" t="s">
        <v>704</v>
      </c>
      <c r="D132" s="25" t="s">
        <v>177</v>
      </c>
      <c r="E132" s="4">
        <f>IF(ISNUMBER('FBPQ C2'!J124),'FBPQ C2'!J124,IF(ISNUMBER('FBPQ C2'!I124),'FBPQ C2'!I124,""))</f>
        <v>1174.4561693412438</v>
      </c>
      <c r="F132" s="29" t="s">
        <v>217</v>
      </c>
      <c r="G132" s="29">
        <f t="shared" si="6"/>
        <v>1174.4561693412438</v>
      </c>
      <c r="H132" s="21">
        <f>IF(ISBLANK('FBPQ T4'!E124)," ",'FBPQ T4'!AE124)</f>
        <v>42</v>
      </c>
      <c r="I132" s="21">
        <f t="shared" si="7"/>
        <v>49327.159112332243</v>
      </c>
    </row>
    <row r="133" spans="1:9">
      <c r="A133" s="25"/>
      <c r="B133" s="20"/>
      <c r="C133" s="21" t="s">
        <v>703</v>
      </c>
      <c r="D133" s="25" t="s">
        <v>177</v>
      </c>
      <c r="E133" s="4">
        <f>IF(ISNUMBER('FBPQ C2'!J125),'FBPQ C2'!J125,IF(ISNUMBER('FBPQ C2'!I125),'FBPQ C2'!I125,""))</f>
        <v>1174.4561693412438</v>
      </c>
      <c r="F133" s="29" t="s">
        <v>217</v>
      </c>
      <c r="G133" s="29">
        <f t="shared" si="6"/>
        <v>1174.4561693412438</v>
      </c>
      <c r="H133" s="21">
        <f>IF(ISBLANK('FBPQ T4'!E125)," ",'FBPQ T4'!AE125)</f>
        <v>164</v>
      </c>
      <c r="I133" s="21">
        <f t="shared" si="7"/>
        <v>192610.81177196398</v>
      </c>
    </row>
    <row r="134" spans="1:9">
      <c r="A134" s="25"/>
      <c r="B134" s="20"/>
      <c r="C134" s="21" t="s">
        <v>667</v>
      </c>
      <c r="D134" s="25" t="s">
        <v>177</v>
      </c>
      <c r="E134" s="4">
        <f>IF(ISNUMBER('FBPQ C2'!J126),'FBPQ C2'!J126,IF(ISNUMBER('FBPQ C2'!I126),'FBPQ C2'!I126,""))</f>
        <v>0</v>
      </c>
      <c r="F134" s="29" t="s">
        <v>217</v>
      </c>
      <c r="G134" s="29">
        <f t="shared" si="6"/>
        <v>0</v>
      </c>
      <c r="H134" s="21">
        <f>IF(ISBLANK('FBPQ T4'!E126)," ",'FBPQ T4'!AE126)</f>
        <v>0</v>
      </c>
      <c r="I134" s="21">
        <f t="shared" si="7"/>
        <v>0</v>
      </c>
    </row>
    <row r="135" spans="1:9">
      <c r="A135" s="25"/>
      <c r="B135" s="20"/>
      <c r="C135" s="21"/>
      <c r="D135" s="25"/>
      <c r="E135" s="4" t="str">
        <f>IF(ISNUMBER('FBPQ C2'!J127),'FBPQ C2'!J127,IF(ISNUMBER('FBPQ C2'!I127),'FBPQ C2'!I127,""))</f>
        <v/>
      </c>
      <c r="F135" s="29"/>
      <c r="G135" s="29">
        <f t="shared" si="6"/>
        <v>0</v>
      </c>
      <c r="H135" s="21" t="str">
        <f>IF(ISBLANK('FBPQ T4'!E127)," ",'FBPQ T4'!AE127)</f>
        <v xml:space="preserve"> </v>
      </c>
      <c r="I135" s="21" t="str">
        <f t="shared" si="7"/>
        <v xml:space="preserve"> </v>
      </c>
    </row>
    <row r="136" spans="1:9">
      <c r="A136" s="25"/>
      <c r="B136" s="20" t="s">
        <v>68</v>
      </c>
      <c r="C136" s="21"/>
      <c r="D136" s="25"/>
      <c r="E136" s="4" t="str">
        <f>IF(ISNUMBER('FBPQ C2'!J128),'FBPQ C2'!J128,IF(ISNUMBER('FBPQ C2'!I128),'FBPQ C2'!I128,""))</f>
        <v/>
      </c>
      <c r="F136" s="29"/>
      <c r="G136" s="29">
        <f t="shared" si="6"/>
        <v>0</v>
      </c>
      <c r="H136" s="21" t="str">
        <f>IF(ISBLANK('FBPQ T4'!E128)," ",'FBPQ T4'!AE128)</f>
        <v xml:space="preserve"> </v>
      </c>
      <c r="I136" s="21" t="str">
        <f t="shared" si="7"/>
        <v xml:space="preserve"> </v>
      </c>
    </row>
    <row r="137" spans="1:9">
      <c r="A137" s="25"/>
      <c r="B137" s="20"/>
      <c r="C137" s="21" t="s">
        <v>668</v>
      </c>
      <c r="D137" s="25" t="s">
        <v>177</v>
      </c>
      <c r="E137" s="4">
        <f>IF(ISNUMBER('FBPQ C2'!J129),'FBPQ C2'!J129,IF(ISNUMBER('FBPQ C2'!I129),'FBPQ C2'!I129,""))</f>
        <v>0</v>
      </c>
      <c r="F137" s="29" t="s">
        <v>217</v>
      </c>
      <c r="G137" s="29">
        <f t="shared" si="6"/>
        <v>0</v>
      </c>
      <c r="H137" s="21">
        <f>IF(ISBLANK('FBPQ T4'!E129)," ",'FBPQ T4'!AE129)</f>
        <v>0</v>
      </c>
      <c r="I137" s="21">
        <f t="shared" si="7"/>
        <v>0</v>
      </c>
    </row>
    <row r="138" spans="1:9">
      <c r="A138" s="25"/>
      <c r="B138" s="20"/>
      <c r="C138" s="21"/>
      <c r="D138" s="25"/>
      <c r="E138" s="4" t="str">
        <f>IF(ISNUMBER('FBPQ C2'!J130),'FBPQ C2'!J130,IF(ISNUMBER('FBPQ C2'!I130),'FBPQ C2'!I130,""))</f>
        <v/>
      </c>
      <c r="F138" s="29"/>
      <c r="G138" s="29">
        <f t="shared" si="6"/>
        <v>0</v>
      </c>
      <c r="H138" s="21" t="str">
        <f>IF(ISBLANK('FBPQ T4'!E130)," ",'FBPQ T4'!AE130)</f>
        <v xml:space="preserve"> </v>
      </c>
      <c r="I138" s="21" t="str">
        <f t="shared" si="7"/>
        <v xml:space="preserve"> </v>
      </c>
    </row>
    <row r="139" spans="1:9">
      <c r="A139" s="25"/>
      <c r="B139" s="20" t="s">
        <v>631</v>
      </c>
      <c r="C139" s="21"/>
      <c r="D139" s="25"/>
      <c r="E139" s="4" t="str">
        <f>IF(ISNUMBER('FBPQ C2'!J131),'FBPQ C2'!J131,IF(ISNUMBER('FBPQ C2'!I131),'FBPQ C2'!I131,""))</f>
        <v/>
      </c>
      <c r="F139" s="29"/>
      <c r="G139" s="29">
        <f t="shared" si="6"/>
        <v>0</v>
      </c>
      <c r="H139" s="21" t="str">
        <f>IF(ISBLANK('FBPQ T4'!E131)," ",'FBPQ T4'!AE131)</f>
        <v xml:space="preserve"> </v>
      </c>
      <c r="I139" s="21" t="str">
        <f t="shared" si="7"/>
        <v xml:space="preserve"> </v>
      </c>
    </row>
    <row r="140" spans="1:9">
      <c r="A140" s="25"/>
      <c r="B140" s="20"/>
      <c r="C140" s="21" t="s">
        <v>669</v>
      </c>
      <c r="D140" s="25" t="s">
        <v>738</v>
      </c>
      <c r="E140" s="4">
        <f>IF(ISNUMBER('FBPQ C2'!J132),'FBPQ C2'!J132,IF(ISNUMBER('FBPQ C2'!I132),'FBPQ C2'!I132,""))</f>
        <v>1048.3376453104456</v>
      </c>
      <c r="F140" s="29" t="s">
        <v>217</v>
      </c>
      <c r="G140" s="29">
        <f t="shared" si="6"/>
        <v>1048.3376453104456</v>
      </c>
      <c r="H140" s="21">
        <f>IF(ISBLANK('FBPQ T4'!E132)," ",'FBPQ T4'!AE132)</f>
        <v>245</v>
      </c>
      <c r="I140" s="21">
        <f t="shared" si="7"/>
        <v>256842.72310105918</v>
      </c>
    </row>
    <row r="141" spans="1:9">
      <c r="A141" s="25"/>
      <c r="B141" s="20"/>
      <c r="C141" s="21" t="s">
        <v>670</v>
      </c>
      <c r="D141" s="25" t="s">
        <v>738</v>
      </c>
      <c r="E141" s="1876">
        <f>E140</f>
        <v>1048.3376453104456</v>
      </c>
      <c r="F141" s="29" t="s">
        <v>217</v>
      </c>
      <c r="G141" s="29">
        <f t="shared" si="6"/>
        <v>1048.3376453104456</v>
      </c>
      <c r="H141" s="21">
        <f>IF(ISBLANK('FBPQ T4'!E133)," ",'FBPQ T4'!AE133)</f>
        <v>1662</v>
      </c>
      <c r="I141" s="21">
        <f t="shared" si="7"/>
        <v>1742337.1665059605</v>
      </c>
    </row>
    <row r="142" spans="1:9">
      <c r="A142" s="25"/>
      <c r="B142" s="20"/>
      <c r="C142" s="21"/>
      <c r="D142" s="25"/>
      <c r="E142" s="4" t="str">
        <f>IF(ISNUMBER('FBPQ C2'!J134),'FBPQ C2'!J134,IF(ISNUMBER('FBPQ C2'!I134),'FBPQ C2'!I134,""))</f>
        <v/>
      </c>
      <c r="F142" s="29"/>
      <c r="G142" s="29">
        <f t="shared" si="6"/>
        <v>0</v>
      </c>
      <c r="H142" s="21" t="str">
        <f>IF(ISBLANK('FBPQ T4'!E134)," ",'FBPQ T4'!AE134)</f>
        <v xml:space="preserve"> </v>
      </c>
      <c r="I142" s="21" t="str">
        <f t="shared" si="7"/>
        <v xml:space="preserve"> </v>
      </c>
    </row>
    <row r="143" spans="1:9">
      <c r="A143" s="25"/>
      <c r="B143" s="20" t="s">
        <v>506</v>
      </c>
      <c r="C143" s="21"/>
      <c r="D143" s="25"/>
      <c r="E143" s="4" t="str">
        <f>IF(ISNUMBER('FBPQ C2'!J135),'FBPQ C2'!J135,IF(ISNUMBER('FBPQ C2'!I135),'FBPQ C2'!I135,""))</f>
        <v/>
      </c>
      <c r="F143" s="29"/>
      <c r="G143" s="29">
        <f t="shared" si="6"/>
        <v>0</v>
      </c>
      <c r="H143" s="21" t="str">
        <f>IF(ISBLANK('FBPQ T4'!E135)," ",'FBPQ T4'!AE135)</f>
        <v xml:space="preserve"> </v>
      </c>
      <c r="I143" s="21" t="str">
        <f t="shared" si="7"/>
        <v xml:space="preserve"> </v>
      </c>
    </row>
    <row r="144" spans="1:9">
      <c r="A144" s="25"/>
      <c r="B144" s="20"/>
      <c r="C144" s="21" t="s">
        <v>671</v>
      </c>
      <c r="D144" s="25" t="s">
        <v>738</v>
      </c>
      <c r="E144" s="4">
        <f>IF(ISNUMBER('FBPQ C2'!J136),'FBPQ C2'!J136,IF(ISNUMBER('FBPQ C2'!I136),'FBPQ C2'!I136,""))</f>
        <v>2117.5143590615103</v>
      </c>
      <c r="F144" s="29" t="s">
        <v>217</v>
      </c>
      <c r="G144" s="29">
        <f t="shared" si="6"/>
        <v>2117.5143590615103</v>
      </c>
      <c r="H144" s="21">
        <f>IF(ISBLANK('FBPQ T4'!E136)," ",'FBPQ T4'!AE136)</f>
        <v>191</v>
      </c>
      <c r="I144" s="21">
        <f t="shared" si="7"/>
        <v>404445.24258074845</v>
      </c>
    </row>
    <row r="145" spans="1:9">
      <c r="A145" s="25"/>
      <c r="B145" s="20"/>
      <c r="C145" s="21" t="s">
        <v>672</v>
      </c>
      <c r="D145" s="25" t="s">
        <v>738</v>
      </c>
      <c r="E145" s="1876">
        <f>E76</f>
        <v>11.322962042879682</v>
      </c>
      <c r="F145" s="29" t="s">
        <v>217</v>
      </c>
      <c r="G145" s="29">
        <f t="shared" si="6"/>
        <v>11.322962042879682</v>
      </c>
      <c r="H145" s="21">
        <f>IF(ISBLANK('FBPQ T4'!E137)," ",'FBPQ T4'!AE137)</f>
        <v>336</v>
      </c>
      <c r="I145" s="21">
        <f t="shared" si="7"/>
        <v>3804.5152464075732</v>
      </c>
    </row>
    <row r="146" spans="1:9">
      <c r="A146" s="25"/>
      <c r="B146" s="20"/>
      <c r="C146" s="21"/>
      <c r="D146" s="25"/>
      <c r="E146" s="4" t="str">
        <f>IF(ISNUMBER('FBPQ C2'!J138),'FBPQ C2'!J138,IF(ISNUMBER('FBPQ C2'!I138),'FBPQ C2'!I138,""))</f>
        <v/>
      </c>
      <c r="F146" s="29"/>
      <c r="G146" s="29">
        <f t="shared" si="6"/>
        <v>0</v>
      </c>
      <c r="H146" s="21" t="str">
        <f>IF(ISBLANK('FBPQ T4'!E138)," ",'FBPQ T4'!AE138)</f>
        <v xml:space="preserve"> </v>
      </c>
      <c r="I146" s="21" t="str">
        <f t="shared" si="7"/>
        <v xml:space="preserve"> </v>
      </c>
    </row>
    <row r="147" spans="1:9">
      <c r="A147" s="25" t="s">
        <v>677</v>
      </c>
      <c r="B147" s="20"/>
      <c r="C147" s="21"/>
      <c r="D147" s="25"/>
      <c r="E147" s="4" t="str">
        <f>IF(ISNUMBER('FBPQ C2'!J139),'FBPQ C2'!J139,IF(ISNUMBER('FBPQ C2'!I139),'FBPQ C2'!I139,""))</f>
        <v/>
      </c>
      <c r="F147" s="29"/>
      <c r="G147" s="29">
        <f t="shared" si="6"/>
        <v>0</v>
      </c>
      <c r="H147" s="21" t="str">
        <f>IF(ISBLANK('FBPQ T4'!E139)," ",'FBPQ T4'!AE139)</f>
        <v xml:space="preserve"> </v>
      </c>
      <c r="I147" s="21" t="str">
        <f t="shared" si="7"/>
        <v xml:space="preserve"> </v>
      </c>
    </row>
    <row r="148" spans="1:9">
      <c r="A148" s="25"/>
      <c r="B148" s="20" t="s">
        <v>678</v>
      </c>
      <c r="C148" s="21"/>
      <c r="D148" s="25"/>
      <c r="E148" s="4" t="str">
        <f>IF(ISNUMBER('FBPQ C2'!J140),'FBPQ C2'!J140,IF(ISNUMBER('FBPQ C2'!I140),'FBPQ C2'!I140,""))</f>
        <v/>
      </c>
      <c r="F148" s="29"/>
      <c r="G148" s="29">
        <f t="shared" ref="G148:G163" si="8">IF(ISNUMBER(E148),E148,IF(H148&gt;0,F148," "))</f>
        <v>0</v>
      </c>
      <c r="H148" s="21" t="str">
        <f>IF(ISBLANK('FBPQ T4'!E140)," ",'FBPQ T4'!AE140)</f>
        <v xml:space="preserve"> </v>
      </c>
      <c r="I148" s="21" t="str">
        <f t="shared" ref="I148:I163" si="9">IF(ISERROR(G148*H148)," ",G148*H148)</f>
        <v xml:space="preserve"> </v>
      </c>
    </row>
    <row r="149" spans="1:9">
      <c r="A149" s="25"/>
      <c r="B149" s="20"/>
      <c r="C149" s="21" t="s">
        <v>679</v>
      </c>
      <c r="D149" s="25" t="s">
        <v>738</v>
      </c>
      <c r="E149" s="1876">
        <v>62.645000000000003</v>
      </c>
      <c r="F149" s="29" t="s">
        <v>217</v>
      </c>
      <c r="G149" s="29">
        <f t="shared" si="8"/>
        <v>62.645000000000003</v>
      </c>
      <c r="H149" s="21">
        <f>IF(ISBLANK('FBPQ T4'!E141)," ",'FBPQ T4'!AE141)</f>
        <v>2</v>
      </c>
      <c r="I149" s="21">
        <f t="shared" si="9"/>
        <v>125.29</v>
      </c>
    </row>
    <row r="150" spans="1:9">
      <c r="A150" s="25"/>
      <c r="B150" s="20"/>
      <c r="C150" s="21" t="s">
        <v>848</v>
      </c>
      <c r="D150" s="25" t="s">
        <v>738</v>
      </c>
      <c r="E150" s="1876">
        <v>62.645000000000003</v>
      </c>
      <c r="F150" s="29" t="s">
        <v>217</v>
      </c>
      <c r="G150" s="29">
        <f t="shared" si="8"/>
        <v>62.645000000000003</v>
      </c>
      <c r="H150" s="21">
        <f>IF(ISBLANK('FBPQ T4'!E142)," ",'FBPQ T4'!AE142)</f>
        <v>484</v>
      </c>
      <c r="I150" s="21">
        <f t="shared" si="9"/>
        <v>30320.18</v>
      </c>
    </row>
    <row r="151" spans="1:9">
      <c r="A151" s="25"/>
      <c r="B151" s="20"/>
      <c r="C151" s="21"/>
      <c r="D151" s="25"/>
      <c r="E151" s="224" t="str">
        <f>IF(ISNUMBER('[5]FBPQ C2'!J143),'[5]FBPQ C2'!J143,IF(ISNUMBER('[5]FBPQ C2'!I143),'[5]FBPQ C2'!I143,""))</f>
        <v/>
      </c>
      <c r="F151" s="29"/>
      <c r="G151" s="29">
        <f t="shared" si="8"/>
        <v>0</v>
      </c>
      <c r="H151" s="21" t="str">
        <f>IF(ISBLANK('FBPQ T4'!E143)," ",'FBPQ T4'!AE143)</f>
        <v xml:space="preserve"> </v>
      </c>
      <c r="I151" s="21" t="str">
        <f t="shared" si="9"/>
        <v xml:space="preserve"> </v>
      </c>
    </row>
    <row r="152" spans="1:9">
      <c r="A152" s="25"/>
      <c r="B152" s="20" t="s">
        <v>849</v>
      </c>
      <c r="C152" s="21"/>
      <c r="D152" s="25"/>
      <c r="E152" s="224" t="str">
        <f>IF(ISNUMBER('[5]FBPQ C2'!J144),'[5]FBPQ C2'!J144,IF(ISNUMBER('[5]FBPQ C2'!I144),'[5]FBPQ C2'!I144,""))</f>
        <v/>
      </c>
      <c r="F152" s="29"/>
      <c r="G152" s="29">
        <f t="shared" si="8"/>
        <v>0</v>
      </c>
      <c r="H152" s="21" t="str">
        <f>IF(ISBLANK('FBPQ T4'!E144)," ",'FBPQ T4'!AE144)</f>
        <v xml:space="preserve"> </v>
      </c>
      <c r="I152" s="21" t="str">
        <f t="shared" si="9"/>
        <v xml:space="preserve"> </v>
      </c>
    </row>
    <row r="153" spans="1:9">
      <c r="A153" s="25"/>
      <c r="B153" s="20"/>
      <c r="C153" s="21" t="s">
        <v>681</v>
      </c>
      <c r="D153" s="25" t="s">
        <v>738</v>
      </c>
      <c r="E153" s="1876">
        <v>62.645000000000003</v>
      </c>
      <c r="F153" s="29" t="s">
        <v>217</v>
      </c>
      <c r="G153" s="29">
        <f t="shared" si="8"/>
        <v>62.645000000000003</v>
      </c>
      <c r="H153" s="21">
        <f>IF(ISBLANK('FBPQ T4'!E145)," ",'FBPQ T4'!AE145)</f>
        <v>1491</v>
      </c>
      <c r="I153" s="21">
        <f t="shared" si="9"/>
        <v>93403.695000000007</v>
      </c>
    </row>
    <row r="154" spans="1:9">
      <c r="A154" s="25"/>
      <c r="B154" s="20"/>
      <c r="C154" s="21" t="s">
        <v>682</v>
      </c>
      <c r="D154" s="25" t="s">
        <v>738</v>
      </c>
      <c r="E154" s="1876">
        <v>62.645000000000003</v>
      </c>
      <c r="F154" s="29" t="s">
        <v>217</v>
      </c>
      <c r="G154" s="29">
        <f t="shared" si="8"/>
        <v>62.645000000000003</v>
      </c>
      <c r="H154" s="21">
        <f>IF(ISBLANK('FBPQ T4'!E146)," ",'FBPQ T4'!AE146)</f>
        <v>751</v>
      </c>
      <c r="I154" s="21">
        <f t="shared" si="9"/>
        <v>47046.395000000004</v>
      </c>
    </row>
    <row r="155" spans="1:9">
      <c r="A155" s="25"/>
      <c r="B155" s="20"/>
      <c r="C155" s="21"/>
      <c r="D155" s="25"/>
      <c r="E155" s="4" t="str">
        <f>IF(ISNUMBER('FBPQ C2'!J147),'FBPQ C2'!J147,IF(ISNUMBER('FBPQ C2'!I147),'FBPQ C2'!I147,""))</f>
        <v/>
      </c>
      <c r="F155" s="29"/>
      <c r="G155" s="29">
        <f t="shared" si="8"/>
        <v>0</v>
      </c>
      <c r="H155" s="21" t="str">
        <f>IF(ISBLANK('FBPQ T4'!E147)," ",'FBPQ T4'!AE147)</f>
        <v xml:space="preserve"> </v>
      </c>
      <c r="I155" s="21" t="str">
        <f t="shared" si="9"/>
        <v xml:space="preserve"> </v>
      </c>
    </row>
    <row r="156" spans="1:9">
      <c r="A156" s="25"/>
      <c r="B156" s="20"/>
      <c r="C156" s="21"/>
      <c r="D156" s="25"/>
      <c r="E156" s="4" t="str">
        <f>IF(ISNUMBER('FBPQ C2'!J148),'FBPQ C2'!J148,IF(ISNUMBER('FBPQ C2'!I148),'FBPQ C2'!I148,""))</f>
        <v/>
      </c>
      <c r="F156" s="29"/>
      <c r="G156" s="29">
        <f t="shared" si="8"/>
        <v>0</v>
      </c>
      <c r="H156" s="21" t="str">
        <f>IF(ISBLANK('FBPQ T4'!E148)," ",'FBPQ T4'!AE148)</f>
        <v xml:space="preserve"> </v>
      </c>
      <c r="I156" s="21" t="str">
        <f t="shared" si="9"/>
        <v xml:space="preserve"> </v>
      </c>
    </row>
    <row r="157" spans="1:9">
      <c r="A157" s="25" t="s">
        <v>683</v>
      </c>
      <c r="B157" s="20"/>
      <c r="C157" s="21"/>
      <c r="D157" s="25"/>
      <c r="E157" s="4" t="str">
        <f>IF(ISNUMBER('FBPQ C2'!J149),'FBPQ C2'!J149,IF(ISNUMBER('FBPQ C2'!I149),'FBPQ C2'!I149,""))</f>
        <v/>
      </c>
      <c r="F157" s="29"/>
      <c r="G157" s="29">
        <f t="shared" si="8"/>
        <v>0</v>
      </c>
      <c r="H157" s="21" t="str">
        <f>IF(ISBLANK('FBPQ T4'!E149)," ",'FBPQ T4'!AE149)</f>
        <v xml:space="preserve"> </v>
      </c>
      <c r="I157" s="21" t="str">
        <f t="shared" si="9"/>
        <v xml:space="preserve"> </v>
      </c>
    </row>
    <row r="158" spans="1:9">
      <c r="A158" s="25"/>
      <c r="B158" s="20"/>
      <c r="C158" s="21" t="s">
        <v>80</v>
      </c>
      <c r="D158" s="25"/>
      <c r="E158" s="4" t="str">
        <f>IF(ISNUMBER('FBPQ C2'!J150),'FBPQ C2'!J150,IF(ISNUMBER('FBPQ C2'!I150),'FBPQ C2'!I150,""))</f>
        <v/>
      </c>
      <c r="F158" s="29"/>
      <c r="G158" s="29">
        <f t="shared" si="8"/>
        <v>0</v>
      </c>
      <c r="H158" s="21" t="str">
        <f>IF(ISBLANK('FBPQ T4'!E150)," ",'FBPQ T4'!AE150)</f>
        <v xml:space="preserve"> </v>
      </c>
      <c r="I158" s="21" t="str">
        <f t="shared" si="9"/>
        <v xml:space="preserve"> </v>
      </c>
    </row>
    <row r="159" spans="1:9">
      <c r="A159" s="25"/>
      <c r="B159" s="20"/>
      <c r="C159" s="21" t="s">
        <v>684</v>
      </c>
      <c r="D159" s="25" t="s">
        <v>738</v>
      </c>
      <c r="E159" s="4">
        <f>IF(ISNUMBER('FBPQ C2'!J151),'FBPQ C2'!J151,IF(ISNUMBER('FBPQ C2'!I151),'FBPQ C2'!I151,""))</f>
        <v>29.271061451274075</v>
      </c>
      <c r="F159" s="29" t="s">
        <v>217</v>
      </c>
      <c r="G159" s="29">
        <f t="shared" si="8"/>
        <v>29.271061451274075</v>
      </c>
      <c r="H159" s="21" t="str">
        <f>IF(ISBLANK('FBPQ T4'!E151)," ",'FBPQ T4'!AE151)</f>
        <v xml:space="preserve"> </v>
      </c>
      <c r="I159" s="21" t="str">
        <f t="shared" si="9"/>
        <v xml:space="preserve"> </v>
      </c>
    </row>
    <row r="160" spans="1:9">
      <c r="A160" s="25"/>
      <c r="B160" s="20"/>
      <c r="C160" s="21" t="s">
        <v>685</v>
      </c>
      <c r="D160" s="25" t="s">
        <v>738</v>
      </c>
      <c r="E160" s="4">
        <f>IF(ISNUMBER('FBPQ C2'!J152),'FBPQ C2'!J152,IF(ISNUMBER('FBPQ C2'!I152),'FBPQ C2'!I152,""))</f>
        <v>7.4683366665802167</v>
      </c>
      <c r="F160" s="29" t="s">
        <v>217</v>
      </c>
      <c r="G160" s="29">
        <f t="shared" si="8"/>
        <v>7.4683366665802167</v>
      </c>
      <c r="H160" s="21" t="str">
        <f>IF(ISBLANK('FBPQ T4'!E152)," ",'FBPQ T4'!AE152)</f>
        <v xml:space="preserve"> </v>
      </c>
      <c r="I160" s="21" t="str">
        <f t="shared" si="9"/>
        <v xml:space="preserve"> </v>
      </c>
    </row>
    <row r="161" spans="1:9">
      <c r="A161" s="25"/>
      <c r="B161" s="20"/>
      <c r="C161" s="21" t="s">
        <v>497</v>
      </c>
      <c r="D161" s="25"/>
      <c r="E161" s="4" t="str">
        <f>IF(ISNUMBER('FBPQ C2'!J153),'FBPQ C2'!J153,IF(ISNUMBER('FBPQ C2'!I153),'FBPQ C2'!I153,""))</f>
        <v/>
      </c>
      <c r="F161" s="29" t="s">
        <v>217</v>
      </c>
      <c r="G161" s="29" t="str">
        <f t="shared" si="8"/>
        <v>DATA</v>
      </c>
      <c r="H161" s="21" t="str">
        <f>IF(ISBLANK('FBPQ T4'!E153)," ",'FBPQ T4'!AE153)</f>
        <v xml:space="preserve"> </v>
      </c>
      <c r="I161" s="21" t="str">
        <f t="shared" si="9"/>
        <v xml:space="preserve"> </v>
      </c>
    </row>
    <row r="162" spans="1:9">
      <c r="A162" s="25"/>
      <c r="B162" s="20"/>
      <c r="C162" s="21" t="s">
        <v>684</v>
      </c>
      <c r="D162" s="25" t="s">
        <v>738</v>
      </c>
      <c r="E162" s="4">
        <f>IF(ISNUMBER('FBPQ C2'!J154),'FBPQ C2'!J154,IF(ISNUMBER('FBPQ C2'!I154),'FBPQ C2'!I154,""))</f>
        <v>0</v>
      </c>
      <c r="F162" s="29" t="s">
        <v>217</v>
      </c>
      <c r="G162" s="29">
        <f t="shared" si="8"/>
        <v>0</v>
      </c>
      <c r="H162" s="21" t="str">
        <f>IF(ISBLANK('FBPQ T4'!E154)," ",'FBPQ T4'!AE154)</f>
        <v xml:space="preserve"> </v>
      </c>
      <c r="I162" s="21" t="str">
        <f t="shared" si="9"/>
        <v xml:space="preserve"> </v>
      </c>
    </row>
    <row r="163" spans="1:9">
      <c r="A163" s="24"/>
      <c r="B163" s="22"/>
      <c r="C163" s="23" t="s">
        <v>685</v>
      </c>
      <c r="D163" s="24" t="s">
        <v>738</v>
      </c>
      <c r="E163" s="5">
        <f>IF(ISNUMBER('FBPQ C2'!J155),'FBPQ C2'!J155,IF(ISNUMBER('FBPQ C2'!I155),'FBPQ C2'!I155,""))</f>
        <v>0</v>
      </c>
      <c r="F163" s="30" t="s">
        <v>217</v>
      </c>
      <c r="G163" s="30">
        <f t="shared" si="8"/>
        <v>0</v>
      </c>
      <c r="H163" s="24" t="str">
        <f>IF(ISBLANK('FBPQ T4'!E155)," ",'FBPQ T4'!AE155)</f>
        <v xml:space="preserve"> </v>
      </c>
      <c r="I163" s="24" t="str">
        <f t="shared" si="9"/>
        <v xml:space="preserve"> </v>
      </c>
    </row>
  </sheetData>
  <pageMargins left="0.75" right="0.75" top="1" bottom="1" header="0.5" footer="0.5"/>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theme="3" tint="0.79998168889431442"/>
  </sheetPr>
  <dimension ref="A1:M36"/>
  <sheetViews>
    <sheetView showGridLines="0" workbookViewId="0">
      <pane ySplit="1" topLeftCell="A20" activePane="bottomLeft" state="frozenSplit"/>
      <selection pane="bottomLeft" activeCell="F50" sqref="F50"/>
    </sheetView>
  </sheetViews>
  <sheetFormatPr defaultColWidth="18.28515625" defaultRowHeight="15"/>
  <cols>
    <col min="1" max="1" width="49" style="1263" customWidth="1"/>
    <col min="2" max="16384" width="18.28515625" style="1263"/>
  </cols>
  <sheetData>
    <row r="1" spans="1:7" ht="19.5">
      <c r="A1" s="1261" t="str">
        <f>"Inputs for Method M ("&amp;'Calc-Net capex'!B5&amp;") for "&amp;Inputs!B6&amp;" in "&amp;Inputs!C6&amp;"  Status: "&amp;Inputs!D6&amp;""</f>
        <v>Inputs for Method M (LR1) for WPD East Midlands in 2015/16  Status: Indicative</v>
      </c>
    </row>
    <row r="2" spans="1:7">
      <c r="C2" s="1262"/>
    </row>
    <row r="3" spans="1:7" ht="17.25">
      <c r="A3" s="1264" t="s">
        <v>915</v>
      </c>
      <c r="B3" s="1265"/>
      <c r="C3" s="1262"/>
    </row>
    <row r="4" spans="1:7" ht="17.25">
      <c r="A4" s="1264"/>
      <c r="B4" s="1265"/>
      <c r="C4" s="1262"/>
    </row>
    <row r="5" spans="1:7">
      <c r="B5" s="1267" t="s">
        <v>920</v>
      </c>
      <c r="C5" s="1267" t="s">
        <v>921</v>
      </c>
      <c r="D5" s="1267" t="s">
        <v>922</v>
      </c>
    </row>
    <row r="6" spans="1:7" ht="17.25" customHeight="1">
      <c r="A6" s="1267" t="s">
        <v>915</v>
      </c>
      <c r="B6" s="1268" t="s">
        <v>1017</v>
      </c>
      <c r="C6" s="1268" t="s">
        <v>1019</v>
      </c>
      <c r="D6" s="1268" t="s">
        <v>1018</v>
      </c>
    </row>
    <row r="7" spans="1:7">
      <c r="C7" s="1262"/>
    </row>
    <row r="8" spans="1:7" ht="17.25">
      <c r="A8" s="1264" t="s">
        <v>916</v>
      </c>
      <c r="B8" s="1265"/>
    </row>
    <row r="9" spans="1:7">
      <c r="A9" s="1263" t="s">
        <v>919</v>
      </c>
    </row>
    <row r="11" spans="1:7">
      <c r="B11" s="1266" t="s">
        <v>924</v>
      </c>
    </row>
    <row r="12" spans="1:7" ht="17.25" customHeight="1">
      <c r="A12" s="1267" t="s">
        <v>161</v>
      </c>
      <c r="B12" s="1307">
        <v>9.9000000000000005E-2</v>
      </c>
    </row>
    <row r="13" spans="1:7" ht="17.25" customHeight="1">
      <c r="A13" s="1267" t="s">
        <v>328</v>
      </c>
      <c r="B13" s="1307">
        <v>0.55000000000000004</v>
      </c>
    </row>
    <row r="16" spans="1:7" ht="17.25">
      <c r="A16" s="1264" t="s">
        <v>923</v>
      </c>
      <c r="B16" s="1265"/>
      <c r="D16" s="1269"/>
      <c r="E16" s="1270"/>
      <c r="F16" s="1271"/>
      <c r="G16" s="1271"/>
    </row>
    <row r="17" spans="1:13">
      <c r="A17" s="891" t="s">
        <v>890</v>
      </c>
      <c r="B17" s="891"/>
    </row>
    <row r="18" spans="1:13">
      <c r="A18" s="891" t="s">
        <v>1014</v>
      </c>
      <c r="B18" s="891"/>
    </row>
    <row r="19" spans="1:13">
      <c r="A19" s="891" t="s">
        <v>1015</v>
      </c>
      <c r="B19" s="891"/>
    </row>
    <row r="20" spans="1:13" s="1273" customFormat="1" ht="32.25" customHeight="1">
      <c r="A20" s="1274">
        <v>1</v>
      </c>
      <c r="B20" s="1275"/>
      <c r="C20" s="1275"/>
    </row>
    <row r="22" spans="1:13" ht="17.25">
      <c r="A22" s="1264" t="s">
        <v>948</v>
      </c>
    </row>
    <row r="23" spans="1:13" ht="17.25">
      <c r="A23" s="1264"/>
    </row>
    <row r="24" spans="1:13">
      <c r="A24" s="1265"/>
      <c r="B24" s="1267" t="s">
        <v>917</v>
      </c>
    </row>
    <row r="25" spans="1:13">
      <c r="A25" s="1267" t="s">
        <v>917</v>
      </c>
      <c r="B25" s="1276">
        <v>5.5449999999999999E-2</v>
      </c>
    </row>
    <row r="27" spans="1:13" customFormat="1" ht="17.25">
      <c r="A27" s="1264" t="s">
        <v>976</v>
      </c>
    </row>
    <row r="28" spans="1:13" customFormat="1" ht="12.75"/>
    <row r="29" spans="1:13" customFormat="1">
      <c r="B29" s="1292" t="s">
        <v>965</v>
      </c>
      <c r="C29" s="1292" t="s">
        <v>966</v>
      </c>
      <c r="D29" s="1292" t="s">
        <v>967</v>
      </c>
      <c r="E29" s="1292" t="s">
        <v>968</v>
      </c>
      <c r="F29" s="1292" t="s">
        <v>969</v>
      </c>
      <c r="G29" s="1292" t="s">
        <v>970</v>
      </c>
      <c r="H29" s="1292" t="s">
        <v>971</v>
      </c>
      <c r="I29" s="1292" t="s">
        <v>405</v>
      </c>
      <c r="J29" s="1292" t="s">
        <v>972</v>
      </c>
      <c r="K29" s="1292" t="s">
        <v>973</v>
      </c>
      <c r="L29" s="1292" t="s">
        <v>974</v>
      </c>
    </row>
    <row r="30" spans="1:13" customFormat="1" ht="30">
      <c r="A30" s="1293" t="s">
        <v>975</v>
      </c>
      <c r="B30" s="1294">
        <v>0</v>
      </c>
      <c r="C30" s="1294">
        <v>806320072.64896488</v>
      </c>
      <c r="D30" s="1294">
        <v>268798171.10742301</v>
      </c>
      <c r="E30" s="1294">
        <v>400676269.75264382</v>
      </c>
      <c r="F30" s="1294">
        <v>668076851.97319531</v>
      </c>
      <c r="G30" s="1294">
        <v>50366155.820611343</v>
      </c>
      <c r="H30" s="1294">
        <v>1102704434.3801672</v>
      </c>
      <c r="I30" s="1294">
        <v>548656682.26691747</v>
      </c>
      <c r="J30" s="1294">
        <v>530005057.20769447</v>
      </c>
      <c r="K30" s="1294">
        <v>785028705.56286025</v>
      </c>
      <c r="L30" s="1294">
        <v>28586911.655268863</v>
      </c>
      <c r="M30" s="1295"/>
    </row>
    <row r="31" spans="1:13" customFormat="1" ht="12.75"/>
    <row r="32" spans="1:13" customFormat="1" ht="17.25">
      <c r="A32" s="1264" t="s">
        <v>978</v>
      </c>
    </row>
    <row r="33" spans="1:3" customFormat="1" ht="12.75"/>
    <row r="34" spans="1:3" customFormat="1" ht="30">
      <c r="B34" s="1292" t="s">
        <v>977</v>
      </c>
    </row>
    <row r="35" spans="1:3" customFormat="1">
      <c r="A35" s="1293" t="s">
        <v>977</v>
      </c>
      <c r="B35" s="1294">
        <v>193532633.35908782</v>
      </c>
      <c r="C35" s="1295"/>
    </row>
    <row r="36" spans="1:3" customFormat="1" ht="12.75"/>
  </sheetData>
  <sheetProtection sheet="1" objects="1" scenarios="1"/>
  <phoneticPr fontId="2"/>
  <dataValidations count="1">
    <dataValidation type="decimal" operator="greaterThanOrEqual" allowBlank="1" showInputMessage="1" showErrorMessage="1" sqref="B30:L30 B35">
      <formula1>0</formula1>
    </dataValidation>
  </dataValidations>
  <pageMargins left="0.75" right="0.75" top="1" bottom="1" header="0.5" footer="0.5"/>
  <pageSetup paperSize="9"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O13"/>
  <sheetViews>
    <sheetView showGridLines="0" workbookViewId="0"/>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1" customWidth="1"/>
    <col min="12" max="12" width="21.85546875" style="31" customWidth="1"/>
    <col min="13" max="14" width="9.140625" style="31" customWidth="1"/>
    <col min="15" max="15" width="20.42578125" style="31" customWidth="1"/>
    <col min="16" max="16" width="20.42578125" customWidth="1"/>
    <col min="17" max="17" width="21.85546875" customWidth="1"/>
  </cols>
  <sheetData>
    <row r="1" spans="1:15" s="1263" customFormat="1" ht="19.5">
      <c r="A1" s="1261" t="str">
        <f>"Calc-MEAV for Method M ("&amp;'Calc-Net capex'!B5&amp;") for "&amp;Inputs!B6&amp;" in "&amp;Inputs!C6&amp;"  Status: "&amp;Inputs!D6&amp;""</f>
        <v>Calc-MEAV for Method M (LR1) for WPD East Midlands in 2015/16  Status: Indicative</v>
      </c>
    </row>
    <row r="2" spans="1:15">
      <c r="J2"/>
      <c r="K2"/>
      <c r="L2"/>
      <c r="M2"/>
      <c r="N2"/>
      <c r="O2"/>
    </row>
    <row r="3" spans="1:15" s="852" customFormat="1" ht="26.25" customHeight="1">
      <c r="F3" s="2187" t="s">
        <v>372</v>
      </c>
      <c r="G3" s="2188"/>
      <c r="H3" s="2189"/>
    </row>
    <row r="4" spans="1:15" s="852" customFormat="1" ht="27.75" customHeight="1">
      <c r="F4" s="2190" t="s">
        <v>218</v>
      </c>
      <c r="G4" s="2191"/>
      <c r="H4" s="2192"/>
    </row>
    <row r="5" spans="1:15">
      <c r="F5" s="9"/>
      <c r="G5" s="10" t="s">
        <v>14</v>
      </c>
      <c r="H5" s="26" t="s">
        <v>402</v>
      </c>
      <c r="J5"/>
      <c r="K5"/>
      <c r="L5"/>
      <c r="M5"/>
      <c r="N5"/>
      <c r="O5"/>
    </row>
    <row r="6" spans="1:15">
      <c r="F6" s="4" t="s">
        <v>239</v>
      </c>
      <c r="G6" s="35">
        <f>SUM('Data-MEAV'!I20:I39)</f>
        <v>8538239.7638876997</v>
      </c>
      <c r="H6" s="880">
        <f>G6/$G$11</f>
        <v>0.48339674044355296</v>
      </c>
      <c r="J6"/>
      <c r="K6"/>
      <c r="L6"/>
      <c r="M6"/>
      <c r="N6"/>
      <c r="O6"/>
    </row>
    <row r="7" spans="1:15">
      <c r="F7" s="4" t="s">
        <v>373</v>
      </c>
      <c r="G7" s="36">
        <f>SUM('Data-MEAV'!I62:I63)+SUM('Data-MEAV'!I69:I70)+SUM('Data-MEAV'!I75:I78)</f>
        <v>620092.25925782206</v>
      </c>
      <c r="H7" s="881">
        <f>G7/$G$11</f>
        <v>3.5106835271515605E-2</v>
      </c>
      <c r="J7"/>
      <c r="K7"/>
      <c r="L7"/>
      <c r="M7"/>
      <c r="N7"/>
      <c r="O7"/>
    </row>
    <row r="8" spans="1:15">
      <c r="F8" s="4" t="s">
        <v>238</v>
      </c>
      <c r="G8" s="36">
        <f>SUM('Data-MEAV'!I42:I56)+SUM('Data-MEAV'!I59:I61)+SUM('Data-MEAV'!I64:I68)+SUM('Data-MEAV'!I71:I72)+SUM('Data-MEAV'!I158:I163)+SUM('Data-MEAV'!I153:I154)</f>
        <v>2011521.902733949</v>
      </c>
      <c r="H8" s="881">
        <f>G8/$G$11</f>
        <v>0.11388332466663602</v>
      </c>
      <c r="J8"/>
      <c r="K8"/>
      <c r="L8"/>
      <c r="M8"/>
      <c r="N8"/>
      <c r="O8"/>
    </row>
    <row r="9" spans="1:15">
      <c r="F9" s="4" t="s">
        <v>244</v>
      </c>
      <c r="G9" s="36">
        <f>'Calc-Drivers'!E32*(SUM('Data-MEAV'!I81:I120)+SUM('Data-MEAV'!I149:I150))</f>
        <v>1570226.4684237717</v>
      </c>
      <c r="H9" s="881">
        <f>G9/$G$11</f>
        <v>8.8899161605252172E-2</v>
      </c>
      <c r="I9" s="17"/>
      <c r="J9"/>
      <c r="K9"/>
      <c r="L9"/>
      <c r="M9"/>
      <c r="N9"/>
      <c r="O9"/>
    </row>
    <row r="10" spans="1:15">
      <c r="F10" s="5" t="s">
        <v>491</v>
      </c>
      <c r="G10" s="37">
        <f>'Calc-Drivers'!E32*SUM('Data-MEAV'!I121:I146)</f>
        <v>4922926.0960864518</v>
      </c>
      <c r="H10" s="882">
        <f>G10/$G$11</f>
        <v>0.27871393801304306</v>
      </c>
      <c r="I10" s="17" t="s">
        <v>613</v>
      </c>
      <c r="J10"/>
      <c r="K10"/>
      <c r="L10"/>
      <c r="M10"/>
      <c r="N10"/>
      <c r="O10"/>
    </row>
    <row r="11" spans="1:15">
      <c r="F11" s="34" t="s">
        <v>245</v>
      </c>
      <c r="G11" s="38">
        <f>SUM(G6:G10)</f>
        <v>17663006.490389697</v>
      </c>
      <c r="H11" s="39">
        <f>SUM(H6:H10)</f>
        <v>0.99999999999999978</v>
      </c>
      <c r="I11" t="e">
        <f>IF(G11=#REF!,"OK", "error")</f>
        <v>#REF!</v>
      </c>
      <c r="J11"/>
      <c r="K11"/>
      <c r="L11"/>
      <c r="M11"/>
      <c r="N11"/>
      <c r="O11"/>
    </row>
    <row r="12" spans="1:15">
      <c r="J12"/>
      <c r="K12"/>
      <c r="L12"/>
      <c r="M12"/>
      <c r="N12"/>
      <c r="O12"/>
    </row>
    <row r="13" spans="1:15">
      <c r="J13"/>
      <c r="K13"/>
      <c r="L13"/>
      <c r="M13"/>
      <c r="N13"/>
      <c r="O13"/>
    </row>
  </sheetData>
  <sheetProtection sheet="1" objects="1" scenarios="1"/>
  <mergeCells count="2">
    <mergeCell ref="F3:H3"/>
    <mergeCell ref="F4:H4"/>
  </mergeCells>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F39"/>
  <sheetViews>
    <sheetView showGridLines="0" workbookViewId="0"/>
  </sheetViews>
  <sheetFormatPr defaultColWidth="8.85546875" defaultRowHeight="12.75"/>
  <cols>
    <col min="1" max="1" width="59.140625" customWidth="1"/>
    <col min="2" max="2" width="16" customWidth="1"/>
    <col min="3" max="6" width="19" customWidth="1"/>
  </cols>
  <sheetData>
    <row r="1" spans="1:6" s="1263" customFormat="1" ht="19.5">
      <c r="A1" s="1261" t="str">
        <f>"Calc-Units for Method M ("&amp;'Calc-Net capex'!B5&amp;") for "&amp;Inputs!B6&amp;" in "&amp;Inputs!C6&amp;"  Status: "&amp;Inputs!D6&amp;""</f>
        <v>Calc-Units for Method M (LR1) for WPD East Midlands in 2015/16  Status: Indicative</v>
      </c>
    </row>
    <row r="3" spans="1:6" ht="15.75">
      <c r="A3" s="1319" t="s">
        <v>533</v>
      </c>
      <c r="D3" s="230"/>
    </row>
    <row r="4" spans="1:6" ht="38.25">
      <c r="B4" s="113" t="s">
        <v>534</v>
      </c>
    </row>
    <row r="5" spans="1:6">
      <c r="A5" s="113" t="s">
        <v>535</v>
      </c>
      <c r="B5" s="873">
        <f>'RRP 5.1'!G36</f>
        <v>19286</v>
      </c>
    </row>
    <row r="6" spans="1:6">
      <c r="A6" s="113" t="s">
        <v>536</v>
      </c>
      <c r="B6" s="873">
        <f>'RRP 5.1'!G35</f>
        <v>9669</v>
      </c>
    </row>
    <row r="7" spans="1:6">
      <c r="A7" s="113" t="s">
        <v>689</v>
      </c>
      <c r="B7" s="873">
        <f>'RRP 5.1'!G34</f>
        <v>710</v>
      </c>
    </row>
    <row r="8" spans="1:6">
      <c r="A8" s="113" t="s">
        <v>699</v>
      </c>
      <c r="B8" s="873">
        <f>'RRP 5.1'!G40</f>
        <v>1439</v>
      </c>
    </row>
    <row r="10" spans="1:6" ht="15.75">
      <c r="A10" s="1319" t="s">
        <v>690</v>
      </c>
    </row>
    <row r="11" spans="1:6">
      <c r="B11" s="113" t="s">
        <v>691</v>
      </c>
      <c r="C11" s="113" t="s">
        <v>239</v>
      </c>
      <c r="D11" s="113" t="s">
        <v>238</v>
      </c>
      <c r="E11" s="113" t="s">
        <v>244</v>
      </c>
      <c r="F11" s="113" t="s">
        <v>242</v>
      </c>
    </row>
    <row r="12" spans="1:6">
      <c r="A12" s="113" t="s">
        <v>535</v>
      </c>
      <c r="B12" s="873">
        <v>1</v>
      </c>
      <c r="C12" s="873">
        <v>1</v>
      </c>
      <c r="D12" s="873">
        <v>1</v>
      </c>
      <c r="E12" s="873">
        <v>1</v>
      </c>
      <c r="F12" s="873">
        <v>1</v>
      </c>
    </row>
    <row r="13" spans="1:6">
      <c r="A13" s="113" t="s">
        <v>536</v>
      </c>
      <c r="B13" s="873">
        <v>0</v>
      </c>
      <c r="C13" s="873">
        <v>0</v>
      </c>
      <c r="D13" s="873">
        <f>(1+$B$8/($B$5+$B$6/2+$B$7/4)/2)/(1+$B$8/($B$5+$B$6/2+$B$7/4))</f>
        <v>0.97204413878851448</v>
      </c>
      <c r="E13" s="873">
        <f>(1+$B$8/($B$5+$B$6/2+$B$7/4)/2)/(1+$B$8/($B$5+$B$6/2+$B$7/4))</f>
        <v>0.97204413878851448</v>
      </c>
      <c r="F13" s="873">
        <f>(1+$B$8/($B$5+$B$6/2+$B$7/4)/2)/(1+$B$8/($B$5+$B$6/2+$B$7/4))</f>
        <v>0.97204413878851448</v>
      </c>
    </row>
    <row r="14" spans="1:6">
      <c r="A14" s="113" t="s">
        <v>689</v>
      </c>
      <c r="B14" s="873">
        <v>0</v>
      </c>
      <c r="C14" s="873">
        <v>0</v>
      </c>
      <c r="D14" s="873">
        <v>0</v>
      </c>
      <c r="E14" s="873">
        <f>(1+$B$8/($B$5+$B$6/2+$B$7/4)/4)/(1+$B$8/($B$5+$B$6/2+$B$7/4))</f>
        <v>0.95806620818277188</v>
      </c>
      <c r="F14" s="873">
        <f>(1+$B$8/($B$5+$B$6/2+$B$7/4)/4)/(1+$B$8/($B$5+$B$6/2+$B$7/4))</f>
        <v>0.95806620818277188</v>
      </c>
    </row>
    <row r="16" spans="1:6" ht="15.75">
      <c r="A16" s="112"/>
    </row>
    <row r="17" spans="1:6" ht="14.25">
      <c r="A17" s="114"/>
    </row>
    <row r="18" spans="1:6" ht="14.25">
      <c r="A18" s="114"/>
    </row>
    <row r="19" spans="1:6" ht="14.25">
      <c r="A19" s="115"/>
    </row>
    <row r="20" spans="1:6" ht="14.25">
      <c r="A20" s="115"/>
    </row>
    <row r="21" spans="1:6">
      <c r="B21" s="113" t="s">
        <v>691</v>
      </c>
      <c r="C21" s="113" t="s">
        <v>239</v>
      </c>
      <c r="D21" s="113" t="s">
        <v>238</v>
      </c>
      <c r="E21" s="113" t="s">
        <v>244</v>
      </c>
      <c r="F21" s="113" t="s">
        <v>242</v>
      </c>
    </row>
    <row r="22" spans="1:6">
      <c r="A22" s="113" t="s">
        <v>698</v>
      </c>
      <c r="B22" s="874">
        <f>SUMPRODUCT(B$12:B$14,$B$5:$B$7)</f>
        <v>19286</v>
      </c>
      <c r="C22" s="874">
        <f>SUMPRODUCT(C$12:C$14,$B$5:$B$7)</f>
        <v>19286</v>
      </c>
      <c r="D22" s="874">
        <f>SUMPRODUCT(D$12:D$14,$B$5:$B$7)</f>
        <v>28684.694777946148</v>
      </c>
      <c r="E22" s="874">
        <f>SUMPRODUCT(E$12:E$14,$B$5:$B$7)</f>
        <v>29364.921785755916</v>
      </c>
      <c r="F22" s="874">
        <f>SUMPRODUCT(F$12:F$14,$B$5:$B$7)</f>
        <v>29364.921785755916</v>
      </c>
    </row>
    <row r="23" spans="1:6">
      <c r="A23" s="113" t="s">
        <v>456</v>
      </c>
      <c r="B23" s="875">
        <f>B22*1000000</f>
        <v>19286000000</v>
      </c>
      <c r="C23" s="875">
        <f>C22*1000000</f>
        <v>19286000000</v>
      </c>
      <c r="D23" s="875">
        <f>D22*1000000</f>
        <v>28684694777.946148</v>
      </c>
      <c r="E23" s="875">
        <f>E22*1000000</f>
        <v>29364921785.755917</v>
      </c>
      <c r="F23" s="875">
        <f>F22*1000000</f>
        <v>29364921785.755917</v>
      </c>
    </row>
    <row r="27" spans="1:6">
      <c r="A27" s="43"/>
      <c r="B27" s="43"/>
      <c r="C27" s="43"/>
      <c r="D27" s="43"/>
      <c r="E27" s="43"/>
    </row>
    <row r="28" spans="1:6">
      <c r="A28" s="43"/>
      <c r="B28" s="43"/>
      <c r="C28" s="43"/>
      <c r="D28" s="43"/>
      <c r="E28" s="43"/>
    </row>
    <row r="29" spans="1:6">
      <c r="A29" s="43"/>
      <c r="B29" s="43"/>
      <c r="C29" s="116"/>
      <c r="D29" s="116"/>
      <c r="E29" s="116"/>
    </row>
    <row r="30" spans="1:6">
      <c r="A30" s="43"/>
      <c r="B30" s="43"/>
      <c r="C30" s="116"/>
      <c r="D30" s="116"/>
      <c r="E30" s="116"/>
    </row>
    <row r="31" spans="1:6">
      <c r="A31" s="43"/>
      <c r="B31" s="43"/>
      <c r="C31" s="116"/>
      <c r="D31" s="116"/>
      <c r="E31" s="116"/>
    </row>
    <row r="32" spans="1:6">
      <c r="A32" s="43"/>
      <c r="B32" s="43"/>
      <c r="C32" s="116"/>
      <c r="D32" s="116"/>
      <c r="E32" s="116"/>
    </row>
    <row r="33" spans="1:5">
      <c r="A33" s="43"/>
      <c r="B33" s="43"/>
      <c r="C33" s="117"/>
      <c r="D33" s="117"/>
      <c r="E33" s="116"/>
    </row>
    <row r="34" spans="1:5">
      <c r="A34" s="43"/>
      <c r="B34" s="43"/>
      <c r="C34" s="117"/>
      <c r="D34" s="117"/>
      <c r="E34" s="116"/>
    </row>
    <row r="35" spans="1:5">
      <c r="A35" s="43"/>
      <c r="B35" s="43"/>
      <c r="C35" s="117"/>
      <c r="D35" s="117"/>
      <c r="E35" s="116"/>
    </row>
    <row r="36" spans="1:5">
      <c r="A36" s="43"/>
      <c r="B36" s="43"/>
      <c r="C36" s="117"/>
      <c r="D36" s="117"/>
      <c r="E36" s="116"/>
    </row>
    <row r="37" spans="1:5">
      <c r="A37" s="43"/>
      <c r="B37" s="43"/>
      <c r="C37" s="117"/>
      <c r="D37" s="58"/>
      <c r="E37" s="58"/>
    </row>
    <row r="38" spans="1:5">
      <c r="A38" s="43"/>
      <c r="B38" s="43"/>
      <c r="C38" s="58"/>
      <c r="D38" s="58"/>
      <c r="E38" s="58"/>
    </row>
    <row r="39" spans="1:5">
      <c r="A39" s="43"/>
      <c r="B39" s="43"/>
      <c r="C39" s="116"/>
      <c r="D39" s="116"/>
      <c r="E39" s="116"/>
    </row>
  </sheetData>
  <sheetProtection sheet="1" objects="1" scenarios="1"/>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sheetPr>
  <dimension ref="A1:P111"/>
  <sheetViews>
    <sheetView showGridLines="0" workbookViewId="0"/>
  </sheetViews>
  <sheetFormatPr defaultColWidth="8.85546875" defaultRowHeight="12.75"/>
  <cols>
    <col min="1" max="1" width="8.85546875" customWidth="1"/>
    <col min="2" max="10" width="11.42578125" customWidth="1"/>
  </cols>
  <sheetData>
    <row r="1" spans="1:16" s="1263" customFormat="1" ht="19.5">
      <c r="A1" s="1261" t="str">
        <f>"Calc-Net capex for Method M ("&amp;B5&amp;") for "&amp;Inputs!B6&amp;" in "&amp;Inputs!C6&amp;"  Status: "&amp;Inputs!D6&amp;""</f>
        <v>Calc-Net capex for Method M (LR1) for WPD East Midlands in 2015/16  Status: Indicative</v>
      </c>
    </row>
    <row r="3" spans="1:16" ht="26.25" customHeight="1">
      <c r="A3" s="1264" t="s">
        <v>1010</v>
      </c>
      <c r="F3" s="2195" t="s">
        <v>386</v>
      </c>
      <c r="G3" s="2205"/>
      <c r="H3" s="2196"/>
      <c r="J3" s="2195" t="s">
        <v>1003</v>
      </c>
      <c r="K3" s="2205"/>
      <c r="L3" s="2196"/>
      <c r="N3" s="2195" t="s">
        <v>1004</v>
      </c>
      <c r="O3" s="2205"/>
      <c r="P3" s="2196"/>
    </row>
    <row r="4" spans="1:16" ht="12.75" customHeight="1">
      <c r="C4" s="1266" t="s">
        <v>885</v>
      </c>
      <c r="D4" s="1266" t="s">
        <v>918</v>
      </c>
      <c r="F4" s="2206"/>
      <c r="G4" s="2207"/>
      <c r="H4" s="2208"/>
      <c r="J4" s="2195" t="s">
        <v>1005</v>
      </c>
      <c r="K4" s="2205"/>
      <c r="L4" s="2196"/>
      <c r="N4" s="2195" t="s">
        <v>1006</v>
      </c>
      <c r="O4" s="2205"/>
      <c r="P4" s="2196"/>
    </row>
    <row r="5" spans="1:16" ht="15">
      <c r="B5" s="1272" t="str">
        <f>IF(Inputs!A20,INDEX(C4:D4,Inputs!A20),"No option selected")</f>
        <v>LR1</v>
      </c>
      <c r="F5" s="9"/>
      <c r="G5" s="715" t="s">
        <v>14</v>
      </c>
      <c r="H5" s="716" t="s">
        <v>402</v>
      </c>
      <c r="J5" s="1311" t="s">
        <v>244</v>
      </c>
      <c r="K5" s="1330">
        <f>'Reductions to net capex'!K5</f>
        <v>0</v>
      </c>
      <c r="L5" s="1323">
        <f>K$5*(F21/(F21+F22))</f>
        <v>0</v>
      </c>
      <c r="N5" s="14"/>
      <c r="O5" s="716" t="s">
        <v>14</v>
      </c>
      <c r="P5" s="715"/>
    </row>
    <row r="6" spans="1:16">
      <c r="F6" s="222" t="s">
        <v>239</v>
      </c>
      <c r="G6" s="11">
        <f>C39+F39+I39+C49+F49-O6</f>
        <v>128.03944818043911</v>
      </c>
      <c r="H6" s="177">
        <f>G6/SUM($G$6:$G$10)</f>
        <v>0.142093383179272</v>
      </c>
      <c r="J6" s="22" t="s">
        <v>242</v>
      </c>
      <c r="K6" s="1312"/>
      <c r="L6" s="1324">
        <f>K$5*(F22/(F21+F22))</f>
        <v>0</v>
      </c>
      <c r="N6" s="1313" t="s">
        <v>239</v>
      </c>
      <c r="O6" s="1320">
        <f>'Reductions to net capex'!O6</f>
        <v>0</v>
      </c>
      <c r="P6" s="1314"/>
    </row>
    <row r="7" spans="1:16">
      <c r="F7" s="222" t="s">
        <v>373</v>
      </c>
      <c r="G7" s="12">
        <f>C40+F40+I40+C50+F50-O7</f>
        <v>56.267333977708013</v>
      </c>
      <c r="H7" s="178">
        <f>G7/SUM($G$6:$G$10)</f>
        <v>6.2443379450552679E-2</v>
      </c>
      <c r="N7" s="222" t="s">
        <v>373</v>
      </c>
      <c r="O7" s="1321">
        <f>'Reductions to net capex'!O7</f>
        <v>0</v>
      </c>
      <c r="P7" s="21"/>
    </row>
    <row r="8" spans="1:16">
      <c r="F8" s="222" t="s">
        <v>238</v>
      </c>
      <c r="G8" s="12">
        <f>C41+F41+I41+C51+F51-O8</f>
        <v>256.16762102693673</v>
      </c>
      <c r="H8" s="178">
        <f>G8/SUM($G$6:$G$10)</f>
        <v>0.28428522966927255</v>
      </c>
      <c r="N8" s="222" t="s">
        <v>238</v>
      </c>
      <c r="O8" s="1321">
        <f>'Reductions to net capex'!O8</f>
        <v>0</v>
      </c>
      <c r="P8" s="21"/>
    </row>
    <row r="9" spans="1:16">
      <c r="F9" s="222" t="s">
        <v>244</v>
      </c>
      <c r="G9" s="1305">
        <f>'Calc-Drivers'!E32*(C42+F42+I42+C52+F52-L5-O9)</f>
        <v>184.81260694874342</v>
      </c>
      <c r="H9" s="178">
        <f>G9/SUM($G$6:$G$10)</f>
        <v>0.20509810803401984</v>
      </c>
      <c r="N9" s="222" t="s">
        <v>244</v>
      </c>
      <c r="O9" s="1321">
        <f>'Reductions to net capex'!O9</f>
        <v>0</v>
      </c>
      <c r="P9" s="21"/>
    </row>
    <row r="10" spans="1:16">
      <c r="B10" s="717"/>
      <c r="C10" s="32"/>
      <c r="D10" s="33"/>
      <c r="F10" s="225" t="s">
        <v>491</v>
      </c>
      <c r="G10" s="1306">
        <f>'Calc-Drivers'!E32*(C43+F43+I43+C53+F53-L6-O10)</f>
        <v>275.80666020899406</v>
      </c>
      <c r="H10" s="179">
        <f>G10/SUM($G$6:$G$10)</f>
        <v>0.30607989966688298</v>
      </c>
      <c r="N10" s="225" t="s">
        <v>491</v>
      </c>
      <c r="O10" s="1322">
        <f>'Reductions to net capex'!O10</f>
        <v>0</v>
      </c>
      <c r="P10" s="23"/>
    </row>
    <row r="11" spans="1:16">
      <c r="B11" s="6"/>
      <c r="C11" s="32"/>
      <c r="D11" s="184"/>
    </row>
    <row r="12" spans="1:16" ht="12" customHeight="1">
      <c r="B12" s="6"/>
      <c r="C12" s="7"/>
    </row>
    <row r="13" spans="1:16" s="1" customFormat="1">
      <c r="A13" s="8" t="s">
        <v>908</v>
      </c>
    </row>
    <row r="15" spans="1:16" ht="5.25" customHeight="1"/>
    <row r="16" spans="1:16" s="2" customFormat="1" ht="26.25" customHeight="1">
      <c r="B16" s="2195" t="s">
        <v>625</v>
      </c>
      <c r="C16" s="2196"/>
      <c r="E16" s="2195" t="s">
        <v>910</v>
      </c>
      <c r="F16" s="2196"/>
      <c r="H16" s="2195" t="s">
        <v>909</v>
      </c>
      <c r="I16" s="2196"/>
    </row>
    <row r="17" spans="2:9" s="852" customFormat="1" ht="27" customHeight="1">
      <c r="B17" s="2197" t="s">
        <v>887</v>
      </c>
      <c r="C17" s="2194"/>
      <c r="E17" s="2198" t="s">
        <v>492</v>
      </c>
      <c r="F17" s="2192"/>
      <c r="H17" s="2198" t="s">
        <v>399</v>
      </c>
      <c r="I17" s="2192"/>
    </row>
    <row r="18" spans="2:9" ht="12.75" customHeight="1">
      <c r="B18" s="14"/>
      <c r="C18" s="11"/>
      <c r="E18" s="3"/>
      <c r="F18" s="11"/>
      <c r="H18" s="3"/>
      <c r="I18" s="11"/>
    </row>
    <row r="19" spans="2:9" ht="12" customHeight="1">
      <c r="B19" s="222" t="s">
        <v>239</v>
      </c>
      <c r="C19" s="12">
        <f>IF(Inputs!$A$20=1,C87,IF(Inputs!$A$20=2,C66,#VALUE!))</f>
        <v>41.132566013145379</v>
      </c>
      <c r="E19" s="4" t="s">
        <v>239</v>
      </c>
      <c r="F19" s="12">
        <f>SUM('FBPQ LR4'!D11:M11)</f>
        <v>10.2948140695399</v>
      </c>
      <c r="H19" s="4" t="s">
        <v>239</v>
      </c>
      <c r="I19" s="12">
        <f>SUM('FBPQ LR6'!C28:L28)</f>
        <v>0</v>
      </c>
    </row>
    <row r="20" spans="2:9" ht="12" customHeight="1">
      <c r="B20" s="222" t="s">
        <v>238</v>
      </c>
      <c r="C20" s="12">
        <f>IF(Inputs!$A$20=1,C88,IF(Inputs!$A$20=2,C67,#VALUE!))</f>
        <v>100.38915569099296</v>
      </c>
      <c r="E20" s="4" t="s">
        <v>238</v>
      </c>
      <c r="F20" s="12">
        <f>SUM('FBPQ LR4'!D12:M12)</f>
        <v>41.569892705940312</v>
      </c>
      <c r="H20" s="4" t="s">
        <v>238</v>
      </c>
      <c r="I20" s="12">
        <f>SUM('FBPQ LR6'!C29:L29)</f>
        <v>2.04974931253745</v>
      </c>
    </row>
    <row r="21" spans="2:9">
      <c r="B21" s="222" t="s">
        <v>244</v>
      </c>
      <c r="C21" s="12">
        <f>IF(Inputs!$A$20=1,C89,IF(Inputs!$A$20=2,C68,#VALUE!))</f>
        <v>0.3967625126607135</v>
      </c>
      <c r="E21" s="4" t="s">
        <v>244</v>
      </c>
      <c r="F21" s="12">
        <f>SUM('FBPQ LR4'!D13:M13)</f>
        <v>95.089517911596914</v>
      </c>
      <c r="H21" s="4" t="s">
        <v>244</v>
      </c>
      <c r="I21" s="12">
        <f>SUM('FBPQ LR6'!C30:L30)</f>
        <v>10.928432918880622</v>
      </c>
    </row>
    <row r="22" spans="2:9">
      <c r="B22" s="225" t="s">
        <v>491</v>
      </c>
      <c r="C22" s="13">
        <f>IF(Inputs!$A$20=1,C90,IF(Inputs!$A$20=2,C69,#VALUE!))</f>
        <v>0</v>
      </c>
      <c r="E22" s="5" t="s">
        <v>491</v>
      </c>
      <c r="F22" s="13">
        <f>SUM('FBPQ LR4'!D14:M14)</f>
        <v>157.49344707378151</v>
      </c>
      <c r="H22" s="5" t="s">
        <v>491</v>
      </c>
      <c r="I22" s="13">
        <f>SUM('FBPQ LR6'!C31:L31)</f>
        <v>10.137299167357355</v>
      </c>
    </row>
    <row r="25" spans="2:9" ht="24.75" customHeight="1">
      <c r="B25" s="2195" t="s">
        <v>400</v>
      </c>
      <c r="C25" s="2196"/>
      <c r="E25" s="2199" t="s">
        <v>829</v>
      </c>
      <c r="F25" s="2200"/>
    </row>
    <row r="26" spans="2:9" s="852" customFormat="1" ht="27.75" customHeight="1">
      <c r="B26" s="2198" t="s">
        <v>401</v>
      </c>
      <c r="C26" s="2192"/>
      <c r="E26" s="2193" t="s">
        <v>830</v>
      </c>
      <c r="F26" s="2201"/>
    </row>
    <row r="27" spans="2:9">
      <c r="B27" s="3"/>
      <c r="C27" s="11"/>
      <c r="E27" s="3"/>
      <c r="F27" s="11"/>
    </row>
    <row r="28" spans="2:9">
      <c r="B28" s="4" t="s">
        <v>239</v>
      </c>
      <c r="C28" s="12">
        <f>SUM('FBPQ NL1'!D10:M16)</f>
        <v>76.612068097753834</v>
      </c>
      <c r="E28" s="224" t="s">
        <v>239</v>
      </c>
      <c r="F28" s="12">
        <f>SUM('NL9 - Legal &amp; Safety'!D33:M33,'NL9 - Legal &amp; Safety'!D42:M42)</f>
        <v>0</v>
      </c>
    </row>
    <row r="29" spans="2:9">
      <c r="B29" s="4" t="s">
        <v>238</v>
      </c>
      <c r="C29" s="12">
        <f>SUM('FBPQ NL1'!D17:M22)</f>
        <v>168.42615729517399</v>
      </c>
      <c r="E29" s="224" t="s">
        <v>238</v>
      </c>
      <c r="F29" s="12">
        <f>SUM('NL9 - Legal &amp; Safety'!D34:M34,'NL9 - Legal &amp; Safety'!D43:M43)</f>
        <v>0</v>
      </c>
    </row>
    <row r="30" spans="2:9">
      <c r="B30" s="4" t="s">
        <v>244</v>
      </c>
      <c r="C30" s="12">
        <f>SUM('FBPQ NL1'!D23:M28)</f>
        <v>94.698439992903943</v>
      </c>
      <c r="E30" s="224" t="s">
        <v>244</v>
      </c>
      <c r="F30" s="12">
        <f>SUM('NL9 - Legal &amp; Safety'!D35:M35,'NL9 - Legal &amp; Safety'!D44:M44)</f>
        <v>0</v>
      </c>
    </row>
    <row r="31" spans="2:9">
      <c r="B31" s="5" t="s">
        <v>491</v>
      </c>
      <c r="C31" s="13">
        <f>SUM('FBPQ NL1'!D29:M34)</f>
        <v>132.50217251097257</v>
      </c>
      <c r="E31" s="226" t="s">
        <v>491</v>
      </c>
      <c r="F31" s="13">
        <f>SUM('NL9 - Legal &amp; Safety'!D36:M36,'NL9 - Legal &amp; Safety'!D45:M45)</f>
        <v>0</v>
      </c>
    </row>
    <row r="33" spans="1:10" s="1" customFormat="1">
      <c r="A33" s="8" t="s">
        <v>911</v>
      </c>
    </row>
    <row r="35" spans="1:10" ht="5.25" customHeight="1"/>
    <row r="36" spans="1:10" s="2" customFormat="1" ht="26.25" customHeight="1">
      <c r="B36" s="2195" t="s">
        <v>625</v>
      </c>
      <c r="C36" s="2196"/>
      <c r="E36" s="2195" t="s">
        <v>910</v>
      </c>
      <c r="F36" s="2196"/>
      <c r="H36" s="2195" t="s">
        <v>909</v>
      </c>
      <c r="I36" s="2196"/>
    </row>
    <row r="37" spans="1:10" s="852" customFormat="1" ht="27" customHeight="1">
      <c r="B37" s="2197" t="s">
        <v>887</v>
      </c>
      <c r="C37" s="2194"/>
      <c r="E37" s="2198" t="s">
        <v>492</v>
      </c>
      <c r="F37" s="2192"/>
      <c r="H37" s="2198" t="s">
        <v>399</v>
      </c>
      <c r="I37" s="2192"/>
    </row>
    <row r="38" spans="1:10" ht="12.75" customHeight="1">
      <c r="B38" s="14"/>
      <c r="C38" s="11"/>
      <c r="E38" s="3"/>
      <c r="F38" s="11"/>
      <c r="H38" s="3"/>
      <c r="I38" s="11"/>
    </row>
    <row r="39" spans="1:10">
      <c r="B39" s="222" t="s">
        <v>239</v>
      </c>
      <c r="C39" s="12">
        <f>IF(Inputs!$A$20=1,C96,IF(Inputs!$A$20=2,C75,#VALUE!))</f>
        <v>41.132566013145379</v>
      </c>
      <c r="E39" s="4" t="s">
        <v>239</v>
      </c>
      <c r="F39" s="12">
        <f>SUM('FBPQ LR4'!D11:M11)</f>
        <v>10.2948140695399</v>
      </c>
      <c r="H39" s="4" t="s">
        <v>239</v>
      </c>
      <c r="I39" s="12">
        <f>SUM('FBPQ LR6'!C28:L28)</f>
        <v>0</v>
      </c>
    </row>
    <row r="40" spans="1:10" ht="38.25">
      <c r="B40" s="222" t="s">
        <v>373</v>
      </c>
      <c r="C40" s="12">
        <f>IF(Inputs!$A$20=1,C97,IF(Inputs!$A$20=2,C76,#VALUE!))</f>
        <v>19.84513086747566</v>
      </c>
      <c r="D40" s="979" t="s">
        <v>36</v>
      </c>
      <c r="E40" s="222" t="s">
        <v>373</v>
      </c>
      <c r="F40" s="12">
        <f>SUM('FBPQ LR4'!D12:M12)*(C55)</f>
        <v>8.2176202720103539</v>
      </c>
      <c r="G40" s="223" t="s">
        <v>36</v>
      </c>
      <c r="H40" s="222" t="s">
        <v>373</v>
      </c>
      <c r="I40" s="12">
        <f>SUM('FBPQ LR6'!C29:L29)*(C55)</f>
        <v>0.40519858019359356</v>
      </c>
      <c r="J40" s="223" t="s">
        <v>36</v>
      </c>
    </row>
    <row r="41" spans="1:10">
      <c r="B41" s="222" t="s">
        <v>238</v>
      </c>
      <c r="C41" s="12">
        <f>IF(Inputs!$A$20=1,C98,IF(Inputs!$A$20=2,C77,#VALUE!))</f>
        <v>80.544024823517304</v>
      </c>
      <c r="E41" s="224" t="s">
        <v>238</v>
      </c>
      <c r="F41" s="12">
        <f>SUM('FBPQ LR4'!D12:M12)*(1-C55)</f>
        <v>33.352272433929961</v>
      </c>
      <c r="H41" s="224" t="s">
        <v>238</v>
      </c>
      <c r="I41" s="12">
        <f>SUM('FBPQ LR6'!C29:L29)*(1-C55)</f>
        <v>1.6445507323438564</v>
      </c>
    </row>
    <row r="42" spans="1:10">
      <c r="B42" s="222" t="s">
        <v>244</v>
      </c>
      <c r="C42" s="12">
        <f>IF(Inputs!$A$20=1,C99,IF(Inputs!$A$20=2,C78,#VALUE!))</f>
        <v>0.3967625126607135</v>
      </c>
      <c r="E42" s="224" t="s">
        <v>244</v>
      </c>
      <c r="F42" s="12">
        <f>SUM('FBPQ LR4'!D13:M13)</f>
        <v>95.089517911596914</v>
      </c>
      <c r="H42" s="224" t="s">
        <v>244</v>
      </c>
      <c r="I42" s="12">
        <f>SUM('FBPQ LR6'!C30:L30)</f>
        <v>10.928432918880622</v>
      </c>
    </row>
    <row r="43" spans="1:10">
      <c r="B43" s="225" t="s">
        <v>491</v>
      </c>
      <c r="C43" s="13">
        <f>IF(Inputs!$A$20=1,C100,IF(Inputs!$A$20=2,C79,#VALUE!))</f>
        <v>0</v>
      </c>
      <c r="E43" s="226" t="s">
        <v>491</v>
      </c>
      <c r="F43" s="13">
        <f>SUM('FBPQ LR4'!D14:M14)</f>
        <v>157.49344707378151</v>
      </c>
      <c r="H43" s="226" t="s">
        <v>491</v>
      </c>
      <c r="I43" s="13">
        <f>SUM('FBPQ LR6'!C31:L31)</f>
        <v>10.137299167357355</v>
      </c>
    </row>
    <row r="46" spans="1:10" ht="27.75" customHeight="1">
      <c r="B46" s="2195" t="s">
        <v>400</v>
      </c>
      <c r="C46" s="2196"/>
      <c r="E46" s="2199" t="s">
        <v>829</v>
      </c>
      <c r="F46" s="2196"/>
      <c r="H46" s="2203" t="s">
        <v>829</v>
      </c>
      <c r="I46" s="2204"/>
    </row>
    <row r="47" spans="1:10" s="852" customFormat="1" ht="27.75" customHeight="1">
      <c r="B47" s="2197" t="s">
        <v>401</v>
      </c>
      <c r="C47" s="2194"/>
      <c r="E47" s="2193" t="s">
        <v>830</v>
      </c>
      <c r="F47" s="2194"/>
      <c r="H47" s="2202" t="s">
        <v>343</v>
      </c>
      <c r="I47" s="2202"/>
    </row>
    <row r="48" spans="1:10">
      <c r="B48" s="3"/>
      <c r="C48" s="11"/>
      <c r="E48" s="3"/>
      <c r="F48" s="11"/>
      <c r="H48" s="3"/>
      <c r="I48" s="3"/>
    </row>
    <row r="49" spans="2:10">
      <c r="B49" s="224" t="s">
        <v>239</v>
      </c>
      <c r="C49" s="820">
        <f>SUM('FBPQ NL1'!D10:M16)</f>
        <v>76.612068097753834</v>
      </c>
      <c r="E49" s="224" t="s">
        <v>239</v>
      </c>
      <c r="F49" s="12">
        <f>SUM('NL9 - Legal &amp; Safety'!D33:M33,'NL9 - Legal &amp; Safety'!D42:M42)</f>
        <v>0</v>
      </c>
      <c r="H49" s="224" t="s">
        <v>239</v>
      </c>
      <c r="I49" s="12">
        <f>F49+C49</f>
        <v>76.612068097753834</v>
      </c>
      <c r="J49" s="743">
        <f>I49/SUM($I$49:$I$53)</f>
        <v>0.16223161237427791</v>
      </c>
    </row>
    <row r="50" spans="2:10">
      <c r="B50" s="224" t="s">
        <v>373</v>
      </c>
      <c r="C50" s="820">
        <f>SUM('FBPQ NL1'!D21:M22)</f>
        <v>27.799384258028404</v>
      </c>
      <c r="D50" s="227" t="s">
        <v>37</v>
      </c>
      <c r="E50" s="222" t="s">
        <v>373</v>
      </c>
      <c r="F50" s="12">
        <f>SUM('NL9 - Legal &amp; Safety'!D34:M34,'NL9 - Legal &amp; Safety'!D43:M43)*C55</f>
        <v>0</v>
      </c>
      <c r="H50" s="224" t="s">
        <v>373</v>
      </c>
      <c r="I50" s="12">
        <f>F50+C50</f>
        <v>27.799384258028404</v>
      </c>
      <c r="J50" s="743">
        <f>I50/SUM($I$49:$I$53)</f>
        <v>5.8867213001450001E-2</v>
      </c>
    </row>
    <row r="51" spans="2:10">
      <c r="B51" s="222" t="s">
        <v>238</v>
      </c>
      <c r="C51" s="820">
        <f>SUM('FBPQ NL1'!D17:M20)</f>
        <v>140.62677303714563</v>
      </c>
      <c r="E51" s="224" t="s">
        <v>238</v>
      </c>
      <c r="F51" s="12">
        <f>SUM('NL9 - Legal &amp; Safety'!D34:M34,'NL9 - Legal &amp; Safety'!D43:M43)*(1-C55)</f>
        <v>0</v>
      </c>
      <c r="H51" s="224" t="s">
        <v>238</v>
      </c>
      <c r="I51" s="12">
        <f>F51+C51</f>
        <v>140.62677303714563</v>
      </c>
      <c r="J51" s="743">
        <f>I51/SUM($I$49:$I$53)</f>
        <v>0.29778739432667328</v>
      </c>
    </row>
    <row r="52" spans="2:10">
      <c r="B52" s="224" t="s">
        <v>244</v>
      </c>
      <c r="C52" s="820">
        <f>SUM('FBPQ NL1'!D23:M28)</f>
        <v>94.698439992903943</v>
      </c>
      <c r="E52" s="224" t="s">
        <v>244</v>
      </c>
      <c r="F52" s="12">
        <f>SUM('NL9 - Legal &amp; Safety'!D35:M35,'NL9 - Legal &amp; Safety'!D44:M44)</f>
        <v>0</v>
      </c>
      <c r="H52" s="224" t="s">
        <v>244</v>
      </c>
      <c r="I52" s="12">
        <f>F52+C52</f>
        <v>94.698439992903943</v>
      </c>
      <c r="J52" s="743">
        <f>I52/SUM($I$49:$I$53)</f>
        <v>0.20053081702186859</v>
      </c>
    </row>
    <row r="53" spans="2:10">
      <c r="B53" s="226" t="s">
        <v>491</v>
      </c>
      <c r="C53" s="821">
        <f>SUM('FBPQ NL1'!D29:M34)</f>
        <v>132.50217251097257</v>
      </c>
      <c r="E53" s="226" t="s">
        <v>491</v>
      </c>
      <c r="F53" s="13">
        <f>SUM('NL9 - Legal &amp; Safety'!D36:M36,'NL9 - Legal &amp; Safety'!D45:M45)</f>
        <v>0</v>
      </c>
      <c r="H53" s="226" t="s">
        <v>491</v>
      </c>
      <c r="I53" s="13">
        <f>F53+C53</f>
        <v>132.50217251097257</v>
      </c>
      <c r="J53" s="743">
        <f>I53/SUM($I$49:$I$53)</f>
        <v>0.28058296327573018</v>
      </c>
    </row>
    <row r="55" spans="2:10">
      <c r="B55" s="227" t="s">
        <v>38</v>
      </c>
      <c r="C55" s="228">
        <f>C50/C51</f>
        <v>0.19768201785221498</v>
      </c>
    </row>
    <row r="58" spans="2:10">
      <c r="B58" s="852"/>
      <c r="C58" s="852"/>
    </row>
    <row r="59" spans="2:10" ht="18">
      <c r="B59" s="1254" t="s">
        <v>880</v>
      </c>
      <c r="C59" s="852"/>
    </row>
    <row r="60" spans="2:10">
      <c r="B60" s="852"/>
      <c r="C60" s="852"/>
    </row>
    <row r="61" spans="2:10">
      <c r="B61" s="890" t="s">
        <v>882</v>
      </c>
      <c r="C61" s="852"/>
    </row>
    <row r="62" spans="2:10">
      <c r="B62" s="889" t="s">
        <v>884</v>
      </c>
      <c r="C62" s="852"/>
    </row>
    <row r="63" spans="2:10">
      <c r="B63" s="2187" t="s">
        <v>625</v>
      </c>
      <c r="C63" s="2189"/>
    </row>
    <row r="64" spans="2:10">
      <c r="B64" s="2193" t="s">
        <v>323</v>
      </c>
      <c r="C64" s="2194"/>
    </row>
    <row r="65" spans="2:3">
      <c r="B65" s="1255"/>
      <c r="C65" s="1256"/>
    </row>
    <row r="66" spans="2:3">
      <c r="B66" s="1257" t="s">
        <v>239</v>
      </c>
      <c r="C66" s="1258">
        <f>SUM('FBPQ LR1 - V5 opt3'!D227:M227,'FBPQ LR1 - V5 opt3'!I229:M229)-SUM('FBPQ LR1 - V5 opt3'!D250:M250,'FBPQ LR1 - V5 opt3'!I252:M252)</f>
        <v>0</v>
      </c>
    </row>
    <row r="67" spans="2:3">
      <c r="B67" s="1257" t="s">
        <v>238</v>
      </c>
      <c r="C67" s="1258">
        <f>(SUM('FBPQ LR1 - V5 opt3'!D231:H231,'FBPQ LR1 - V5 opt3'!I230:M230,'FBPQ LR1 - V5 opt3'!I233:M233)-SUM('FBPQ LR1 - V5 opt3'!D254:H254,'FBPQ LR1 - V5 opt3'!I253:M253,'FBPQ LR1 - V5 opt3'!I256:M256))</f>
        <v>0</v>
      </c>
    </row>
    <row r="68" spans="2:3">
      <c r="B68" s="1257" t="s">
        <v>244</v>
      </c>
      <c r="C68" s="1258">
        <f>SUM('FBPQ LR1 - V5 opt3'!D235:H235,'FBPQ LR1 - V5 opt3'!I234:M234,'FBPQ LR1 - V5 opt3'!I237:M237)-SUM('FBPQ LR1 - V5 opt3'!D258:H258,'FBPQ LR1 - V5 opt3'!I257:M257,'FBPQ LR1 - V5 opt3'!I260:M260)</f>
        <v>0</v>
      </c>
    </row>
    <row r="69" spans="2:3">
      <c r="B69" s="1259" t="s">
        <v>491</v>
      </c>
      <c r="C69" s="1260">
        <f>SUM('FBPQ LR1 - V5 opt3'!D239:H239,'FBPQ LR1 - V5 opt3'!I238:M238)-SUM('FBPQ LR1 - V5 opt3'!D262:H262,'FBPQ LR1 - V5 opt3'!I261:M261)</f>
        <v>0</v>
      </c>
    </row>
    <row r="70" spans="2:3">
      <c r="B70" s="852"/>
      <c r="C70" s="852"/>
    </row>
    <row r="71" spans="2:3">
      <c r="B71" s="889" t="s">
        <v>883</v>
      </c>
      <c r="C71" s="852"/>
    </row>
    <row r="72" spans="2:3">
      <c r="B72" s="2187" t="s">
        <v>625</v>
      </c>
      <c r="C72" s="2189"/>
    </row>
    <row r="73" spans="2:3">
      <c r="B73" s="2193" t="s">
        <v>323</v>
      </c>
      <c r="C73" s="2194"/>
    </row>
    <row r="74" spans="2:3">
      <c r="B74" s="1255"/>
      <c r="C74" s="1256"/>
    </row>
    <row r="75" spans="2:3">
      <c r="B75" s="1257" t="s">
        <v>239</v>
      </c>
      <c r="C75" s="1258">
        <f>SUM('FBPQ LR1 - V5 opt3'!D227:M227,'FBPQ LR1 - V5 opt3'!I229:M229)-SUM('FBPQ LR1 - V5 opt3'!D250:M250,'FBPQ LR1 - V5 opt3'!I252:M252)</f>
        <v>0</v>
      </c>
    </row>
    <row r="76" spans="2:3">
      <c r="B76" s="1257" t="s">
        <v>373</v>
      </c>
      <c r="C76" s="1258">
        <f>(SUM('FBPQ LR1 - V5 opt3'!D231:H231,'FBPQ LR1 - V5 opt3'!I230:M230,'FBPQ LR1 - V5 opt3'!I233:M233)-SUM('FBPQ LR1 - V5 opt3'!D254:H254,'FBPQ LR1 - V5 opt3'!I253:M253,'FBPQ LR1 - V5 opt3'!I256:M256))*(C110)</f>
        <v>0</v>
      </c>
    </row>
    <row r="77" spans="2:3">
      <c r="B77" s="1257" t="s">
        <v>238</v>
      </c>
      <c r="C77" s="1258">
        <f>(SUM('FBPQ LR1 - V5 opt3'!D231:H231,'FBPQ LR1 - V5 opt3'!I230:M230,'FBPQ LR1 - V5 opt3'!I233:M233)-SUM('FBPQ LR1 - V5 opt3'!D254:H254,'FBPQ LR1 - V5 opt3'!I253:M253,'FBPQ LR1 - V5 opt3'!I256:M256))*(1-C110)</f>
        <v>0</v>
      </c>
    </row>
    <row r="78" spans="2:3">
      <c r="B78" s="1257" t="s">
        <v>244</v>
      </c>
      <c r="C78" s="1258">
        <f>SUM('FBPQ LR1 - V5 opt3'!D235:H235,'FBPQ LR1 - V5 opt3'!I234:M234,'FBPQ LR1 - V5 opt3'!I237:M237)-SUM('FBPQ LR1 - V5 opt3'!D258:H258,'FBPQ LR1 - V5 opt3'!I257:M257,'FBPQ LR1 - V5 opt3'!I260:M260)</f>
        <v>0</v>
      </c>
    </row>
    <row r="79" spans="2:3">
      <c r="B79" s="1259" t="s">
        <v>491</v>
      </c>
      <c r="C79" s="1260">
        <f>SUM('FBPQ LR1 - V5 opt3'!D239:H239,'FBPQ LR1 - V5 opt3'!I238:M238)-SUM('FBPQ LR1 - V5 opt3'!D262:H262,'FBPQ LR1 - V5 opt3'!I261:M261)</f>
        <v>0</v>
      </c>
    </row>
    <row r="80" spans="2:3">
      <c r="B80" s="852"/>
      <c r="C80" s="852"/>
    </row>
    <row r="81" spans="2:3">
      <c r="B81" s="852"/>
      <c r="C81" s="852"/>
    </row>
    <row r="82" spans="2:3">
      <c r="B82" s="890" t="s">
        <v>881</v>
      </c>
      <c r="C82" s="852"/>
    </row>
    <row r="83" spans="2:3">
      <c r="B83" s="889" t="s">
        <v>884</v>
      </c>
      <c r="C83" s="852"/>
    </row>
    <row r="84" spans="2:3">
      <c r="B84" s="2187" t="s">
        <v>625</v>
      </c>
      <c r="C84" s="2189"/>
    </row>
    <row r="85" spans="2:3">
      <c r="B85" s="2193" t="s">
        <v>323</v>
      </c>
      <c r="C85" s="2194"/>
    </row>
    <row r="86" spans="2:3">
      <c r="B86" s="1255"/>
      <c r="C86" s="1325"/>
    </row>
    <row r="87" spans="2:3">
      <c r="B87" s="1257" t="s">
        <v>239</v>
      </c>
      <c r="C87" s="1326">
        <f>SUM('FBPQ LR1'!D82:M82)-SUM('FBPQ LR1'!D110:M110)</f>
        <v>41.132566013145379</v>
      </c>
    </row>
    <row r="88" spans="2:3">
      <c r="B88" s="1257" t="s">
        <v>238</v>
      </c>
      <c r="C88" s="1326">
        <f>(SUM('FBPQ LR1'!D86:M86)-SUM('FBPQ LR1'!D114:M114))</f>
        <v>100.38915569099296</v>
      </c>
    </row>
    <row r="89" spans="2:3">
      <c r="B89" s="1257" t="s">
        <v>244</v>
      </c>
      <c r="C89" s="1326">
        <f>(SUM('FBPQ LR1'!D90:M90)-SUM('FBPQ LR1'!D118:M118))</f>
        <v>0.3967625126607135</v>
      </c>
    </row>
    <row r="90" spans="2:3">
      <c r="B90" s="1259" t="s">
        <v>491</v>
      </c>
      <c r="C90" s="1327">
        <f>(SUM('FBPQ LR1'!D94:M94)-SUM('FBPQ LR1'!D122:M122))</f>
        <v>0</v>
      </c>
    </row>
    <row r="91" spans="2:3">
      <c r="B91" s="852"/>
      <c r="C91" s="1328"/>
    </row>
    <row r="92" spans="2:3">
      <c r="B92" s="889" t="s">
        <v>883</v>
      </c>
      <c r="C92" s="852"/>
    </row>
    <row r="93" spans="2:3">
      <c r="B93" s="2187" t="s">
        <v>625</v>
      </c>
      <c r="C93" s="2189"/>
    </row>
    <row r="94" spans="2:3">
      <c r="B94" s="2193" t="s">
        <v>323</v>
      </c>
      <c r="C94" s="2194"/>
    </row>
    <row r="95" spans="2:3">
      <c r="B95" s="1255"/>
      <c r="C95" s="1325"/>
    </row>
    <row r="96" spans="2:3">
      <c r="B96" s="1257" t="s">
        <v>239</v>
      </c>
      <c r="C96" s="1326">
        <f>SUM('FBPQ LR1'!D82:M82)-SUM('FBPQ LR1'!D110:M110)</f>
        <v>41.132566013145379</v>
      </c>
    </row>
    <row r="97" spans="2:3">
      <c r="B97" s="1257" t="s">
        <v>373</v>
      </c>
      <c r="C97" s="1326">
        <f>(SUM('FBPQ LR1'!D86:M86)-SUM('FBPQ LR1'!D114:M114))*C110</f>
        <v>19.84513086747566</v>
      </c>
    </row>
    <row r="98" spans="2:3">
      <c r="B98" s="1257" t="s">
        <v>238</v>
      </c>
      <c r="C98" s="1326">
        <f>(SUM('FBPQ LR1'!D86:M86)-SUM('FBPQ LR1'!D114:M114))*(1-C110)</f>
        <v>80.544024823517304</v>
      </c>
    </row>
    <row r="99" spans="2:3">
      <c r="B99" s="1257" t="s">
        <v>244</v>
      </c>
      <c r="C99" s="1326">
        <f>(SUM('FBPQ LR1'!D90:M90)-SUM('FBPQ LR1'!D118:M118))</f>
        <v>0.3967625126607135</v>
      </c>
    </row>
    <row r="100" spans="2:3">
      <c r="B100" s="1259" t="s">
        <v>491</v>
      </c>
      <c r="C100" s="1327">
        <f>(SUM('FBPQ LR1'!D94:M94)-SUM('FBPQ LR1'!D122:M122))</f>
        <v>0</v>
      </c>
    </row>
    <row r="101" spans="2:3">
      <c r="B101" s="852"/>
      <c r="C101" s="1328"/>
    </row>
    <row r="102" spans="2:3">
      <c r="B102" s="852"/>
      <c r="C102" s="1328"/>
    </row>
    <row r="103" spans="2:3">
      <c r="B103" s="852"/>
      <c r="C103" s="1328"/>
    </row>
    <row r="104" spans="2:3">
      <c r="B104" s="852"/>
      <c r="C104" s="1328"/>
    </row>
    <row r="105" spans="2:3">
      <c r="B105" s="852"/>
      <c r="C105" s="1328"/>
    </row>
    <row r="106" spans="2:3">
      <c r="B106" s="852"/>
      <c r="C106" s="1328"/>
    </row>
    <row r="107" spans="2:3">
      <c r="B107" s="852"/>
      <c r="C107" s="1328"/>
    </row>
    <row r="108" spans="2:3">
      <c r="B108" s="852"/>
      <c r="C108" s="1328"/>
    </row>
    <row r="109" spans="2:3">
      <c r="B109" s="852"/>
      <c r="C109" s="1328"/>
    </row>
    <row r="110" spans="2:3">
      <c r="B110" s="18"/>
      <c r="C110" s="1329">
        <f>C50/C51</f>
        <v>0.19768201785221498</v>
      </c>
    </row>
    <row r="111" spans="2:3">
      <c r="B111" s="852"/>
      <c r="C111" s="1328"/>
    </row>
  </sheetData>
  <sheetProtection sheet="1" objects="1" scenarios="1"/>
  <mergeCells count="36">
    <mergeCell ref="N3:P3"/>
    <mergeCell ref="N4:P4"/>
    <mergeCell ref="J3:L3"/>
    <mergeCell ref="J4:L4"/>
    <mergeCell ref="F3:H3"/>
    <mergeCell ref="F4:H4"/>
    <mergeCell ref="H17:I17"/>
    <mergeCell ref="H16:I16"/>
    <mergeCell ref="H47:I47"/>
    <mergeCell ref="E46:F46"/>
    <mergeCell ref="E47:F47"/>
    <mergeCell ref="H37:I37"/>
    <mergeCell ref="H36:I36"/>
    <mergeCell ref="H46:I46"/>
    <mergeCell ref="B16:C16"/>
    <mergeCell ref="B47:C47"/>
    <mergeCell ref="B26:C26"/>
    <mergeCell ref="E37:F37"/>
    <mergeCell ref="B36:C36"/>
    <mergeCell ref="E36:F36"/>
    <mergeCell ref="B37:C37"/>
    <mergeCell ref="B25:C25"/>
    <mergeCell ref="E17:F17"/>
    <mergeCell ref="B46:C46"/>
    <mergeCell ref="E25:F25"/>
    <mergeCell ref="B17:C17"/>
    <mergeCell ref="E26:F26"/>
    <mergeCell ref="E16:F16"/>
    <mergeCell ref="B85:C85"/>
    <mergeCell ref="B94:C94"/>
    <mergeCell ref="B72:C72"/>
    <mergeCell ref="B73:C73"/>
    <mergeCell ref="B63:C63"/>
    <mergeCell ref="B64:C64"/>
    <mergeCell ref="B84:C84"/>
    <mergeCell ref="B93:C93"/>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sheetPr>
  <dimension ref="A1:BD63"/>
  <sheetViews>
    <sheetView showGridLines="0" workbookViewId="0"/>
  </sheetViews>
  <sheetFormatPr defaultColWidth="8.85546875" defaultRowHeight="12.75"/>
  <cols>
    <col min="1" max="1" width="12.42578125" style="72" customWidth="1"/>
    <col min="2" max="2" width="10.140625" style="72" customWidth="1"/>
    <col min="3" max="3" width="58" style="72" bestFit="1" customWidth="1"/>
    <col min="4" max="4" width="14.85546875" style="72" bestFit="1" customWidth="1"/>
    <col min="5" max="6" width="7.7109375" style="72" bestFit="1" customWidth="1"/>
    <col min="7" max="7" width="7.7109375" style="72" customWidth="1"/>
    <col min="8" max="8" width="6.42578125" style="72" bestFit="1" customWidth="1"/>
    <col min="9" max="9" width="11.85546875" style="72" customWidth="1"/>
    <col min="10" max="10" width="7.7109375" style="72" customWidth="1"/>
    <col min="11" max="11" width="20.42578125" style="72" bestFit="1" customWidth="1"/>
    <col min="12" max="16" width="8.42578125" style="72" customWidth="1"/>
    <col min="17" max="17" width="5.140625" style="72" customWidth="1"/>
    <col min="18" max="18" width="8" style="72" customWidth="1"/>
    <col min="19" max="23" width="8.140625" style="72" customWidth="1"/>
    <col min="24" max="24" width="4.85546875" style="72" customWidth="1"/>
    <col min="25" max="25" width="24.28515625" style="72" customWidth="1"/>
    <col min="26" max="31" width="10.42578125" style="72" customWidth="1"/>
    <col min="32" max="32" width="23" style="72" customWidth="1"/>
    <col min="33" max="36" width="12.42578125" style="72" customWidth="1"/>
    <col min="37" max="37" width="6.85546875" style="72" customWidth="1"/>
    <col min="38" max="38" width="16.42578125" style="72" customWidth="1"/>
    <col min="39" max="40" width="8.140625" style="72" customWidth="1"/>
    <col min="41" max="41" width="4.140625" style="72" customWidth="1"/>
    <col min="42" max="42" width="23.7109375" style="72" customWidth="1"/>
    <col min="43" max="43" width="12.140625" style="72" customWidth="1"/>
    <col min="44" max="44" width="10.85546875" style="72" customWidth="1"/>
    <col min="45" max="45" width="13.42578125" style="72" customWidth="1"/>
    <col min="46" max="47" width="9.42578125" style="72" customWidth="1"/>
    <col min="48" max="48" width="5.42578125" style="72" customWidth="1"/>
    <col min="49" max="49" width="23.42578125" style="72" customWidth="1"/>
    <col min="50" max="53" width="8.42578125" style="72" customWidth="1"/>
    <col min="54" max="54" width="4.28515625" style="72" customWidth="1"/>
    <col min="55" max="55" width="22.7109375" style="72" bestFit="1" customWidth="1"/>
    <col min="56" max="56" width="24.140625" style="72" customWidth="1"/>
    <col min="57" max="16384" width="8.85546875" style="72"/>
  </cols>
  <sheetData>
    <row r="1" spans="1:56" s="1263" customFormat="1" ht="19.5">
      <c r="A1" s="1261" t="str">
        <f>"Calc DNO Opex Allocation for Method M ("&amp;'Calc-Net capex'!B5&amp;") for "&amp;Inputs!B6&amp;" in "&amp;Inputs!C6&amp;"  Status: "&amp;Inputs!D6&amp;""</f>
        <v>Calc DNO Opex Allocation for Method M (LR1) for WPD East Midlands in 2015/16  Status: Indicative</v>
      </c>
    </row>
    <row r="2" spans="1:56">
      <c r="A2" s="230"/>
    </row>
    <row r="3" spans="1:56" s="207" customFormat="1" ht="58.5" customHeight="1">
      <c r="D3" s="2209" t="s">
        <v>329</v>
      </c>
      <c r="E3" s="2209"/>
      <c r="F3" s="2209"/>
      <c r="G3" s="2209"/>
      <c r="H3" s="2209"/>
      <c r="I3" s="2209"/>
      <c r="K3" s="2213" t="s">
        <v>897</v>
      </c>
      <c r="L3" s="2214"/>
      <c r="M3" s="2214"/>
      <c r="N3" s="2214"/>
      <c r="O3" s="2214"/>
      <c r="P3" s="2214"/>
      <c r="Q3" s="853"/>
      <c r="S3" s="2216" t="s">
        <v>898</v>
      </c>
      <c r="T3" s="2217"/>
      <c r="U3" s="2217"/>
      <c r="V3" s="2217"/>
      <c r="W3" s="2217"/>
      <c r="Z3" s="2213" t="s">
        <v>899</v>
      </c>
      <c r="AA3" s="2213"/>
      <c r="AB3" s="2213"/>
      <c r="AC3" s="2213"/>
      <c r="AD3" s="2213"/>
      <c r="AG3" s="2213" t="s">
        <v>901</v>
      </c>
      <c r="AH3" s="2214"/>
      <c r="AI3" s="2214"/>
      <c r="AJ3" s="2214"/>
      <c r="AL3" s="2217" t="s">
        <v>330</v>
      </c>
      <c r="AM3" s="2217"/>
      <c r="AN3" s="2217"/>
      <c r="AO3" s="2217"/>
      <c r="AP3" s="2217"/>
      <c r="AQ3" s="2217"/>
      <c r="AR3" s="2217"/>
      <c r="AS3" s="2217"/>
      <c r="AT3" s="2217"/>
      <c r="AU3" s="2217"/>
      <c r="AV3" s="2217"/>
      <c r="AW3" s="2217"/>
      <c r="AX3" s="2217"/>
      <c r="AY3" s="2217"/>
      <c r="AZ3" s="2217"/>
      <c r="BA3" s="2217"/>
    </row>
    <row r="4" spans="1:56" s="852" customFormat="1" ht="28.5" customHeight="1">
      <c r="A4" s="847"/>
      <c r="B4" s="847"/>
      <c r="C4" s="848"/>
      <c r="D4" s="849"/>
      <c r="E4" s="2218" t="s">
        <v>705</v>
      </c>
      <c r="F4" s="2219"/>
      <c r="G4" s="2219"/>
      <c r="H4" s="2219"/>
      <c r="I4" s="2220"/>
      <c r="J4" s="854"/>
      <c r="K4" s="2210" t="s">
        <v>416</v>
      </c>
      <c r="L4" s="2211"/>
      <c r="M4" s="2211"/>
      <c r="N4" s="2211"/>
      <c r="O4" s="2211"/>
      <c r="P4" s="2212"/>
      <c r="Q4" s="855"/>
      <c r="R4" s="856"/>
      <c r="S4" s="2215" t="s">
        <v>680</v>
      </c>
      <c r="T4" s="2215"/>
      <c r="U4" s="2215"/>
      <c r="V4" s="2215"/>
      <c r="W4" s="2215"/>
      <c r="X4" s="855"/>
      <c r="Y4" s="848"/>
      <c r="Z4" s="2197" t="s">
        <v>900</v>
      </c>
      <c r="AA4" s="2191"/>
      <c r="AB4" s="2191"/>
      <c r="AC4" s="2191"/>
      <c r="AD4" s="2192"/>
      <c r="AE4" s="850"/>
      <c r="AF4" s="850"/>
      <c r="AG4" s="2226" t="s">
        <v>902</v>
      </c>
      <c r="AH4" s="2227"/>
      <c r="AI4" s="2227"/>
      <c r="AJ4" s="2227"/>
      <c r="AK4" s="851"/>
      <c r="AL4" s="2197" t="s">
        <v>903</v>
      </c>
      <c r="AM4" s="2224"/>
      <c r="AN4" s="2225"/>
      <c r="AO4" s="868"/>
      <c r="AP4" s="856"/>
      <c r="AQ4" s="2228" t="s">
        <v>904</v>
      </c>
      <c r="AR4" s="2229"/>
      <c r="AS4" s="2229"/>
      <c r="AT4" s="2229"/>
      <c r="AU4" s="2229"/>
      <c r="AV4" s="841"/>
      <c r="AW4" s="856"/>
      <c r="AX4" s="2221" t="s">
        <v>404</v>
      </c>
      <c r="AY4" s="2222"/>
      <c r="AZ4" s="2222"/>
      <c r="BA4" s="2223"/>
      <c r="BC4" s="847"/>
      <c r="BD4" s="847"/>
    </row>
    <row r="5" spans="1:56" s="75" customFormat="1" ht="67.5" customHeight="1">
      <c r="A5" s="73"/>
      <c r="B5" s="73"/>
      <c r="C5" s="73"/>
      <c r="D5" s="838" t="s">
        <v>325</v>
      </c>
      <c r="E5" s="2242" t="s">
        <v>896</v>
      </c>
      <c r="F5" s="2243"/>
      <c r="G5" s="2243"/>
      <c r="H5" s="2243"/>
      <c r="I5" s="838" t="s">
        <v>326</v>
      </c>
      <c r="J5" s="73"/>
      <c r="K5" s="85" t="s">
        <v>423</v>
      </c>
      <c r="L5" s="2236" t="s">
        <v>417</v>
      </c>
      <c r="M5" s="2237"/>
      <c r="N5" s="2237"/>
      <c r="O5" s="2237"/>
      <c r="P5" s="2238"/>
      <c r="Q5" s="46"/>
      <c r="R5" s="74"/>
      <c r="S5" s="97"/>
      <c r="T5" s="98"/>
      <c r="U5" s="98"/>
      <c r="V5" s="98"/>
      <c r="W5" s="99"/>
      <c r="X5" s="73"/>
      <c r="Y5" s="74"/>
      <c r="Z5" s="97"/>
      <c r="AA5" s="98"/>
      <c r="AB5" s="98"/>
      <c r="AC5" s="98"/>
      <c r="AD5" s="99"/>
      <c r="AE5" s="73"/>
      <c r="AF5" s="74"/>
      <c r="AG5" s="97"/>
      <c r="AH5" s="98"/>
      <c r="AI5" s="98"/>
      <c r="AJ5" s="99"/>
      <c r="AK5" s="74"/>
      <c r="AL5" s="869" t="s">
        <v>354</v>
      </c>
      <c r="AM5" s="864" t="s">
        <v>512</v>
      </c>
      <c r="AN5" s="870" t="s">
        <v>511</v>
      </c>
      <c r="AO5" s="73"/>
      <c r="AP5" s="73"/>
      <c r="AQ5" s="838" t="s">
        <v>244</v>
      </c>
      <c r="AR5" s="838" t="s">
        <v>238</v>
      </c>
      <c r="AS5" s="838" t="s">
        <v>405</v>
      </c>
      <c r="AT5" s="838" t="s">
        <v>619</v>
      </c>
      <c r="AU5" s="838" t="s">
        <v>879</v>
      </c>
      <c r="AV5" s="824"/>
      <c r="AW5" s="74"/>
      <c r="AX5" s="838" t="s">
        <v>244</v>
      </c>
      <c r="AY5" s="838" t="s">
        <v>238</v>
      </c>
      <c r="AZ5" s="838" t="s">
        <v>405</v>
      </c>
      <c r="BA5" s="838" t="s">
        <v>239</v>
      </c>
      <c r="BC5" s="196"/>
      <c r="BD5" s="76"/>
    </row>
    <row r="6" spans="1:56" s="18" customFormat="1" ht="25.5">
      <c r="A6" s="846"/>
      <c r="B6" s="839"/>
      <c r="C6" s="839"/>
      <c r="D6" s="840"/>
      <c r="E6" s="840" t="s">
        <v>244</v>
      </c>
      <c r="F6" s="840" t="s">
        <v>238</v>
      </c>
      <c r="G6" s="840" t="s">
        <v>405</v>
      </c>
      <c r="H6" s="840" t="s">
        <v>239</v>
      </c>
      <c r="I6" s="840"/>
      <c r="J6" s="839"/>
      <c r="K6" s="94"/>
      <c r="L6" s="95" t="s">
        <v>244</v>
      </c>
      <c r="M6" s="94" t="s">
        <v>238</v>
      </c>
      <c r="N6" s="94" t="s">
        <v>405</v>
      </c>
      <c r="O6" s="94" t="s">
        <v>619</v>
      </c>
      <c r="P6" s="94" t="s">
        <v>879</v>
      </c>
      <c r="Q6" s="46"/>
      <c r="R6" s="841"/>
      <c r="S6" s="840" t="s">
        <v>244</v>
      </c>
      <c r="T6" s="840" t="s">
        <v>238</v>
      </c>
      <c r="U6" s="840" t="s">
        <v>405</v>
      </c>
      <c r="V6" s="840" t="s">
        <v>619</v>
      </c>
      <c r="W6" s="840" t="s">
        <v>879</v>
      </c>
      <c r="X6" s="841"/>
      <c r="Y6" s="841"/>
      <c r="Z6" s="840" t="s">
        <v>244</v>
      </c>
      <c r="AA6" s="840" t="s">
        <v>238</v>
      </c>
      <c r="AB6" s="840" t="s">
        <v>405</v>
      </c>
      <c r="AC6" s="840" t="s">
        <v>619</v>
      </c>
      <c r="AD6" s="840" t="s">
        <v>879</v>
      </c>
      <c r="AE6" s="841"/>
      <c r="AF6" s="841"/>
      <c r="AG6" s="840" t="s">
        <v>244</v>
      </c>
      <c r="AH6" s="840" t="s">
        <v>238</v>
      </c>
      <c r="AI6" s="840" t="s">
        <v>405</v>
      </c>
      <c r="AJ6" s="840" t="s">
        <v>619</v>
      </c>
      <c r="AK6" s="841"/>
      <c r="AL6" s="842"/>
      <c r="AM6" s="840"/>
      <c r="AN6" s="843"/>
      <c r="AO6" s="839"/>
      <c r="AP6" s="839"/>
      <c r="AQ6" s="840"/>
      <c r="AR6" s="840"/>
      <c r="AS6" s="840"/>
      <c r="AT6" s="840"/>
      <c r="AU6" s="840"/>
      <c r="AV6" s="841"/>
      <c r="AW6" s="841"/>
      <c r="AX6" s="840"/>
      <c r="AY6" s="840"/>
      <c r="AZ6" s="840"/>
      <c r="BA6" s="840"/>
      <c r="BC6" s="844"/>
      <c r="BD6" s="845"/>
    </row>
    <row r="7" spans="1:56" s="43" customFormat="1" ht="12.75" customHeight="1">
      <c r="A7" s="2250" t="s">
        <v>406</v>
      </c>
      <c r="B7" s="2244" t="s">
        <v>654</v>
      </c>
      <c r="C7" s="80" t="s">
        <v>634</v>
      </c>
      <c r="D7" s="85">
        <f>'RRP 1.3'!D$12</f>
        <v>46.459524808852009</v>
      </c>
      <c r="E7" s="85">
        <f>'RRP 2.4'!L13+'RRP 2.4'!L14+'RRP 2.4'!L18+'RRP 2.4'!L19</f>
        <v>30.925733493062069</v>
      </c>
      <c r="F7" s="85">
        <f>'RRP 2.4'!L12+'RRP 2.4'!L17-'Calc DNO Opex Allocation'!G7</f>
        <v>36.86</v>
      </c>
      <c r="G7" s="85">
        <v>0</v>
      </c>
      <c r="H7" s="85">
        <f>'RRP 2.4'!L11+'RRP 2.4'!L16+'RRP 2.4'!L24</f>
        <v>-21.4</v>
      </c>
      <c r="I7" s="85">
        <f t="shared" ref="I7:I40" si="0">D7-E7-F7-G7-H7</f>
        <v>7.3791315789939915E-2</v>
      </c>
      <c r="J7" s="46"/>
      <c r="K7" s="85" t="s">
        <v>478</v>
      </c>
      <c r="L7" s="169">
        <f>IF(ISERROR(VLOOKUP($K7,'Calc-Drivers'!$B$17:$G$27,L$43,FALSE))," ",VLOOKUP($K7,'Calc-Drivers'!$B$17:$G$27,L$43,FALSE))</f>
        <v>0.36761309961829525</v>
      </c>
      <c r="M7" s="169">
        <f>IF(ISERROR(VLOOKUP($K7,'Calc-Drivers'!$B$17:$G$27,M$43,FALSE))," ",VLOOKUP($K7,'Calc-Drivers'!$B$17:$G$27,M$43,FALSE))</f>
        <v>0.11388332466663602</v>
      </c>
      <c r="N7" s="169">
        <f>IF(ISERROR(VLOOKUP($K7,'Calc-Drivers'!$B$17:$G$27,N$43,FALSE))," ",VLOOKUP($K7,'Calc-Drivers'!$B$17:$G$27,N$43,FALSE))</f>
        <v>3.5106835271515605E-2</v>
      </c>
      <c r="O7" s="169">
        <f>IF(ISERROR(VLOOKUP($K7,'Calc-Drivers'!$B$17:$G$27,O$43,FALSE))," ",VLOOKUP($K7,'Calc-Drivers'!$B$17:$G$27,O$43,FALSE))</f>
        <v>0.25336864011527199</v>
      </c>
      <c r="P7" s="169">
        <f>IF(ISERROR(VLOOKUP($K7,'Calc-Drivers'!$B$17:$G$27,P$43,FALSE))," ",VLOOKUP($K7,'Calc-Drivers'!$B$17:$G$27,P$43,FALSE))</f>
        <v>0.23002810032828097</v>
      </c>
      <c r="Q7" s="108"/>
      <c r="R7" s="48"/>
      <c r="S7" s="104">
        <f t="shared" ref="S7:S39" si="1">IF(ISERROR($I7*L7)," ",$I7*L7)</f>
        <v>2.7126654322452266E-2</v>
      </c>
      <c r="T7" s="104">
        <f t="shared" ref="T7:T39" si="2">IF(ISERROR($I7*M7)," ",$I7*M7)</f>
        <v>8.4036003736839924E-3</v>
      </c>
      <c r="U7" s="104">
        <f t="shared" ref="U7:U39" si="3">IF(ISERROR($I7*N7)," ",$I7*N7)</f>
        <v>2.5905795679058092E-3</v>
      </c>
      <c r="V7" s="100">
        <f t="shared" ref="V7:W39" si="4">IF(ISERROR($I7*O7)," ",$I7*O7)</f>
        <v>1.8696405334013674E-2</v>
      </c>
      <c r="W7" s="100">
        <f t="shared" si="4"/>
        <v>1.6974076191884162E-2</v>
      </c>
      <c r="X7" s="50"/>
      <c r="Y7" s="44"/>
      <c r="Z7" s="49">
        <f t="shared" ref="Z7:Z39" si="5">IF($K7="Do not allocate"," ",S7+E7)</f>
        <v>30.95286014738452</v>
      </c>
      <c r="AA7" s="49">
        <f t="shared" ref="AA7:AA39" si="6">IF($K7="Do not allocate"," ",T7+F7)</f>
        <v>36.868403600373682</v>
      </c>
      <c r="AB7" s="49">
        <f t="shared" ref="AB7:AB39" si="7">IF($K7="Do not allocate"," ",U7+G7)</f>
        <v>2.5905795679058092E-3</v>
      </c>
      <c r="AC7" s="866">
        <f t="shared" ref="AC7:AC39" si="8">IF($K7="Do not allocate"," ",($H7*O7/($O7+$P7)+V7))</f>
        <v>-11.197947077805003</v>
      </c>
      <c r="AD7" s="101">
        <f t="shared" ref="AD7:AD39" si="9">IF($K7="Do not allocate"," ",($H7*P7/($O7+$P7)+W7))</f>
        <v>-10.1663824406691</v>
      </c>
      <c r="AE7" s="50"/>
      <c r="AF7" s="50"/>
      <c r="AG7" s="51">
        <f>IF(ISERROR(Z7*100000000/'Calc-Units'!$E$23)," ",Z7*100000000/'Calc-Units'!$E$23)</f>
        <v>0.10540760289849935</v>
      </c>
      <c r="AH7" s="51">
        <f>IF(ISERROR(AA7*100000000/'Calc-Units'!$D$23)," ",AA7*100000000/'Calc-Units'!$D$23)</f>
        <v>0.12852987938612989</v>
      </c>
      <c r="AI7" s="51">
        <f>IF(ISERROR(AB7*100000000/'Calc-Units'!$C$23)," ",AB7*100000000/'Calc-Units'!$C$23)</f>
        <v>1.3432435797499788E-5</v>
      </c>
      <c r="AJ7" s="171">
        <f>IF(ISERROR(AC7*100000000/'Calc-Units'!$C$23)," ",AC7*100000000/'Calc-Units'!$C$23)</f>
        <v>-5.8062569106113252E-2</v>
      </c>
      <c r="AK7" s="52"/>
      <c r="AL7" s="45">
        <v>1</v>
      </c>
      <c r="AM7" s="84">
        <f t="shared" ref="AM7:AM39" si="10">AL7*D7</f>
        <v>46.459524808852009</v>
      </c>
      <c r="AN7" s="47">
        <f t="shared" ref="AN7:AN39" si="11">D7*(1-AL7)</f>
        <v>0</v>
      </c>
      <c r="AO7" s="46"/>
      <c r="AP7" s="46"/>
      <c r="AQ7" s="49">
        <f>IF(ISERROR(Z7*(1-$AL7))," ",Z7*(1-$AL7))</f>
        <v>0</v>
      </c>
      <c r="AR7" s="49">
        <f>IF(ISERROR(AA7*(1-$AL7))," ",AA7*(1-$AL7))</f>
        <v>0</v>
      </c>
      <c r="AS7" s="49">
        <f>IF(ISERROR(AB7*(1-$AL7))," ",AB7*(1-$AL7))</f>
        <v>0</v>
      </c>
      <c r="AT7" s="101">
        <f>IF(ISERROR(AC7*(1-$AL7))," ",AC7*(1-$AL7))</f>
        <v>0</v>
      </c>
      <c r="AU7" s="101">
        <f>IF(ISERROR(AD7*(1-$AL7))," ",AD7*(1-$AL7))</f>
        <v>0</v>
      </c>
      <c r="AV7" s="50"/>
      <c r="AW7" s="52"/>
      <c r="AX7" s="198">
        <f>IF(ISERROR(AQ7*100000000/'Calc-Units'!$E$23)," ",AQ7*100000000/'Calc-Units'!$E$23)</f>
        <v>0</v>
      </c>
      <c r="AY7" s="198">
        <f>IF(ISERROR(AR7*100000000/'Calc-Units'!$D$23)," ",AR7*100000000/'Calc-Units'!$D$23)</f>
        <v>0</v>
      </c>
      <c r="AZ7" s="198">
        <f>IF(ISERROR(AS7*100000000/'Calc-Units'!$C$23)," ",AS7*100000000/'Calc-Units'!$C$23)</f>
        <v>0</v>
      </c>
      <c r="BA7" s="199">
        <f>IF(ISERROR(AT7*100000000/'Calc-Units'!$C$23)," ",AT7*100000000/'Calc-Units'!$C$23)</f>
        <v>0</v>
      </c>
      <c r="BC7" s="55"/>
      <c r="BD7" s="44"/>
    </row>
    <row r="8" spans="1:56" s="43" customFormat="1" ht="12.75" customHeight="1">
      <c r="A8" s="2251"/>
      <c r="B8" s="2245"/>
      <c r="C8" s="81" t="s">
        <v>464</v>
      </c>
      <c r="D8" s="84">
        <f>'RRP 1.3'!E$12</f>
        <v>62.531667485618783</v>
      </c>
      <c r="E8" s="110">
        <f>SUM('RRP 2.4'!G44:G55)+'RRP 2.4'!G71+'RRP 2.4'!H71</f>
        <v>16.692705678966107</v>
      </c>
      <c r="F8" s="84">
        <f>SUM('RRP 2.4'!G38:G40)+'RRP 2.4'!F71</f>
        <v>16.974055325584295</v>
      </c>
      <c r="G8" s="84">
        <f>'RRP 2.4'!G41+'RRP 2.4'!G42+'RRP 2.4'!G43</f>
        <v>10.149980671044496</v>
      </c>
      <c r="H8" s="84">
        <f>SUM('RRP 2.4'!G31:G37)+'RRP 2.4'!E71</f>
        <v>14.450237342257196</v>
      </c>
      <c r="I8" s="84">
        <f t="shared" si="0"/>
        <v>4.264688467766689</v>
      </c>
      <c r="J8" s="46"/>
      <c r="K8" s="84" t="s">
        <v>478</v>
      </c>
      <c r="L8" s="96">
        <f>IF(ISERROR(VLOOKUP($K8,'Calc-Drivers'!$B$17:$G$27,L$43,FALSE))," ",VLOOKUP($K8,'Calc-Drivers'!$B$17:$G$27,L$43,FALSE))</f>
        <v>0.36761309961829525</v>
      </c>
      <c r="M8" s="96">
        <f>IF(ISERROR(VLOOKUP($K8,'Calc-Drivers'!$B$17:$G$27,M$43,FALSE))," ",VLOOKUP($K8,'Calc-Drivers'!$B$17:$G$27,M$43,FALSE))</f>
        <v>0.11388332466663602</v>
      </c>
      <c r="N8" s="96">
        <f>IF(ISERROR(VLOOKUP($K8,'Calc-Drivers'!$B$17:$G$27,N$43,FALSE))," ",VLOOKUP($K8,'Calc-Drivers'!$B$17:$G$27,N$43,FALSE))</f>
        <v>3.5106835271515605E-2</v>
      </c>
      <c r="O8" s="96">
        <f>IF(ISERROR(VLOOKUP($K8,'Calc-Drivers'!$B$17:$G$27,O$43,FALSE))," ",VLOOKUP($K8,'Calc-Drivers'!$B$17:$G$27,O$43,FALSE))</f>
        <v>0.25336864011527199</v>
      </c>
      <c r="P8" s="96">
        <f>IF(ISERROR(VLOOKUP($K8,'Calc-Drivers'!$B$17:$G$27,P$43,FALSE))," ",VLOOKUP($K8,'Calc-Drivers'!$B$17:$G$27,P$43,FALSE))</f>
        <v>0.23002810032828097</v>
      </c>
      <c r="Q8" s="108"/>
      <c r="R8" s="48"/>
      <c r="S8" s="49">
        <f t="shared" si="1"/>
        <v>1.5677553465421108</v>
      </c>
      <c r="T8" s="49">
        <f t="shared" si="2"/>
        <v>0.48567690137673236</v>
      </c>
      <c r="U8" s="49">
        <f t="shared" si="3"/>
        <v>0.14971971552221744</v>
      </c>
      <c r="V8" s="101">
        <f t="shared" si="4"/>
        <v>1.080538317593329</v>
      </c>
      <c r="W8" s="101">
        <f t="shared" si="4"/>
        <v>0.98099818673229877</v>
      </c>
      <c r="X8" s="50"/>
      <c r="Y8" s="44"/>
      <c r="Z8" s="49">
        <f t="shared" si="5"/>
        <v>18.260461025508217</v>
      </c>
      <c r="AA8" s="49">
        <f t="shared" si="6"/>
        <v>17.459732226961027</v>
      </c>
      <c r="AB8" s="49">
        <f t="shared" si="7"/>
        <v>10.299700386566712</v>
      </c>
      <c r="AC8" s="101">
        <f t="shared" si="8"/>
        <v>8.6545177809036655</v>
      </c>
      <c r="AD8" s="101">
        <f t="shared" si="9"/>
        <v>7.8572560656791568</v>
      </c>
      <c r="AE8" s="50"/>
      <c r="AF8" s="50"/>
      <c r="AG8" s="51">
        <f>IF(ISERROR(Z8*100000000/'Calc-Units'!$E$23)," ",Z8*100000000/'Calc-Units'!$E$23)</f>
        <v>6.2184606377415401E-2</v>
      </c>
      <c r="AH8" s="51">
        <f>IF(ISERROR(AA8*100000000/'Calc-Units'!$D$23)," ",AA8*100000000/'Calc-Units'!$D$23)</f>
        <v>6.0867763670208942E-2</v>
      </c>
      <c r="AI8" s="51">
        <f>IF(ISERROR(AB8*100000000/'Calc-Units'!$C$23)," ",AB8*100000000/'Calc-Units'!$C$23)</f>
        <v>5.340506267015821E-2</v>
      </c>
      <c r="AJ8" s="171">
        <f>IF(ISERROR(AC8*100000000/'Calc-Units'!$C$23)," ",AC8*100000000/'Calc-Units'!$C$23)</f>
        <v>4.4874612573388289E-2</v>
      </c>
      <c r="AK8" s="52"/>
      <c r="AL8" s="45">
        <v>1</v>
      </c>
      <c r="AM8" s="84">
        <f t="shared" si="10"/>
        <v>62.531667485618783</v>
      </c>
      <c r="AN8" s="47">
        <f t="shared" si="11"/>
        <v>0</v>
      </c>
      <c r="AO8" s="46"/>
      <c r="AP8" s="46"/>
      <c r="AQ8" s="49">
        <f t="shared" ref="AQ8:AQ39" si="12">IF(ISERROR(Z8*(1-$AL8))," ",Z8*(1-$AL8))</f>
        <v>0</v>
      </c>
      <c r="AR8" s="49">
        <f t="shared" ref="AR8:AR39" si="13">IF(ISERROR(AA8*(1-$AL8))," ",AA8*(1-$AL8))</f>
        <v>0</v>
      </c>
      <c r="AS8" s="49">
        <f t="shared" ref="AS8:AS39" si="14">IF(ISERROR(AB8*(1-$AL8))," ",AB8*(1-$AL8))</f>
        <v>0</v>
      </c>
      <c r="AT8" s="101">
        <f t="shared" ref="AT8:AT39" si="15">IF(ISERROR(AC8*(1-$AL8))," ",AC8*(1-$AL8))</f>
        <v>0</v>
      </c>
      <c r="AU8" s="101">
        <f t="shared" ref="AU8:AU39" si="16">IF(ISERROR(AD8*(1-$AL8))," ",AD8*(1-$AL8))</f>
        <v>0</v>
      </c>
      <c r="AV8" s="50"/>
      <c r="AW8" s="52"/>
      <c r="AX8" s="51">
        <f>IF(ISERROR(AQ8*100000000/'Calc-Units'!$E$23)," ",AQ8*100000000/'Calc-Units'!$E$23)</f>
        <v>0</v>
      </c>
      <c r="AY8" s="51">
        <f>IF(ISERROR(AR8*100000000/'Calc-Units'!$D$23)," ",AR8*100000000/'Calc-Units'!$D$23)</f>
        <v>0</v>
      </c>
      <c r="AZ8" s="51">
        <f>IF(ISERROR(AS8*100000000/'Calc-Units'!$C$23)," ",AS8*100000000/'Calc-Units'!$C$23)</f>
        <v>0</v>
      </c>
      <c r="BA8" s="171">
        <f>IF(ISERROR(AT8*100000000/'Calc-Units'!$C$23)," ",AT8*100000000/'Calc-Units'!$C$23)</f>
        <v>0</v>
      </c>
      <c r="BC8" s="55"/>
      <c r="BD8" s="44"/>
    </row>
    <row r="9" spans="1:56" s="43" customFormat="1">
      <c r="A9" s="2251"/>
      <c r="B9" s="2245"/>
      <c r="C9" s="81" t="s">
        <v>465</v>
      </c>
      <c r="D9" s="84">
        <f>'RRP 1.3'!F$12</f>
        <v>2.3969412916799993</v>
      </c>
      <c r="E9" s="84">
        <v>0</v>
      </c>
      <c r="F9" s="84">
        <v>0</v>
      </c>
      <c r="G9" s="84">
        <v>0</v>
      </c>
      <c r="H9" s="84">
        <v>0</v>
      </c>
      <c r="I9" s="84">
        <f t="shared" si="0"/>
        <v>2.3969412916799993</v>
      </c>
      <c r="J9" s="46"/>
      <c r="K9" s="84" t="s">
        <v>478</v>
      </c>
      <c r="L9" s="96">
        <f>IF(ISERROR(VLOOKUP($K9,'Calc-Drivers'!$B$17:$G$27,L$43,FALSE))," ",VLOOKUP($K9,'Calc-Drivers'!$B$17:$G$27,L$43,FALSE))</f>
        <v>0.36761309961829525</v>
      </c>
      <c r="M9" s="96">
        <f>IF(ISERROR(VLOOKUP($K9,'Calc-Drivers'!$B$17:$G$27,M$43,FALSE))," ",VLOOKUP($K9,'Calc-Drivers'!$B$17:$G$27,M$43,FALSE))</f>
        <v>0.11388332466663602</v>
      </c>
      <c r="N9" s="96">
        <f>IF(ISERROR(VLOOKUP($K9,'Calc-Drivers'!$B$17:$G$27,N$43,FALSE))," ",VLOOKUP($K9,'Calc-Drivers'!$B$17:$G$27,N$43,FALSE))</f>
        <v>3.5106835271515605E-2</v>
      </c>
      <c r="O9" s="96">
        <f>IF(ISERROR(VLOOKUP($K9,'Calc-Drivers'!$B$17:$G$27,O$43,FALSE))," ",VLOOKUP($K9,'Calc-Drivers'!$B$17:$G$27,O$43,FALSE))</f>
        <v>0.25336864011527199</v>
      </c>
      <c r="P9" s="96">
        <f>IF(ISERROR(VLOOKUP($K9,'Calc-Drivers'!$B$17:$G$27,P$43,FALSE))," ",VLOOKUP($K9,'Calc-Drivers'!$B$17:$G$27,P$43,FALSE))</f>
        <v>0.23002810032828097</v>
      </c>
      <c r="Q9" s="108"/>
      <c r="R9" s="48"/>
      <c r="S9" s="49">
        <f t="shared" si="1"/>
        <v>0.88114701783756488</v>
      </c>
      <c r="T9" s="49">
        <f t="shared" si="2"/>
        <v>0.27297164332725926</v>
      </c>
      <c r="U9" s="49">
        <f t="shared" si="3"/>
        <v>8.4149023082503577E-2</v>
      </c>
      <c r="V9" s="101">
        <f t="shared" si="4"/>
        <v>0.60730975550910493</v>
      </c>
      <c r="W9" s="101">
        <f t="shared" si="4"/>
        <v>0.55136385192356629</v>
      </c>
      <c r="X9" s="50"/>
      <c r="Y9" s="44"/>
      <c r="Z9" s="49">
        <f t="shared" si="5"/>
        <v>0.88114701783756488</v>
      </c>
      <c r="AA9" s="49">
        <f t="shared" si="6"/>
        <v>0.27297164332725926</v>
      </c>
      <c r="AB9" s="49">
        <f t="shared" si="7"/>
        <v>8.4149023082503577E-2</v>
      </c>
      <c r="AC9" s="101">
        <f t="shared" si="8"/>
        <v>0.60730975550910493</v>
      </c>
      <c r="AD9" s="101">
        <f t="shared" si="9"/>
        <v>0.55136385192356629</v>
      </c>
      <c r="AE9" s="50"/>
      <c r="AF9" s="50"/>
      <c r="AG9" s="51">
        <f>IF(ISERROR(Z9*100000000/'Calc-Units'!$E$23)," ",Z9*100000000/'Calc-Units'!$E$23)</f>
        <v>3.0006789197885219E-3</v>
      </c>
      <c r="AH9" s="51">
        <f>IF(ISERROR(AA9*100000000/'Calc-Units'!$D$23)," ",AA9*100000000/'Calc-Units'!$D$23)</f>
        <v>9.5162819559485058E-4</v>
      </c>
      <c r="AI9" s="51">
        <f>IF(ISERROR(AB9*100000000/'Calc-Units'!$C$23)," ",AB9*100000000/'Calc-Units'!$C$23)</f>
        <v>4.363218038084807E-4</v>
      </c>
      <c r="AJ9" s="171">
        <f>IF(ISERROR(AC9*100000000/'Calc-Units'!$C$23)," ",AC9*100000000/'Calc-Units'!$C$23)</f>
        <v>3.1489668957228297E-3</v>
      </c>
      <c r="AK9" s="52"/>
      <c r="AL9" s="45">
        <v>0.23499999999999999</v>
      </c>
      <c r="AM9" s="84">
        <f t="shared" si="10"/>
        <v>0.56328120354479982</v>
      </c>
      <c r="AN9" s="47">
        <f t="shared" si="11"/>
        <v>1.8336600881351994</v>
      </c>
      <c r="AO9" s="46"/>
      <c r="AP9" s="46"/>
      <c r="AQ9" s="49">
        <f t="shared" si="12"/>
        <v>0.67407746864573714</v>
      </c>
      <c r="AR9" s="49">
        <f t="shared" si="13"/>
        <v>0.20882330714535333</v>
      </c>
      <c r="AS9" s="49">
        <f t="shared" si="14"/>
        <v>6.4374002658115242E-2</v>
      </c>
      <c r="AT9" s="101">
        <f t="shared" si="15"/>
        <v>0.46459196296446525</v>
      </c>
      <c r="AU9" s="101">
        <f t="shared" si="16"/>
        <v>0.42179334672152824</v>
      </c>
      <c r="AV9" s="50"/>
      <c r="AW9" s="52"/>
      <c r="AX9" s="51">
        <f>IF(ISERROR(AQ9*100000000/'Calc-Units'!$E$23)," ",AQ9*100000000/'Calc-Units'!$E$23)</f>
        <v>2.2955193736382191E-3</v>
      </c>
      <c r="AY9" s="51">
        <f>IF(ISERROR(AR9*100000000/'Calc-Units'!$D$23)," ",AR9*100000000/'Calc-Units'!$D$23)</f>
        <v>7.2799556963006073E-4</v>
      </c>
      <c r="AZ9" s="51">
        <f>IF(ISERROR(AS9*100000000/'Calc-Units'!$C$23)," ",AS9*100000000/'Calc-Units'!$C$23)</f>
        <v>3.3378617991348773E-4</v>
      </c>
      <c r="BA9" s="171">
        <f>IF(ISERROR(AT9*100000000/'Calc-Units'!$C$23)," ",AT9*100000000/'Calc-Units'!$C$23)</f>
        <v>2.4089596752279647E-3</v>
      </c>
      <c r="BC9" s="55"/>
      <c r="BD9" s="44"/>
    </row>
    <row r="10" spans="1:56" s="43" customFormat="1">
      <c r="A10" s="2251"/>
      <c r="B10" s="2245"/>
      <c r="C10" s="81" t="s">
        <v>212</v>
      </c>
      <c r="D10" s="84">
        <f>'RRP 1.3'!G$12</f>
        <v>26.514424209436648</v>
      </c>
      <c r="E10" s="84">
        <f>SUM('RRP 2.3'!I20:I27)</f>
        <v>1.5815681672983535</v>
      </c>
      <c r="F10" s="84">
        <f>SUM('RRP 2.3'!I17:I18)</f>
        <v>6.2658253461024884</v>
      </c>
      <c r="G10" s="84">
        <f>SUM('RRP 2.3'!I19)</f>
        <v>0.55050054364771606</v>
      </c>
      <c r="H10" s="84">
        <f>SUM('RRP 2.3'!I11:I16)</f>
        <v>15.945861262597509</v>
      </c>
      <c r="I10" s="84">
        <f t="shared" si="0"/>
        <v>2.1706688897905817</v>
      </c>
      <c r="J10" s="46"/>
      <c r="K10" s="84" t="s">
        <v>478</v>
      </c>
      <c r="L10" s="96">
        <f>IF(ISERROR(VLOOKUP($K10,'Calc-Drivers'!$B$17:$G$27,L$43,FALSE))," ",VLOOKUP($K10,'Calc-Drivers'!$B$17:$G$27,L$43,FALSE))</f>
        <v>0.36761309961829525</v>
      </c>
      <c r="M10" s="96">
        <f>IF(ISERROR(VLOOKUP($K10,'Calc-Drivers'!$B$17:$G$27,M$43,FALSE))," ",VLOOKUP($K10,'Calc-Drivers'!$B$17:$G$27,M$43,FALSE))</f>
        <v>0.11388332466663602</v>
      </c>
      <c r="N10" s="96">
        <f>IF(ISERROR(VLOOKUP($K10,'Calc-Drivers'!$B$17:$G$27,N$43,FALSE))," ",VLOOKUP($K10,'Calc-Drivers'!$B$17:$G$27,N$43,FALSE))</f>
        <v>3.5106835271515605E-2</v>
      </c>
      <c r="O10" s="96">
        <f>IF(ISERROR(VLOOKUP($K10,'Calc-Drivers'!$B$17:$G$27,O$43,FALSE))," ",VLOOKUP($K10,'Calc-Drivers'!$B$17:$G$27,O$43,FALSE))</f>
        <v>0.25336864011527199</v>
      </c>
      <c r="P10" s="96">
        <f>IF(ISERROR(VLOOKUP($K10,'Calc-Drivers'!$B$17:$G$27,P$43,FALSE))," ",VLOOKUP($K10,'Calc-Drivers'!$B$17:$G$27,P$43,FALSE))</f>
        <v>0.23002810032828097</v>
      </c>
      <c r="Q10" s="108"/>
      <c r="R10" s="48"/>
      <c r="S10" s="49">
        <f t="shared" si="1"/>
        <v>0.79796631882091951</v>
      </c>
      <c r="T10" s="49">
        <f t="shared" si="2"/>
        <v>0.24720298991978717</v>
      </c>
      <c r="U10" s="49">
        <f t="shared" si="3"/>
        <v>7.6205315142881619E-2</v>
      </c>
      <c r="V10" s="101">
        <f t="shared" si="4"/>
        <v>0.54997942474676687</v>
      </c>
      <c r="W10" s="101">
        <f t="shared" si="4"/>
        <v>0.49931484116022617</v>
      </c>
      <c r="X10" s="50"/>
      <c r="Y10" s="44"/>
      <c r="Z10" s="49">
        <f t="shared" si="5"/>
        <v>2.3795344861192729</v>
      </c>
      <c r="AA10" s="49">
        <f t="shared" si="6"/>
        <v>6.5130283360222752</v>
      </c>
      <c r="AB10" s="49">
        <f t="shared" si="7"/>
        <v>0.6267058587905977</v>
      </c>
      <c r="AC10" s="101">
        <f t="shared" si="8"/>
        <v>8.9078785282118709</v>
      </c>
      <c r="AD10" s="101">
        <f t="shared" si="9"/>
        <v>8.087277000292632</v>
      </c>
      <c r="AE10" s="50"/>
      <c r="AF10" s="50"/>
      <c r="AG10" s="51">
        <f>IF(ISERROR(Z10*100000000/'Calc-Units'!$E$23)," ",Z10*100000000/'Calc-Units'!$E$23)</f>
        <v>8.1033230855514053E-3</v>
      </c>
      <c r="AH10" s="51">
        <f>IF(ISERROR(AA10*100000000/'Calc-Units'!$D$23)," ",AA10*100000000/'Calc-Units'!$D$23)</f>
        <v>2.2705587026255313E-2</v>
      </c>
      <c r="AI10" s="51">
        <f>IF(ISERROR(AB10*100000000/'Calc-Units'!$C$23)," ",AB10*100000000/'Calc-Units'!$C$23)</f>
        <v>3.2495377931691261E-3</v>
      </c>
      <c r="AJ10" s="171">
        <f>IF(ISERROR(AC10*100000000/'Calc-Units'!$C$23)," ",AC10*100000000/'Calc-Units'!$C$23)</f>
        <v>4.61883155045726E-2</v>
      </c>
      <c r="AK10" s="52"/>
      <c r="AL10" s="45">
        <v>0.23499999999999999</v>
      </c>
      <c r="AM10" s="84">
        <f t="shared" si="10"/>
        <v>6.2308896892176122</v>
      </c>
      <c r="AN10" s="47">
        <f t="shared" si="11"/>
        <v>20.283534520219035</v>
      </c>
      <c r="AO10" s="46"/>
      <c r="AP10" s="46"/>
      <c r="AQ10" s="49">
        <f t="shared" si="12"/>
        <v>1.8203438818812439</v>
      </c>
      <c r="AR10" s="49">
        <f t="shared" si="13"/>
        <v>4.9824666770570403</v>
      </c>
      <c r="AS10" s="49">
        <f t="shared" si="14"/>
        <v>0.47942998197480724</v>
      </c>
      <c r="AT10" s="101">
        <f t="shared" si="15"/>
        <v>6.8145270740820809</v>
      </c>
      <c r="AU10" s="101">
        <f t="shared" si="16"/>
        <v>6.1867669052238634</v>
      </c>
      <c r="AV10" s="50"/>
      <c r="AW10" s="52"/>
      <c r="AX10" s="51">
        <f>IF(ISERROR(AQ10*100000000/'Calc-Units'!$E$23)," ",AQ10*100000000/'Calc-Units'!$E$23)</f>
        <v>6.1990421604468243E-3</v>
      </c>
      <c r="AY10" s="51">
        <f>IF(ISERROR(AR10*100000000/'Calc-Units'!$D$23)," ",AR10*100000000/'Calc-Units'!$D$23)</f>
        <v>1.7369774075085311E-2</v>
      </c>
      <c r="AZ10" s="51">
        <f>IF(ISERROR(AS10*100000000/'Calc-Units'!$C$23)," ",AS10*100000000/'Calc-Units'!$C$23)</f>
        <v>2.4858964117743815E-3</v>
      </c>
      <c r="BA10" s="171">
        <f>IF(ISERROR(AT10*100000000/'Calc-Units'!$C$23)," ",AT10*100000000/'Calc-Units'!$C$23)</f>
        <v>3.5334061360998037E-2</v>
      </c>
      <c r="BC10" s="55"/>
      <c r="BD10" s="44"/>
    </row>
    <row r="11" spans="1:56" s="43" customFormat="1">
      <c r="A11" s="2251"/>
      <c r="B11" s="2245"/>
      <c r="C11" s="81" t="s">
        <v>357</v>
      </c>
      <c r="D11" s="84">
        <f>'RRP 1.3'!H$12</f>
        <v>11.606716180984</v>
      </c>
      <c r="E11" s="84">
        <f>SUM('RRP 2.3'!G20:G27)</f>
        <v>4.3025137775305708</v>
      </c>
      <c r="F11" s="84">
        <f>SUM('RRP 2.3'!G17:G18)</f>
        <v>0.50908962554451409</v>
      </c>
      <c r="G11" s="110">
        <f>SUM('RRP 2.3'!G19)</f>
        <v>4.2769388247393829</v>
      </c>
      <c r="H11" s="84">
        <f>SUM('RRP 2.3'!G11:G16)</f>
        <v>1.219180953169533</v>
      </c>
      <c r="I11" s="84">
        <f t="shared" si="0"/>
        <v>1.2989929999999987</v>
      </c>
      <c r="J11" s="46"/>
      <c r="K11" s="86" t="s">
        <v>478</v>
      </c>
      <c r="L11" s="96">
        <f>IF(ISERROR(VLOOKUP($K11,'Calc-Drivers'!$B$17:$G$27,L$43,FALSE))," ",VLOOKUP($K11,'Calc-Drivers'!$B$17:$G$27,L$43,FALSE))</f>
        <v>0.36761309961829525</v>
      </c>
      <c r="M11" s="96">
        <f>IF(ISERROR(VLOOKUP($K11,'Calc-Drivers'!$B$17:$G$27,M$43,FALSE))," ",VLOOKUP($K11,'Calc-Drivers'!$B$17:$G$27,M$43,FALSE))</f>
        <v>0.11388332466663602</v>
      </c>
      <c r="N11" s="96">
        <f>IF(ISERROR(VLOOKUP($K11,'Calc-Drivers'!$B$17:$G$27,N$43,FALSE))," ",VLOOKUP($K11,'Calc-Drivers'!$B$17:$G$27,N$43,FALSE))</f>
        <v>3.5106835271515605E-2</v>
      </c>
      <c r="O11" s="96">
        <f>IF(ISERROR(VLOOKUP($K11,'Calc-Drivers'!$B$17:$G$27,O$43,FALSE))," ",VLOOKUP($K11,'Calc-Drivers'!$B$17:$G$27,O$43,FALSE))</f>
        <v>0.25336864011527199</v>
      </c>
      <c r="P11" s="96">
        <f>IF(ISERROR(VLOOKUP($K11,'Calc-Drivers'!$B$17:$G$27,P$43,FALSE))," ",VLOOKUP($K11,'Calc-Drivers'!$B$17:$G$27,P$43,FALSE))</f>
        <v>0.23002810032828097</v>
      </c>
      <c r="Q11" s="108"/>
      <c r="R11" s="48"/>
      <c r="S11" s="49">
        <f t="shared" si="1"/>
        <v>0.47752684311246774</v>
      </c>
      <c r="T11" s="49">
        <f t="shared" si="2"/>
        <v>0.14793364155868738</v>
      </c>
      <c r="U11" s="49">
        <f t="shared" si="3"/>
        <v>4.5603533269851823E-2</v>
      </c>
      <c r="V11" s="101">
        <f t="shared" si="4"/>
        <v>0.32912408992925718</v>
      </c>
      <c r="W11" s="101">
        <f t="shared" si="4"/>
        <v>0.29880489212973438</v>
      </c>
      <c r="X11" s="50"/>
      <c r="Y11" s="44"/>
      <c r="Z11" s="49">
        <f t="shared" si="5"/>
        <v>4.7800406206430388</v>
      </c>
      <c r="AA11" s="49">
        <f t="shared" si="6"/>
        <v>0.65702326710320147</v>
      </c>
      <c r="AB11" s="49">
        <f t="shared" si="7"/>
        <v>4.322542358009235</v>
      </c>
      <c r="AC11" s="101">
        <f t="shared" si="8"/>
        <v>0.96814829988889528</v>
      </c>
      <c r="AD11" s="101">
        <f t="shared" si="9"/>
        <v>0.87896163533962923</v>
      </c>
      <c r="AE11" s="50"/>
      <c r="AF11" s="50"/>
      <c r="AG11" s="51">
        <f>IF(ISERROR(Z11*100000000/'Calc-Units'!$E$23)," ",Z11*100000000/'Calc-Units'!$E$23)</f>
        <v>1.6278063519180562E-2</v>
      </c>
      <c r="AH11" s="51">
        <f>IF(ISERROR(AA11*100000000/'Calc-Units'!$D$23)," ",AA11*100000000/'Calc-Units'!$D$23)</f>
        <v>2.2905011616450779E-3</v>
      </c>
      <c r="AI11" s="51">
        <f>IF(ISERROR(AB11*100000000/'Calc-Units'!$C$23)," ",AB11*100000000/'Calc-Units'!$C$23)</f>
        <v>2.241285055485448E-2</v>
      </c>
      <c r="AJ11" s="171">
        <f>IF(ISERROR(AC11*100000000/'Calc-Units'!$C$23)," ",AC11*100000000/'Calc-Units'!$C$23)</f>
        <v>5.0199538519594281E-3</v>
      </c>
      <c r="AK11" s="52"/>
      <c r="AL11" s="45">
        <v>0.23499999999999999</v>
      </c>
      <c r="AM11" s="84">
        <f t="shared" si="10"/>
        <v>2.7275783025312399</v>
      </c>
      <c r="AN11" s="47">
        <f t="shared" si="11"/>
        <v>8.8791378784527595</v>
      </c>
      <c r="AO11" s="46"/>
      <c r="AP11" s="46"/>
      <c r="AQ11" s="105">
        <f t="shared" si="12"/>
        <v>3.6567310747919248</v>
      </c>
      <c r="AR11" s="105">
        <f t="shared" si="13"/>
        <v>0.50262279933394916</v>
      </c>
      <c r="AS11" s="105">
        <f t="shared" si="14"/>
        <v>3.3067449038770649</v>
      </c>
      <c r="AT11" s="102">
        <f t="shared" si="15"/>
        <v>0.74063344941500486</v>
      </c>
      <c r="AU11" s="102">
        <f t="shared" si="16"/>
        <v>0.67240565103481642</v>
      </c>
      <c r="AV11" s="50"/>
      <c r="AW11" s="52"/>
      <c r="AX11" s="172">
        <f>IF(ISERROR(AQ11*100000000/'Calc-Units'!$E$23)," ",AQ11*100000000/'Calc-Units'!$E$23)</f>
        <v>1.245271859217313E-2</v>
      </c>
      <c r="AY11" s="172">
        <f>IF(ISERROR(AR11*100000000/'Calc-Units'!$D$23)," ",AR11*100000000/'Calc-Units'!$D$23)</f>
        <v>1.7522333886584847E-3</v>
      </c>
      <c r="AZ11" s="172">
        <f>IF(ISERROR(AS11*100000000/'Calc-Units'!$C$23)," ",AS11*100000000/'Calc-Units'!$C$23)</f>
        <v>1.7145830674463677E-2</v>
      </c>
      <c r="BA11" s="173">
        <f>IF(ISERROR(AT11*100000000/'Calc-Units'!$C$23)," ",AT11*100000000/'Calc-Units'!$C$23)</f>
        <v>3.8402646967489623E-3</v>
      </c>
      <c r="BC11" s="55"/>
      <c r="BD11" s="44"/>
    </row>
    <row r="12" spans="1:56" s="43" customFormat="1" ht="16.5" customHeight="1">
      <c r="A12" s="2252"/>
      <c r="B12" s="2246"/>
      <c r="C12" s="168" t="s">
        <v>214</v>
      </c>
      <c r="D12" s="94">
        <f>'RRP 1.3'!I$12</f>
        <v>3.1208690599999995</v>
      </c>
      <c r="E12" s="94">
        <f>'RRP 2.3'!G46+'RRP 2.3'!G47</f>
        <v>0.81105305641463454</v>
      </c>
      <c r="F12" s="94">
        <f>'RRP 2.3'!G45</f>
        <v>3.8399956961413602</v>
      </c>
      <c r="G12" s="95">
        <v>0</v>
      </c>
      <c r="H12" s="94">
        <f>'RRP 2.3'!G44</f>
        <v>2.6698203074440059</v>
      </c>
      <c r="I12" s="94">
        <f t="shared" si="0"/>
        <v>-4.2000000000000011</v>
      </c>
      <c r="J12" s="46"/>
      <c r="K12" s="103" t="s">
        <v>478</v>
      </c>
      <c r="L12" s="170">
        <f>IF(ISERROR(VLOOKUP($K12,'Calc-Drivers'!$B$17:$G$27,L$43,FALSE))," ",VLOOKUP($K12,'Calc-Drivers'!$B$17:$G$27,L$43,FALSE))</f>
        <v>0.36761309961829525</v>
      </c>
      <c r="M12" s="170">
        <f>IF(ISERROR(VLOOKUP($K12,'Calc-Drivers'!$B$17:$G$27,M$43,FALSE))," ",VLOOKUP($K12,'Calc-Drivers'!$B$17:$G$27,M$43,FALSE))</f>
        <v>0.11388332466663602</v>
      </c>
      <c r="N12" s="170">
        <f>IF(ISERROR(VLOOKUP($K12,'Calc-Drivers'!$B$17:$G$27,N$43,FALSE))," ",VLOOKUP($K12,'Calc-Drivers'!$B$17:$G$27,N$43,FALSE))</f>
        <v>3.5106835271515605E-2</v>
      </c>
      <c r="O12" s="170">
        <f>IF(ISERROR(VLOOKUP($K12,'Calc-Drivers'!$B$17:$G$27,O$43,FALSE))," ",VLOOKUP($K12,'Calc-Drivers'!$B$17:$G$27,O$43,FALSE))</f>
        <v>0.25336864011527199</v>
      </c>
      <c r="P12" s="170">
        <f>IF(ISERROR(VLOOKUP($K12,'Calc-Drivers'!$B$17:$G$27,P$43,FALSE))," ",VLOOKUP($K12,'Calc-Drivers'!$B$17:$G$27,P$43,FALSE))</f>
        <v>0.23002810032828097</v>
      </c>
      <c r="Q12" s="108"/>
      <c r="R12" s="48"/>
      <c r="S12" s="105">
        <f t="shared" si="1"/>
        <v>-1.5439750183968404</v>
      </c>
      <c r="T12" s="105">
        <f t="shared" si="2"/>
        <v>-0.47830996359987138</v>
      </c>
      <c r="U12" s="105">
        <f t="shared" si="3"/>
        <v>-0.14744870814036556</v>
      </c>
      <c r="V12" s="102">
        <f t="shared" si="4"/>
        <v>-1.0641482884841427</v>
      </c>
      <c r="W12" s="102">
        <f t="shared" si="4"/>
        <v>-0.96611802137878033</v>
      </c>
      <c r="X12" s="50"/>
      <c r="Y12" s="44"/>
      <c r="Z12" s="105">
        <f t="shared" si="5"/>
        <v>-0.73292196198220583</v>
      </c>
      <c r="AA12" s="105">
        <f t="shared" si="6"/>
        <v>3.3616857325414888</v>
      </c>
      <c r="AB12" s="105">
        <f t="shared" si="7"/>
        <v>-0.14744870814036556</v>
      </c>
      <c r="AC12" s="102">
        <f t="shared" si="8"/>
        <v>0.33521725135903546</v>
      </c>
      <c r="AD12" s="102">
        <f t="shared" si="9"/>
        <v>0.30433674622204743</v>
      </c>
      <c r="AE12" s="50"/>
      <c r="AF12" s="50"/>
      <c r="AG12" s="172">
        <f>IF(ISERROR(Z12*100000000/'Calc-Units'!$E$23)," ",Z12*100000000/'Calc-Units'!$E$23)</f>
        <v>-2.4959098046626682E-3</v>
      </c>
      <c r="AH12" s="172">
        <f>IF(ISERROR(AA12*100000000/'Calc-Units'!$D$23)," ",AA12*100000000/'Calc-Units'!$D$23)</f>
        <v>1.1719440484080301E-2</v>
      </c>
      <c r="AI12" s="172">
        <f>IF(ISERROR(AB12*100000000/'Calc-Units'!$C$23)," ",AB12*100000000/'Calc-Units'!$C$23)</f>
        <v>-7.6453753054218378E-4</v>
      </c>
      <c r="AJ12" s="173">
        <f>IF(ISERROR(AC12*100000000/'Calc-Units'!$C$23)," ",AC12*100000000/'Calc-Units'!$C$23)</f>
        <v>1.7381377753761041E-3</v>
      </c>
      <c r="AK12" s="52"/>
      <c r="AL12" s="174">
        <v>0.23499999999999999</v>
      </c>
      <c r="AM12" s="94">
        <f t="shared" si="10"/>
        <v>0.7334042290999998</v>
      </c>
      <c r="AN12" s="175">
        <f t="shared" si="11"/>
        <v>2.3874648308999995</v>
      </c>
      <c r="AO12" s="46"/>
      <c r="AP12" s="46"/>
      <c r="AQ12" s="104">
        <f t="shared" si="12"/>
        <v>-0.56068530091638746</v>
      </c>
      <c r="AR12" s="104">
        <f t="shared" si="13"/>
        <v>2.571689585394239</v>
      </c>
      <c r="AS12" s="104">
        <f t="shared" si="14"/>
        <v>-0.11279826172737965</v>
      </c>
      <c r="AT12" s="100">
        <f t="shared" si="15"/>
        <v>0.25644119728966214</v>
      </c>
      <c r="AU12" s="100">
        <f t="shared" si="16"/>
        <v>0.2328176108598663</v>
      </c>
      <c r="AV12" s="50"/>
      <c r="AW12" s="52"/>
      <c r="AX12" s="198">
        <f>IF(ISERROR(AQ12*100000000/'Calc-Units'!$E$23)," ",AQ12*100000000/'Calc-Units'!$E$23)</f>
        <v>-1.9093710005669412E-3</v>
      </c>
      <c r="AY12" s="198">
        <f>IF(ISERROR(AR12*100000000/'Calc-Units'!$D$23)," ",AR12*100000000/'Calc-Units'!$D$23)</f>
        <v>8.9653719703214306E-3</v>
      </c>
      <c r="AZ12" s="198">
        <f>IF(ISERROR(AS12*100000000/'Calc-Units'!$C$23)," ",AS12*100000000/'Calc-Units'!$C$23)</f>
        <v>-5.8487121086477057E-4</v>
      </c>
      <c r="BA12" s="199">
        <f>IF(ISERROR(AT12*100000000/'Calc-Units'!$C$23)," ",AT12*100000000/'Calc-Units'!$C$23)</f>
        <v>1.3296753981627198E-3</v>
      </c>
      <c r="BC12" s="55"/>
      <c r="BD12" s="44"/>
    </row>
    <row r="13" spans="1:56" s="58" customFormat="1" ht="12.75" customHeight="1">
      <c r="A13" s="59"/>
      <c r="B13" s="2247" t="s">
        <v>71</v>
      </c>
      <c r="C13" s="82" t="s">
        <v>59</v>
      </c>
      <c r="D13" s="86">
        <f>'RRP 1.3'!J$12</f>
        <v>0.63889207162799966</v>
      </c>
      <c r="E13" s="86">
        <v>0</v>
      </c>
      <c r="F13" s="86">
        <v>0</v>
      </c>
      <c r="G13" s="86">
        <v>0</v>
      </c>
      <c r="H13" s="86">
        <v>0</v>
      </c>
      <c r="I13" s="86">
        <f t="shared" si="0"/>
        <v>0.63889207162799966</v>
      </c>
      <c r="J13" s="54"/>
      <c r="K13" s="86" t="s">
        <v>478</v>
      </c>
      <c r="L13" s="96">
        <f>IF(ISERROR(VLOOKUP($K13,'Calc-Drivers'!$B$17:$G$27,L$43,FALSE))," ",VLOOKUP($K13,'Calc-Drivers'!$B$17:$G$27,L$43,FALSE))</f>
        <v>0.36761309961829525</v>
      </c>
      <c r="M13" s="96">
        <f>IF(ISERROR(VLOOKUP($K13,'Calc-Drivers'!$B$17:$G$27,M$43,FALSE))," ",VLOOKUP($K13,'Calc-Drivers'!$B$17:$G$27,M$43,FALSE))</f>
        <v>0.11388332466663602</v>
      </c>
      <c r="N13" s="96">
        <f>IF(ISERROR(VLOOKUP($K13,'Calc-Drivers'!$B$17:$G$27,N$43,FALSE))," ",VLOOKUP($K13,'Calc-Drivers'!$B$17:$G$27,N$43,FALSE))</f>
        <v>3.5106835271515605E-2</v>
      </c>
      <c r="O13" s="96">
        <f>IF(ISERROR(VLOOKUP($K13,'Calc-Drivers'!$B$17:$G$27,O$43,FALSE))," ",VLOOKUP($K13,'Calc-Drivers'!$B$17:$G$27,O$43,FALSE))</f>
        <v>0.25336864011527199</v>
      </c>
      <c r="P13" s="96">
        <f>IF(ISERROR(VLOOKUP($K13,'Calc-Drivers'!$B$17:$G$27,P$43,FALSE))," ",VLOOKUP($K13,'Calc-Drivers'!$B$17:$G$27,P$43,FALSE))</f>
        <v>0.23002810032828097</v>
      </c>
      <c r="Q13" s="108"/>
      <c r="R13" s="48"/>
      <c r="S13" s="49">
        <f t="shared" si="1"/>
        <v>0.23486509477272285</v>
      </c>
      <c r="T13" s="49">
        <f t="shared" si="2"/>
        <v>7.2759153220151154E-2</v>
      </c>
      <c r="U13" s="49">
        <f t="shared" si="3"/>
        <v>2.2429478714921531E-2</v>
      </c>
      <c r="V13" s="101">
        <f t="shared" si="4"/>
        <v>0.16187521536881522</v>
      </c>
      <c r="W13" s="101">
        <f t="shared" si="4"/>
        <v>0.14696312955138877</v>
      </c>
      <c r="X13" s="50"/>
      <c r="Y13" s="55"/>
      <c r="Z13" s="104">
        <f t="shared" si="5"/>
        <v>0.23486509477272285</v>
      </c>
      <c r="AA13" s="104">
        <f t="shared" si="6"/>
        <v>7.2759153220151154E-2</v>
      </c>
      <c r="AB13" s="104">
        <f t="shared" si="7"/>
        <v>2.2429478714921531E-2</v>
      </c>
      <c r="AC13" s="100">
        <f t="shared" si="8"/>
        <v>0.16187521536881522</v>
      </c>
      <c r="AD13" s="100">
        <f t="shared" si="9"/>
        <v>0.14696312955138877</v>
      </c>
      <c r="AE13" s="50"/>
      <c r="AF13" s="56"/>
      <c r="AG13" s="198">
        <f>IF(ISERROR(Z13*100000000/'Calc-Units'!$E$23)," ",Z13*100000000/'Calc-Units'!$E$23)</f>
        <v>7.9981515526000553E-4</v>
      </c>
      <c r="AH13" s="198">
        <f>IF(ISERROR(AA13*100000000/'Calc-Units'!$D$23)," ",AA13*100000000/'Calc-Units'!$D$23)</f>
        <v>2.5365148133314313E-4</v>
      </c>
      <c r="AI13" s="198">
        <f>IF(ISERROR(AB13*100000000/'Calc-Units'!$C$23)," ",AB13*100000000/'Calc-Units'!$C$23)</f>
        <v>1.1629927779177398E-4</v>
      </c>
      <c r="AJ13" s="199">
        <f>IF(ISERROR(AC13*100000000/'Calc-Units'!$C$23)," ",AC13*100000000/'Calc-Units'!$C$23)</f>
        <v>8.393405339044655E-4</v>
      </c>
      <c r="AK13" s="57"/>
      <c r="AL13" s="200">
        <v>0.52569999999999995</v>
      </c>
      <c r="AM13" s="85">
        <f t="shared" si="10"/>
        <v>0.33586556205483936</v>
      </c>
      <c r="AN13" s="195">
        <f t="shared" si="11"/>
        <v>0.3030265095731603</v>
      </c>
      <c r="AO13" s="46"/>
      <c r="AP13" s="46"/>
      <c r="AQ13" s="49">
        <f t="shared" si="12"/>
        <v>0.11139651445070246</v>
      </c>
      <c r="AR13" s="49">
        <f t="shared" si="13"/>
        <v>3.4509666372317699E-2</v>
      </c>
      <c r="AS13" s="49">
        <f t="shared" si="14"/>
        <v>1.0638301754487283E-2</v>
      </c>
      <c r="AT13" s="101">
        <f t="shared" si="15"/>
        <v>7.6777414649429068E-2</v>
      </c>
      <c r="AU13" s="101">
        <f t="shared" si="16"/>
        <v>6.9704612346223702E-2</v>
      </c>
      <c r="AV13" s="50"/>
      <c r="AW13" s="57"/>
      <c r="AX13" s="51">
        <f>IF(ISERROR(AQ13*100000000/'Calc-Units'!$E$23)," ",AQ13*100000000/'Calc-Units'!$E$23)</f>
        <v>3.7935232813982061E-4</v>
      </c>
      <c r="AY13" s="51">
        <f>IF(ISERROR(AR13*100000000/'Calc-Units'!$D$23)," ",AR13*100000000/'Calc-Units'!$D$23)</f>
        <v>1.2030689759630982E-4</v>
      </c>
      <c r="AZ13" s="51">
        <f>IF(ISERROR(AS13*100000000/'Calc-Units'!$C$23)," ",AS13*100000000/'Calc-Units'!$C$23)</f>
        <v>5.5160747456638407E-5</v>
      </c>
      <c r="BA13" s="171">
        <f>IF(ISERROR(AT13*100000000/'Calc-Units'!$C$23)," ",AT13*100000000/'Calc-Units'!$C$23)</f>
        <v>3.9809921523088803E-4</v>
      </c>
      <c r="BC13" s="55"/>
      <c r="BD13" s="55"/>
    </row>
    <row r="14" spans="1:56" s="58" customFormat="1">
      <c r="A14" s="59"/>
      <c r="B14" s="2248"/>
      <c r="C14" s="82" t="s">
        <v>60</v>
      </c>
      <c r="D14" s="86">
        <f>'RRP 1.3'!K$12</f>
        <v>5.1305774955097965</v>
      </c>
      <c r="E14" s="86">
        <v>0</v>
      </c>
      <c r="F14" s="86">
        <v>0</v>
      </c>
      <c r="G14" s="86">
        <v>0</v>
      </c>
      <c r="H14" s="86">
        <v>0</v>
      </c>
      <c r="I14" s="86">
        <f t="shared" si="0"/>
        <v>5.1305774955097965</v>
      </c>
      <c r="J14" s="54"/>
      <c r="K14" s="86" t="s">
        <v>478</v>
      </c>
      <c r="L14" s="96">
        <f>IF(ISERROR(VLOOKUP($K14,'Calc-Drivers'!$B$17:$G$27,L$43,FALSE))," ",VLOOKUP($K14,'Calc-Drivers'!$B$17:$G$27,L$43,FALSE))</f>
        <v>0.36761309961829525</v>
      </c>
      <c r="M14" s="96">
        <f>IF(ISERROR(VLOOKUP($K14,'Calc-Drivers'!$B$17:$G$27,M$43,FALSE))," ",VLOOKUP($K14,'Calc-Drivers'!$B$17:$G$27,M$43,FALSE))</f>
        <v>0.11388332466663602</v>
      </c>
      <c r="N14" s="96">
        <f>IF(ISERROR(VLOOKUP($K14,'Calc-Drivers'!$B$17:$G$27,N$43,FALSE))," ",VLOOKUP($K14,'Calc-Drivers'!$B$17:$G$27,N$43,FALSE))</f>
        <v>3.5106835271515605E-2</v>
      </c>
      <c r="O14" s="96">
        <f>IF(ISERROR(VLOOKUP($K14,'Calc-Drivers'!$B$17:$G$27,O$43,FALSE))," ",VLOOKUP($K14,'Calc-Drivers'!$B$17:$G$27,O$43,FALSE))</f>
        <v>0.25336864011527199</v>
      </c>
      <c r="P14" s="96">
        <f>IF(ISERROR(VLOOKUP($K14,'Calc-Drivers'!$B$17:$G$27,P$43,FALSE))," ",VLOOKUP($K14,'Calc-Drivers'!$B$17:$G$27,P$43,FALSE))</f>
        <v>0.23002810032828097</v>
      </c>
      <c r="Q14" s="108"/>
      <c r="R14" s="48"/>
      <c r="S14" s="49">
        <f t="shared" si="1"/>
        <v>1.8860674959562265</v>
      </c>
      <c r="T14" s="49">
        <f t="shared" si="2"/>
        <v>0.58428722264847843</v>
      </c>
      <c r="U14" s="49">
        <f t="shared" si="3"/>
        <v>0.18011833898260751</v>
      </c>
      <c r="V14" s="101">
        <f t="shared" si="4"/>
        <v>1.2999274430433352</v>
      </c>
      <c r="W14" s="101">
        <f t="shared" si="4"/>
        <v>1.1801769948791481</v>
      </c>
      <c r="X14" s="50"/>
      <c r="Y14" s="55"/>
      <c r="Z14" s="49">
        <f t="shared" si="5"/>
        <v>1.8860674959562265</v>
      </c>
      <c r="AA14" s="49">
        <f t="shared" si="6"/>
        <v>0.58428722264847843</v>
      </c>
      <c r="AB14" s="49">
        <f t="shared" si="7"/>
        <v>0.18011833898260751</v>
      </c>
      <c r="AC14" s="101">
        <f t="shared" si="8"/>
        <v>1.2999274430433352</v>
      </c>
      <c r="AD14" s="101">
        <f t="shared" si="9"/>
        <v>1.1801769948791481</v>
      </c>
      <c r="AE14" s="50"/>
      <c r="AF14" s="56"/>
      <c r="AG14" s="51">
        <f>IF(ISERROR(Z14*100000000/'Calc-Units'!$E$23)," ",Z14*100000000/'Calc-Units'!$E$23)</f>
        <v>6.4228589121293148E-3</v>
      </c>
      <c r="AH14" s="51">
        <f>IF(ISERROR(AA14*100000000/'Calc-Units'!$D$23)," ",AA14*100000000/'Calc-Units'!$D$23)</f>
        <v>2.0369302416203502E-3</v>
      </c>
      <c r="AI14" s="51">
        <f>IF(ISERROR(AB14*100000000/'Calc-Units'!$C$23)," ",AB14*100000000/'Calc-Units'!$C$23)</f>
        <v>9.3393310682675259E-4</v>
      </c>
      <c r="AJ14" s="171">
        <f>IF(ISERROR(AC14*100000000/'Calc-Units'!$C$23)," ",AC14*100000000/'Calc-Units'!$C$23)</f>
        <v>6.7402646637111643E-3</v>
      </c>
      <c r="AK14" s="57"/>
      <c r="AL14" s="53">
        <v>0.52569999999999995</v>
      </c>
      <c r="AM14" s="84">
        <f t="shared" si="10"/>
        <v>2.6971445893894996</v>
      </c>
      <c r="AN14" s="47">
        <f t="shared" si="11"/>
        <v>2.4334329061202968</v>
      </c>
      <c r="AO14" s="46"/>
      <c r="AP14" s="46"/>
      <c r="AQ14" s="49">
        <f t="shared" si="12"/>
        <v>0.89456181333203832</v>
      </c>
      <c r="AR14" s="49">
        <f t="shared" si="13"/>
        <v>0.27712742970217336</v>
      </c>
      <c r="AS14" s="49">
        <f t="shared" si="14"/>
        <v>8.5430128179450754E-2</v>
      </c>
      <c r="AT14" s="101">
        <f t="shared" si="15"/>
        <v>0.61655558623545392</v>
      </c>
      <c r="AU14" s="101">
        <f t="shared" si="16"/>
        <v>0.55975794867118001</v>
      </c>
      <c r="AV14" s="50"/>
      <c r="AW14" s="57"/>
      <c r="AX14" s="51">
        <f>IF(ISERROR(AQ14*100000000/'Calc-Units'!$E$23)," ",AQ14*100000000/'Calc-Units'!$E$23)</f>
        <v>3.0463619820229344E-3</v>
      </c>
      <c r="AY14" s="51">
        <f>IF(ISERROR(AR14*100000000/'Calc-Units'!$D$23)," ",AR14*100000000/'Calc-Units'!$D$23)</f>
        <v>9.661160136005322E-4</v>
      </c>
      <c r="AZ14" s="51">
        <f>IF(ISERROR(AS14*100000000/'Calc-Units'!$C$23)," ",AS14*100000000/'Calc-Units'!$C$23)</f>
        <v>4.4296447256792886E-4</v>
      </c>
      <c r="BA14" s="171">
        <f>IF(ISERROR(AT14*100000000/'Calc-Units'!$C$23)," ",AT14*100000000/'Calc-Units'!$C$23)</f>
        <v>3.1969075299982056E-3</v>
      </c>
      <c r="BC14" s="55"/>
      <c r="BD14" s="55"/>
    </row>
    <row r="15" spans="1:56" s="58" customFormat="1">
      <c r="A15" s="59"/>
      <c r="B15" s="2248"/>
      <c r="C15" s="82" t="s">
        <v>61</v>
      </c>
      <c r="D15" s="86">
        <f>'RRP 1.3'!L$12</f>
        <v>2.2167176620892537</v>
      </c>
      <c r="E15" s="86">
        <v>0</v>
      </c>
      <c r="F15" s="86">
        <v>0</v>
      </c>
      <c r="G15" s="86">
        <v>0</v>
      </c>
      <c r="H15" s="86">
        <v>0</v>
      </c>
      <c r="I15" s="86">
        <f t="shared" si="0"/>
        <v>2.2167176620892537</v>
      </c>
      <c r="J15" s="54"/>
      <c r="K15" s="86" t="s">
        <v>478</v>
      </c>
      <c r="L15" s="96">
        <f>IF(ISERROR(VLOOKUP($K15,'Calc-Drivers'!$B$17:$G$27,L$43,FALSE))," ",VLOOKUP($K15,'Calc-Drivers'!$B$17:$G$27,L$43,FALSE))</f>
        <v>0.36761309961829525</v>
      </c>
      <c r="M15" s="96">
        <f>IF(ISERROR(VLOOKUP($K15,'Calc-Drivers'!$B$17:$G$27,M$43,FALSE))," ",VLOOKUP($K15,'Calc-Drivers'!$B$17:$G$27,M$43,FALSE))</f>
        <v>0.11388332466663602</v>
      </c>
      <c r="N15" s="96">
        <f>IF(ISERROR(VLOOKUP($K15,'Calc-Drivers'!$B$17:$G$27,N$43,FALSE))," ",VLOOKUP($K15,'Calc-Drivers'!$B$17:$G$27,N$43,FALSE))</f>
        <v>3.5106835271515605E-2</v>
      </c>
      <c r="O15" s="96">
        <f>IF(ISERROR(VLOOKUP($K15,'Calc-Drivers'!$B$17:$G$27,O$43,FALSE))," ",VLOOKUP($K15,'Calc-Drivers'!$B$17:$G$27,O$43,FALSE))</f>
        <v>0.25336864011527199</v>
      </c>
      <c r="P15" s="96">
        <f>IF(ISERROR(VLOOKUP($K15,'Calc-Drivers'!$B$17:$G$27,P$43,FALSE))," ",VLOOKUP($K15,'Calc-Drivers'!$B$17:$G$27,P$43,FALSE))</f>
        <v>0.23002810032828097</v>
      </c>
      <c r="Q15" s="108"/>
      <c r="R15" s="48"/>
      <c r="S15" s="49">
        <f t="shared" si="1"/>
        <v>0.81489445073925137</v>
      </c>
      <c r="T15" s="49">
        <f t="shared" si="2"/>
        <v>0.25244717720597681</v>
      </c>
      <c r="U15" s="49">
        <f t="shared" si="3"/>
        <v>7.7821941806426626E-2</v>
      </c>
      <c r="V15" s="101">
        <f t="shared" si="4"/>
        <v>0.56164673956305922</v>
      </c>
      <c r="W15" s="101">
        <f t="shared" si="4"/>
        <v>0.50990735277453925</v>
      </c>
      <c r="X15" s="50"/>
      <c r="Y15" s="55"/>
      <c r="Z15" s="49">
        <f t="shared" si="5"/>
        <v>0.81489445073925137</v>
      </c>
      <c r="AA15" s="49">
        <f t="shared" si="6"/>
        <v>0.25244717720597681</v>
      </c>
      <c r="AB15" s="49">
        <f t="shared" si="7"/>
        <v>7.7821941806426626E-2</v>
      </c>
      <c r="AC15" s="101">
        <f t="shared" si="8"/>
        <v>0.56164673956305922</v>
      </c>
      <c r="AD15" s="101">
        <f t="shared" si="9"/>
        <v>0.50990735277453925</v>
      </c>
      <c r="AE15" s="50"/>
      <c r="AF15" s="56"/>
      <c r="AG15" s="51">
        <f>IF(ISERROR(Z15*100000000/'Calc-Units'!$E$23)," ",Z15*100000000/'Calc-Units'!$E$23)</f>
        <v>2.7750608589549638E-3</v>
      </c>
      <c r="AH15" s="51">
        <f>IF(ISERROR(AA15*100000000/'Calc-Units'!$D$23)," ",AA15*100000000/'Calc-Units'!$D$23)</f>
        <v>8.8007621890426216E-4</v>
      </c>
      <c r="AI15" s="51">
        <f>IF(ISERROR(AB15*100000000/'Calc-Units'!$C$23)," ",AB15*100000000/'Calc-Units'!$C$23)</f>
        <v>4.0351520173403829E-4</v>
      </c>
      <c r="AJ15" s="171">
        <f>IF(ISERROR(AC15*100000000/'Calc-Units'!$C$23)," ",AC15*100000000/'Calc-Units'!$C$23)</f>
        <v>2.9121992095979426E-3</v>
      </c>
      <c r="AK15" s="57"/>
      <c r="AL15" s="53">
        <v>0.52569999999999995</v>
      </c>
      <c r="AM15" s="84">
        <f t="shared" si="10"/>
        <v>1.1653284749603205</v>
      </c>
      <c r="AN15" s="47">
        <f t="shared" si="11"/>
        <v>1.0513891871289331</v>
      </c>
      <c r="AO15" s="46"/>
      <c r="AP15" s="46"/>
      <c r="AQ15" s="49">
        <f t="shared" si="12"/>
        <v>0.38650443798562695</v>
      </c>
      <c r="AR15" s="49">
        <f t="shared" si="13"/>
        <v>0.11973569614879481</v>
      </c>
      <c r="AS15" s="49">
        <f t="shared" si="14"/>
        <v>3.6910946998788149E-2</v>
      </c>
      <c r="AT15" s="101">
        <f t="shared" si="15"/>
        <v>0.26638904857475904</v>
      </c>
      <c r="AU15" s="101">
        <f t="shared" si="16"/>
        <v>0.24184905742096399</v>
      </c>
      <c r="AV15" s="50"/>
      <c r="AW15" s="57"/>
      <c r="AX15" s="51">
        <f>IF(ISERROR(AQ15*100000000/'Calc-Units'!$E$23)," ",AQ15*100000000/'Calc-Units'!$E$23)</f>
        <v>1.3162113654023393E-3</v>
      </c>
      <c r="AY15" s="51">
        <f>IF(ISERROR(AR15*100000000/'Calc-Units'!$D$23)," ",AR15*100000000/'Calc-Units'!$D$23)</f>
        <v>4.174201506262916E-4</v>
      </c>
      <c r="AZ15" s="51">
        <f>IF(ISERROR(AS15*100000000/'Calc-Units'!$C$23)," ",AS15*100000000/'Calc-Units'!$C$23)</f>
        <v>1.9138726018245439E-4</v>
      </c>
      <c r="BA15" s="171">
        <f>IF(ISERROR(AT15*100000000/'Calc-Units'!$C$23)," ",AT15*100000000/'Calc-Units'!$C$23)</f>
        <v>1.3812560851123043E-3</v>
      </c>
      <c r="BC15" s="55"/>
      <c r="BD15" s="55"/>
    </row>
    <row r="16" spans="1:56" s="58" customFormat="1">
      <c r="A16" s="59"/>
      <c r="B16" s="2248"/>
      <c r="C16" s="82" t="s">
        <v>62</v>
      </c>
      <c r="D16" s="86">
        <f>'RRP 1.3'!M$12</f>
        <v>16.939612814221448</v>
      </c>
      <c r="E16" s="86">
        <v>0</v>
      </c>
      <c r="F16" s="86">
        <v>0</v>
      </c>
      <c r="G16" s="86">
        <v>0</v>
      </c>
      <c r="H16" s="86">
        <v>0</v>
      </c>
      <c r="I16" s="86">
        <f t="shared" si="0"/>
        <v>16.939612814221448</v>
      </c>
      <c r="J16" s="54"/>
      <c r="K16" s="86" t="s">
        <v>478</v>
      </c>
      <c r="L16" s="96">
        <f>IF(ISERROR(VLOOKUP($K16,'Calc-Drivers'!$B$17:$G$27,L$43,FALSE))," ",VLOOKUP($K16,'Calc-Drivers'!$B$17:$G$27,L$43,FALSE))</f>
        <v>0.36761309961829525</v>
      </c>
      <c r="M16" s="96">
        <f>IF(ISERROR(VLOOKUP($K16,'Calc-Drivers'!$B$17:$G$27,M$43,FALSE))," ",VLOOKUP($K16,'Calc-Drivers'!$B$17:$G$27,M$43,FALSE))</f>
        <v>0.11388332466663602</v>
      </c>
      <c r="N16" s="96">
        <f>IF(ISERROR(VLOOKUP($K16,'Calc-Drivers'!$B$17:$G$27,N$43,FALSE))," ",VLOOKUP($K16,'Calc-Drivers'!$B$17:$G$27,N$43,FALSE))</f>
        <v>3.5106835271515605E-2</v>
      </c>
      <c r="O16" s="96">
        <f>IF(ISERROR(VLOOKUP($K16,'Calc-Drivers'!$B$17:$G$27,O$43,FALSE))," ",VLOOKUP($K16,'Calc-Drivers'!$B$17:$G$27,O$43,FALSE))</f>
        <v>0.25336864011527199</v>
      </c>
      <c r="P16" s="96">
        <f>IF(ISERROR(VLOOKUP($K16,'Calc-Drivers'!$B$17:$G$27,P$43,FALSE))," ",VLOOKUP($K16,'Calc-Drivers'!$B$17:$G$27,P$43,FALSE))</f>
        <v>0.23002810032828097</v>
      </c>
      <c r="Q16" s="108"/>
      <c r="R16" s="48"/>
      <c r="S16" s="49">
        <f t="shared" si="1"/>
        <v>6.2272235729697396</v>
      </c>
      <c r="T16" s="49">
        <f t="shared" si="2"/>
        <v>1.929139425849089</v>
      </c>
      <c r="U16" s="49">
        <f t="shared" si="3"/>
        <v>0.59469619663212725</v>
      </c>
      <c r="V16" s="101">
        <f t="shared" si="4"/>
        <v>4.291966662818524</v>
      </c>
      <c r="W16" s="101">
        <f t="shared" si="4"/>
        <v>3.8965869559519652</v>
      </c>
      <c r="X16" s="50"/>
      <c r="Y16" s="55"/>
      <c r="Z16" s="49">
        <f t="shared" si="5"/>
        <v>6.2272235729697396</v>
      </c>
      <c r="AA16" s="49">
        <f t="shared" si="6"/>
        <v>1.929139425849089</v>
      </c>
      <c r="AB16" s="49">
        <f t="shared" si="7"/>
        <v>0.59469619663212725</v>
      </c>
      <c r="AC16" s="101">
        <f t="shared" si="8"/>
        <v>4.291966662818524</v>
      </c>
      <c r="AD16" s="101">
        <f t="shared" si="9"/>
        <v>3.8965869559519652</v>
      </c>
      <c r="AE16" s="50"/>
      <c r="AF16" s="56"/>
      <c r="AG16" s="51">
        <f>IF(ISERROR(Z16*100000000/'Calc-Units'!$E$23)," ",Z16*100000000/'Calc-Units'!$E$23)</f>
        <v>2.1206334613805739E-2</v>
      </c>
      <c r="AH16" s="51">
        <f>IF(ISERROR(AA16*100000000/'Calc-Units'!$D$23)," ",AA16*100000000/'Calc-Units'!$D$23)</f>
        <v>6.7253266621204654E-3</v>
      </c>
      <c r="AI16" s="51">
        <f>IF(ISERROR(AB16*100000000/'Calc-Units'!$C$23)," ",AB16*100000000/'Calc-Units'!$C$23)</f>
        <v>3.0835642260299036E-3</v>
      </c>
      <c r="AJ16" s="171">
        <f>IF(ISERROR(AC16*100000000/'Calc-Units'!$C$23)," ",AC16*100000000/'Calc-Units'!$C$23)</f>
        <v>2.2254312261840322E-2</v>
      </c>
      <c r="AK16" s="57"/>
      <c r="AL16" s="53">
        <v>0.52569999999999995</v>
      </c>
      <c r="AM16" s="84">
        <f t="shared" si="10"/>
        <v>8.9051544564362146</v>
      </c>
      <c r="AN16" s="47">
        <f t="shared" si="11"/>
        <v>8.0344583577852333</v>
      </c>
      <c r="AO16" s="46"/>
      <c r="AP16" s="46"/>
      <c r="AQ16" s="49">
        <f t="shared" si="12"/>
        <v>2.9535721406595479</v>
      </c>
      <c r="AR16" s="49">
        <f t="shared" si="13"/>
        <v>0.91499082968022305</v>
      </c>
      <c r="AS16" s="49">
        <f t="shared" si="14"/>
        <v>0.28206440606261801</v>
      </c>
      <c r="AT16" s="101">
        <f t="shared" si="15"/>
        <v>2.0356797881748263</v>
      </c>
      <c r="AU16" s="101">
        <f t="shared" si="16"/>
        <v>1.8481511932080172</v>
      </c>
      <c r="AV16" s="50"/>
      <c r="AW16" s="57"/>
      <c r="AX16" s="51">
        <f>IF(ISERROR(AQ16*100000000/'Calc-Units'!$E$23)," ",AQ16*100000000/'Calc-Units'!$E$23)</f>
        <v>1.0058164507328065E-2</v>
      </c>
      <c r="AY16" s="51">
        <f>IF(ISERROR(AR16*100000000/'Calc-Units'!$D$23)," ",AR16*100000000/'Calc-Units'!$D$23)</f>
        <v>3.1898224358437371E-3</v>
      </c>
      <c r="AZ16" s="51">
        <f>IF(ISERROR(AS16*100000000/'Calc-Units'!$C$23)," ",AS16*100000000/'Calc-Units'!$C$23)</f>
        <v>1.4625345124059837E-3</v>
      </c>
      <c r="BA16" s="171">
        <f>IF(ISERROR(AT16*100000000/'Calc-Units'!$C$23)," ",AT16*100000000/'Calc-Units'!$C$23)</f>
        <v>1.0555220305790865E-2</v>
      </c>
      <c r="BC16" s="55"/>
      <c r="BD16" s="55"/>
    </row>
    <row r="17" spans="1:56" s="58" customFormat="1">
      <c r="A17" s="59"/>
      <c r="B17" s="2248"/>
      <c r="C17" s="82" t="s">
        <v>63</v>
      </c>
      <c r="D17" s="86">
        <f>'RRP 1.3'!N$12</f>
        <v>4.4300162415596507</v>
      </c>
      <c r="E17" s="86">
        <v>0</v>
      </c>
      <c r="F17" s="86">
        <v>0</v>
      </c>
      <c r="G17" s="86">
        <v>0</v>
      </c>
      <c r="H17" s="86">
        <v>0</v>
      </c>
      <c r="I17" s="86">
        <f t="shared" si="0"/>
        <v>4.4300162415596507</v>
      </c>
      <c r="J17" s="54"/>
      <c r="K17" s="86" t="s">
        <v>478</v>
      </c>
      <c r="L17" s="96">
        <f>IF(ISERROR(VLOOKUP($K17,'Calc-Drivers'!$B$17:$G$27,L$43,FALSE))," ",VLOOKUP($K17,'Calc-Drivers'!$B$17:$G$27,L$43,FALSE))</f>
        <v>0.36761309961829525</v>
      </c>
      <c r="M17" s="96">
        <f>IF(ISERROR(VLOOKUP($K17,'Calc-Drivers'!$B$17:$G$27,M$43,FALSE))," ",VLOOKUP($K17,'Calc-Drivers'!$B$17:$G$27,M$43,FALSE))</f>
        <v>0.11388332466663602</v>
      </c>
      <c r="N17" s="96">
        <f>IF(ISERROR(VLOOKUP($K17,'Calc-Drivers'!$B$17:$G$27,N$43,FALSE))," ",VLOOKUP($K17,'Calc-Drivers'!$B$17:$G$27,N$43,FALSE))</f>
        <v>3.5106835271515605E-2</v>
      </c>
      <c r="O17" s="96">
        <f>IF(ISERROR(VLOOKUP($K17,'Calc-Drivers'!$B$17:$G$27,O$43,FALSE))," ",VLOOKUP($K17,'Calc-Drivers'!$B$17:$G$27,O$43,FALSE))</f>
        <v>0.25336864011527199</v>
      </c>
      <c r="P17" s="96">
        <f>IF(ISERROR(VLOOKUP($K17,'Calc-Drivers'!$B$17:$G$27,P$43,FALSE))," ",VLOOKUP($K17,'Calc-Drivers'!$B$17:$G$27,P$43,FALSE))</f>
        <v>0.23002810032828097</v>
      </c>
      <c r="Q17" s="108"/>
      <c r="R17" s="48"/>
      <c r="S17" s="49">
        <f t="shared" si="1"/>
        <v>1.6285320019191338</v>
      </c>
      <c r="T17" s="49">
        <f t="shared" si="2"/>
        <v>0.50450497791600835</v>
      </c>
      <c r="U17" s="49">
        <f t="shared" si="3"/>
        <v>0.15552385044257333</v>
      </c>
      <c r="V17" s="101">
        <f t="shared" si="4"/>
        <v>1.1224271908125369</v>
      </c>
      <c r="W17" s="101">
        <f t="shared" si="4"/>
        <v>1.0190282204693974</v>
      </c>
      <c r="X17" s="50"/>
      <c r="Y17" s="55"/>
      <c r="Z17" s="49">
        <f t="shared" si="5"/>
        <v>1.6285320019191338</v>
      </c>
      <c r="AA17" s="49">
        <f t="shared" si="6"/>
        <v>0.50450497791600835</v>
      </c>
      <c r="AB17" s="49">
        <f t="shared" si="7"/>
        <v>0.15552385044257333</v>
      </c>
      <c r="AC17" s="101">
        <f t="shared" si="8"/>
        <v>1.1224271908125369</v>
      </c>
      <c r="AD17" s="101">
        <f t="shared" si="9"/>
        <v>1.0190282204693974</v>
      </c>
      <c r="AE17" s="50"/>
      <c r="AF17" s="56"/>
      <c r="AG17" s="51">
        <f>IF(ISERROR(Z17*100000000/'Calc-Units'!$E$23)," ",Z17*100000000/'Calc-Units'!$E$23)</f>
        <v>5.5458414423875235E-3</v>
      </c>
      <c r="AH17" s="51">
        <f>IF(ISERROR(AA17*100000000/'Calc-Units'!$D$23)," ",AA17*100000000/'Calc-Units'!$D$23)</f>
        <v>1.7587950013813304E-3</v>
      </c>
      <c r="AI17" s="51">
        <f>IF(ISERROR(AB17*100000000/'Calc-Units'!$C$23)," ",AB17*100000000/'Calc-Units'!$C$23)</f>
        <v>8.064080184723288E-4</v>
      </c>
      <c r="AJ17" s="171">
        <f>IF(ISERROR(AC17*100000000/'Calc-Units'!$C$23)," ",AC17*100000000/'Calc-Units'!$C$23)</f>
        <v>5.8199066204113704E-3</v>
      </c>
      <c r="AK17" s="57"/>
      <c r="AL17" s="53">
        <v>0.52569999999999995</v>
      </c>
      <c r="AM17" s="84">
        <f t="shared" si="10"/>
        <v>2.328859538187908</v>
      </c>
      <c r="AN17" s="47">
        <f t="shared" si="11"/>
        <v>2.1011567033717427</v>
      </c>
      <c r="AO17" s="46"/>
      <c r="AP17" s="46"/>
      <c r="AQ17" s="49">
        <f t="shared" si="12"/>
        <v>0.77241272851024523</v>
      </c>
      <c r="AR17" s="49">
        <f t="shared" si="13"/>
        <v>0.23928671102556279</v>
      </c>
      <c r="AS17" s="49">
        <f t="shared" si="14"/>
        <v>7.376496226491254E-2</v>
      </c>
      <c r="AT17" s="101">
        <f t="shared" si="15"/>
        <v>0.53236721660238628</v>
      </c>
      <c r="AU17" s="101">
        <f t="shared" si="16"/>
        <v>0.48332508496863524</v>
      </c>
      <c r="AV17" s="50"/>
      <c r="AW17" s="57"/>
      <c r="AX17" s="51">
        <f>IF(ISERROR(AQ17*100000000/'Calc-Units'!$E$23)," ",AQ17*100000000/'Calc-Units'!$E$23)</f>
        <v>2.6303925961244021E-3</v>
      </c>
      <c r="AY17" s="51">
        <f>IF(ISERROR(AR17*100000000/'Calc-Units'!$D$23)," ",AR17*100000000/'Calc-Units'!$D$23)</f>
        <v>8.3419646915516507E-4</v>
      </c>
      <c r="AZ17" s="51">
        <f>IF(ISERROR(AS17*100000000/'Calc-Units'!$C$23)," ",AS17*100000000/'Calc-Units'!$C$23)</f>
        <v>3.8247932316142559E-4</v>
      </c>
      <c r="BA17" s="171">
        <f>IF(ISERROR(AT17*100000000/'Calc-Units'!$C$23)," ",AT17*100000000/'Calc-Units'!$C$23)</f>
        <v>2.7603817100611133E-3</v>
      </c>
      <c r="BC17" s="55"/>
      <c r="BD17" s="55"/>
    </row>
    <row r="18" spans="1:56" s="58" customFormat="1">
      <c r="A18" s="59"/>
      <c r="B18" s="2248"/>
      <c r="C18" s="82" t="s">
        <v>64</v>
      </c>
      <c r="D18" s="86">
        <f>'RRP 1.3'!O$12</f>
        <v>1.5094657008872003</v>
      </c>
      <c r="E18" s="86">
        <v>0</v>
      </c>
      <c r="F18" s="86">
        <v>0</v>
      </c>
      <c r="G18" s="86">
        <v>0</v>
      </c>
      <c r="H18" s="86">
        <v>0</v>
      </c>
      <c r="I18" s="86">
        <f t="shared" si="0"/>
        <v>1.5094657008872003</v>
      </c>
      <c r="J18" s="54"/>
      <c r="K18" s="86" t="s">
        <v>478</v>
      </c>
      <c r="L18" s="96">
        <f>IF(ISERROR(VLOOKUP($K18,'Calc-Drivers'!$B$17:$G$27,L$43,FALSE))," ",VLOOKUP($K18,'Calc-Drivers'!$B$17:$G$27,L$43,FALSE))</f>
        <v>0.36761309961829525</v>
      </c>
      <c r="M18" s="96">
        <f>IF(ISERROR(VLOOKUP($K18,'Calc-Drivers'!$B$17:$G$27,M$43,FALSE))," ",VLOOKUP($K18,'Calc-Drivers'!$B$17:$G$27,M$43,FALSE))</f>
        <v>0.11388332466663602</v>
      </c>
      <c r="N18" s="96">
        <f>IF(ISERROR(VLOOKUP($K18,'Calc-Drivers'!$B$17:$G$27,N$43,FALSE))," ",VLOOKUP($K18,'Calc-Drivers'!$B$17:$G$27,N$43,FALSE))</f>
        <v>3.5106835271515605E-2</v>
      </c>
      <c r="O18" s="96">
        <f>IF(ISERROR(VLOOKUP($K18,'Calc-Drivers'!$B$17:$G$27,O$43,FALSE))," ",VLOOKUP($K18,'Calc-Drivers'!$B$17:$G$27,O$43,FALSE))</f>
        <v>0.25336864011527199</v>
      </c>
      <c r="P18" s="96">
        <f>IF(ISERROR(VLOOKUP($K18,'Calc-Drivers'!$B$17:$G$27,P$43,FALSE))," ",VLOOKUP($K18,'Calc-Drivers'!$B$17:$G$27,P$43,FALSE))</f>
        <v>0.23002810032828097</v>
      </c>
      <c r="Q18" s="108"/>
      <c r="R18" s="48"/>
      <c r="S18" s="49">
        <f t="shared" si="1"/>
        <v>0.55489936507064619</v>
      </c>
      <c r="T18" s="49">
        <f t="shared" si="2"/>
        <v>0.17190297248728834</v>
      </c>
      <c r="U18" s="49">
        <f t="shared" si="3"/>
        <v>5.2992563709049791E-2</v>
      </c>
      <c r="V18" s="101">
        <f t="shared" si="4"/>
        <v>0.38245127193443584</v>
      </c>
      <c r="W18" s="101">
        <f t="shared" si="4"/>
        <v>0.34721952768577985</v>
      </c>
      <c r="X18" s="50"/>
      <c r="Y18" s="55"/>
      <c r="Z18" s="49">
        <f t="shared" si="5"/>
        <v>0.55489936507064619</v>
      </c>
      <c r="AA18" s="49">
        <f t="shared" si="6"/>
        <v>0.17190297248728834</v>
      </c>
      <c r="AB18" s="49">
        <f t="shared" si="7"/>
        <v>5.2992563709049791E-2</v>
      </c>
      <c r="AC18" s="101">
        <f t="shared" si="8"/>
        <v>0.38245127193443584</v>
      </c>
      <c r="AD18" s="101">
        <f t="shared" si="9"/>
        <v>0.34721952768577985</v>
      </c>
      <c r="AE18" s="50"/>
      <c r="AF18" s="56"/>
      <c r="AG18" s="51">
        <f>IF(ISERROR(Z18*100000000/'Calc-Units'!$E$23)," ",Z18*100000000/'Calc-Units'!$E$23)</f>
        <v>1.8896674376289739E-3</v>
      </c>
      <c r="AH18" s="51">
        <f>IF(ISERROR(AA18*100000000/'Calc-Units'!$D$23)," ",AA18*100000000/'Calc-Units'!$D$23)</f>
        <v>5.9928464924595849E-4</v>
      </c>
      <c r="AI18" s="51">
        <f>IF(ISERROR(AB18*100000000/'Calc-Units'!$C$23)," ",AB18*100000000/'Calc-Units'!$C$23)</f>
        <v>2.7477218557010161E-4</v>
      </c>
      <c r="AJ18" s="171">
        <f>IF(ISERROR(AC18*100000000/'Calc-Units'!$C$23)," ",AC18*100000000/'Calc-Units'!$C$23)</f>
        <v>1.9830512907520266E-3</v>
      </c>
      <c r="AK18" s="57"/>
      <c r="AL18" s="53">
        <v>0.52569999999999995</v>
      </c>
      <c r="AM18" s="84">
        <f t="shared" si="10"/>
        <v>0.79352611895640113</v>
      </c>
      <c r="AN18" s="47">
        <f t="shared" si="11"/>
        <v>0.71593958193079921</v>
      </c>
      <c r="AO18" s="46"/>
      <c r="AP18" s="46"/>
      <c r="AQ18" s="49">
        <f t="shared" si="12"/>
        <v>0.26318876885300752</v>
      </c>
      <c r="AR18" s="49">
        <f t="shared" si="13"/>
        <v>8.1533579850720864E-2</v>
      </c>
      <c r="AS18" s="49">
        <f t="shared" si="14"/>
        <v>2.513437296720232E-2</v>
      </c>
      <c r="AT18" s="101">
        <f t="shared" si="15"/>
        <v>0.18139663827850294</v>
      </c>
      <c r="AU18" s="101">
        <f t="shared" si="16"/>
        <v>0.1646862219813654</v>
      </c>
      <c r="AV18" s="50"/>
      <c r="AW18" s="57"/>
      <c r="AX18" s="51">
        <f>IF(ISERROR(AQ18*100000000/'Calc-Units'!$E$23)," ",AQ18*100000000/'Calc-Units'!$E$23)</f>
        <v>8.9626926566742252E-4</v>
      </c>
      <c r="AY18" s="51">
        <f>IF(ISERROR(AR18*100000000/'Calc-Units'!$D$23)," ",AR18*100000000/'Calc-Units'!$D$23)</f>
        <v>2.842407091373581E-4</v>
      </c>
      <c r="AZ18" s="51">
        <f>IF(ISERROR(AS18*100000000/'Calc-Units'!$C$23)," ",AS18*100000000/'Calc-Units'!$C$23)</f>
        <v>1.303244476158992E-4</v>
      </c>
      <c r="BA18" s="171">
        <f>IF(ISERROR(AT18*100000000/'Calc-Units'!$C$23)," ",AT18*100000000/'Calc-Units'!$C$23)</f>
        <v>9.4056122720368623E-4</v>
      </c>
      <c r="BC18" s="55"/>
      <c r="BD18" s="55"/>
    </row>
    <row r="19" spans="1:56" s="58" customFormat="1">
      <c r="A19" s="59"/>
      <c r="B19" s="2248"/>
      <c r="C19" s="82" t="s">
        <v>219</v>
      </c>
      <c r="D19" s="86">
        <f>'RRP 1.3'!P$12</f>
        <v>1.3239399267640004</v>
      </c>
      <c r="E19" s="86">
        <v>0</v>
      </c>
      <c r="F19" s="86">
        <v>0</v>
      </c>
      <c r="G19" s="86">
        <v>0</v>
      </c>
      <c r="H19" s="86">
        <v>0</v>
      </c>
      <c r="I19" s="86">
        <f t="shared" si="0"/>
        <v>1.3239399267640004</v>
      </c>
      <c r="J19" s="54"/>
      <c r="K19" s="86" t="s">
        <v>478</v>
      </c>
      <c r="L19" s="96">
        <f>IF(ISERROR(VLOOKUP($K19,'Calc-Drivers'!$B$17:$G$27,L$43,FALSE))," ",VLOOKUP($K19,'Calc-Drivers'!$B$17:$G$27,L$43,FALSE))</f>
        <v>0.36761309961829525</v>
      </c>
      <c r="M19" s="96">
        <f>IF(ISERROR(VLOOKUP($K19,'Calc-Drivers'!$B$17:$G$27,M$43,FALSE))," ",VLOOKUP($K19,'Calc-Drivers'!$B$17:$G$27,M$43,FALSE))</f>
        <v>0.11388332466663602</v>
      </c>
      <c r="N19" s="96">
        <f>IF(ISERROR(VLOOKUP($K19,'Calc-Drivers'!$B$17:$G$27,N$43,FALSE))," ",VLOOKUP($K19,'Calc-Drivers'!$B$17:$G$27,N$43,FALSE))</f>
        <v>3.5106835271515605E-2</v>
      </c>
      <c r="O19" s="96">
        <f>IF(ISERROR(VLOOKUP($K19,'Calc-Drivers'!$B$17:$G$27,O$43,FALSE))," ",VLOOKUP($K19,'Calc-Drivers'!$B$17:$G$27,O$43,FALSE))</f>
        <v>0.25336864011527199</v>
      </c>
      <c r="P19" s="96">
        <f>IF(ISERROR(VLOOKUP($K19,'Calc-Drivers'!$B$17:$G$27,P$43,FALSE))," ",VLOOKUP($K19,'Calc-Drivers'!$B$17:$G$27,P$43,FALSE))</f>
        <v>0.23002810032828097</v>
      </c>
      <c r="Q19" s="108"/>
      <c r="R19" s="48"/>
      <c r="S19" s="49">
        <f t="shared" si="1"/>
        <v>0.48669766018613297</v>
      </c>
      <c r="T19" s="49">
        <f t="shared" si="2"/>
        <v>0.15077468051878698</v>
      </c>
      <c r="U19" s="49">
        <f t="shared" si="3"/>
        <v>4.6479340918286198E-2</v>
      </c>
      <c r="V19" s="101">
        <f t="shared" si="4"/>
        <v>0.33544485883850755</v>
      </c>
      <c r="W19" s="101">
        <f t="shared" si="4"/>
        <v>0.30454338630228645</v>
      </c>
      <c r="X19" s="50"/>
      <c r="Y19" s="55"/>
      <c r="Z19" s="49">
        <f t="shared" si="5"/>
        <v>0.48669766018613297</v>
      </c>
      <c r="AA19" s="49">
        <f t="shared" si="6"/>
        <v>0.15077468051878698</v>
      </c>
      <c r="AB19" s="49">
        <f t="shared" si="7"/>
        <v>4.6479340918286198E-2</v>
      </c>
      <c r="AC19" s="101">
        <f t="shared" si="8"/>
        <v>0.33544485883850755</v>
      </c>
      <c r="AD19" s="101">
        <f t="shared" si="9"/>
        <v>0.30454338630228645</v>
      </c>
      <c r="AE19" s="50"/>
      <c r="AF19" s="56"/>
      <c r="AG19" s="51">
        <f>IF(ISERROR(Z19*100000000/'Calc-Units'!$E$23)," ",Z19*100000000/'Calc-Units'!$E$23)</f>
        <v>1.6574117368234097E-3</v>
      </c>
      <c r="AH19" s="51">
        <f>IF(ISERROR(AA19*100000000/'Calc-Units'!$D$23)," ",AA19*100000000/'Calc-Units'!$D$23)</f>
        <v>5.2562762715783931E-4</v>
      </c>
      <c r="AI19" s="51">
        <f>IF(ISERROR(AB19*100000000/'Calc-Units'!$C$23)," ",AB19*100000000/'Calc-Units'!$C$23)</f>
        <v>2.4100041957008297E-4</v>
      </c>
      <c r="AJ19" s="171">
        <f>IF(ISERROR(AC19*100000000/'Calc-Units'!$C$23)," ",AC19*100000000/'Calc-Units'!$C$23)</f>
        <v>1.7393179448227086E-3</v>
      </c>
      <c r="AK19" s="57"/>
      <c r="AL19" s="53">
        <v>0.52569999999999995</v>
      </c>
      <c r="AM19" s="84">
        <f t="shared" si="10"/>
        <v>0.69599521949983489</v>
      </c>
      <c r="AN19" s="47">
        <f t="shared" si="11"/>
        <v>0.62794470726416551</v>
      </c>
      <c r="AO19" s="46"/>
      <c r="AP19" s="46"/>
      <c r="AQ19" s="49">
        <f t="shared" si="12"/>
        <v>0.23084070022628289</v>
      </c>
      <c r="AR19" s="49">
        <f t="shared" si="13"/>
        <v>7.1512430970060673E-2</v>
      </c>
      <c r="AS19" s="49">
        <f t="shared" si="14"/>
        <v>2.2045151397543147E-2</v>
      </c>
      <c r="AT19" s="101">
        <f t="shared" si="15"/>
        <v>0.15910149654710415</v>
      </c>
      <c r="AU19" s="101">
        <f t="shared" si="16"/>
        <v>0.14444492812317447</v>
      </c>
      <c r="AV19" s="50"/>
      <c r="AW19" s="57"/>
      <c r="AX19" s="51">
        <f>IF(ISERROR(AQ19*100000000/'Calc-Units'!$E$23)," ",AQ19*100000000/'Calc-Units'!$E$23)</f>
        <v>7.8611038677534333E-4</v>
      </c>
      <c r="AY19" s="51">
        <f>IF(ISERROR(AR19*100000000/'Calc-Units'!$D$23)," ",AR19*100000000/'Calc-Units'!$D$23)</f>
        <v>2.4930518356096321E-4</v>
      </c>
      <c r="AZ19" s="51">
        <f>IF(ISERROR(AS19*100000000/'Calc-Units'!$C$23)," ",AS19*100000000/'Calc-Units'!$C$23)</f>
        <v>1.1430649900209035E-4</v>
      </c>
      <c r="BA19" s="171">
        <f>IF(ISERROR(AT19*100000000/'Calc-Units'!$C$23)," ",AT19*100000000/'Calc-Units'!$C$23)</f>
        <v>8.2495850122941072E-4</v>
      </c>
      <c r="BC19" s="55"/>
      <c r="BD19" s="55"/>
    </row>
    <row r="20" spans="1:56" s="58" customFormat="1">
      <c r="A20" s="59"/>
      <c r="B20" s="2248"/>
      <c r="C20" s="82" t="s">
        <v>220</v>
      </c>
      <c r="D20" s="86">
        <f>'RRP 1.3'!Q$12</f>
        <v>1.562325762189239</v>
      </c>
      <c r="E20" s="86">
        <v>0</v>
      </c>
      <c r="F20" s="86">
        <v>0</v>
      </c>
      <c r="G20" s="86">
        <v>0</v>
      </c>
      <c r="H20" s="86">
        <v>0</v>
      </c>
      <c r="I20" s="86">
        <f t="shared" si="0"/>
        <v>1.562325762189239</v>
      </c>
      <c r="J20" s="54"/>
      <c r="K20" s="86" t="s">
        <v>478</v>
      </c>
      <c r="L20" s="96">
        <f>IF(ISERROR(VLOOKUP($K20,'Calc-Drivers'!$B$17:$G$27,L$43,FALSE))," ",VLOOKUP($K20,'Calc-Drivers'!$B$17:$G$27,L$43,FALSE))</f>
        <v>0.36761309961829525</v>
      </c>
      <c r="M20" s="96">
        <f>IF(ISERROR(VLOOKUP($K20,'Calc-Drivers'!$B$17:$G$27,M$43,FALSE))," ",VLOOKUP($K20,'Calc-Drivers'!$B$17:$G$27,M$43,FALSE))</f>
        <v>0.11388332466663602</v>
      </c>
      <c r="N20" s="96">
        <f>IF(ISERROR(VLOOKUP($K20,'Calc-Drivers'!$B$17:$G$27,N$43,FALSE))," ",VLOOKUP($K20,'Calc-Drivers'!$B$17:$G$27,N$43,FALSE))</f>
        <v>3.5106835271515605E-2</v>
      </c>
      <c r="O20" s="96">
        <f>IF(ISERROR(VLOOKUP($K20,'Calc-Drivers'!$B$17:$G$27,O$43,FALSE))," ",VLOOKUP($K20,'Calc-Drivers'!$B$17:$G$27,O$43,FALSE))</f>
        <v>0.25336864011527199</v>
      </c>
      <c r="P20" s="96">
        <f>IF(ISERROR(VLOOKUP($K20,'Calc-Drivers'!$B$17:$G$27,P$43,FALSE))," ",VLOOKUP($K20,'Calc-Drivers'!$B$17:$G$27,P$43,FALSE))</f>
        <v>0.23002810032828097</v>
      </c>
      <c r="Q20" s="108"/>
      <c r="R20" s="48"/>
      <c r="S20" s="49">
        <f t="shared" si="1"/>
        <v>0.57433141605190174</v>
      </c>
      <c r="T20" s="49">
        <f t="shared" si="2"/>
        <v>0.17792285201044669</v>
      </c>
      <c r="U20" s="49">
        <f t="shared" si="3"/>
        <v>5.4848313173622674E-2</v>
      </c>
      <c r="V20" s="101">
        <f t="shared" si="4"/>
        <v>0.3958443537829433</v>
      </c>
      <c r="W20" s="101">
        <f t="shared" si="4"/>
        <v>0.35937882717032432</v>
      </c>
      <c r="X20" s="50"/>
      <c r="Y20" s="55"/>
      <c r="Z20" s="49">
        <f t="shared" si="5"/>
        <v>0.57433141605190174</v>
      </c>
      <c r="AA20" s="49">
        <f t="shared" si="6"/>
        <v>0.17792285201044669</v>
      </c>
      <c r="AB20" s="49">
        <f t="shared" si="7"/>
        <v>5.4848313173622674E-2</v>
      </c>
      <c r="AC20" s="101">
        <f t="shared" si="8"/>
        <v>0.3958443537829433</v>
      </c>
      <c r="AD20" s="101">
        <f t="shared" si="9"/>
        <v>0.35937882717032432</v>
      </c>
      <c r="AE20" s="50"/>
      <c r="AF20" s="56"/>
      <c r="AG20" s="51">
        <f>IF(ISERROR(Z20*100000000/'Calc-Units'!$E$23)," ",Z20*100000000/'Calc-Units'!$E$23)</f>
        <v>1.95584180418452E-3</v>
      </c>
      <c r="AH20" s="51">
        <f>IF(ISERROR(AA20*100000000/'Calc-Units'!$D$23)," ",AA20*100000000/'Calc-Units'!$D$23)</f>
        <v>6.2027103090265526E-4</v>
      </c>
      <c r="AI20" s="51">
        <f>IF(ISERROR(AB20*100000000/'Calc-Units'!$C$23)," ",AB20*100000000/'Calc-Units'!$C$23)</f>
        <v>2.8439444764918946E-4</v>
      </c>
      <c r="AJ20" s="171">
        <f>IF(ISERROR(AC20*100000000/'Calc-Units'!$C$23)," ",AC20*100000000/'Calc-Units'!$C$23)</f>
        <v>2.0524958715282763E-3</v>
      </c>
      <c r="AK20" s="57"/>
      <c r="AL20" s="53">
        <v>0.52569999999999995</v>
      </c>
      <c r="AM20" s="84">
        <f t="shared" si="10"/>
        <v>0.82131465318288288</v>
      </c>
      <c r="AN20" s="47">
        <f t="shared" si="11"/>
        <v>0.74101110900635614</v>
      </c>
      <c r="AO20" s="46"/>
      <c r="AP20" s="46"/>
      <c r="AQ20" s="49">
        <f t="shared" si="12"/>
        <v>0.27240539063341701</v>
      </c>
      <c r="AR20" s="49">
        <f t="shared" si="13"/>
        <v>8.4388808708554877E-2</v>
      </c>
      <c r="AS20" s="49">
        <f t="shared" si="14"/>
        <v>2.6014554938249237E-2</v>
      </c>
      <c r="AT20" s="101">
        <f t="shared" si="15"/>
        <v>0.18774897699925003</v>
      </c>
      <c r="AU20" s="101">
        <f t="shared" si="16"/>
        <v>0.17045337772688485</v>
      </c>
      <c r="AV20" s="50"/>
      <c r="AW20" s="57"/>
      <c r="AX20" s="51">
        <f>IF(ISERROR(AQ20*100000000/'Calc-Units'!$E$23)," ",AQ20*100000000/'Calc-Units'!$E$23)</f>
        <v>9.2765576772471789E-4</v>
      </c>
      <c r="AY20" s="51">
        <f>IF(ISERROR(AR20*100000000/'Calc-Units'!$D$23)," ",AR20*100000000/'Calc-Units'!$D$23)</f>
        <v>2.9419454995712943E-4</v>
      </c>
      <c r="AZ20" s="51">
        <f>IF(ISERROR(AS20*100000000/'Calc-Units'!$C$23)," ",AS20*100000000/'Calc-Units'!$C$23)</f>
        <v>1.3488828652001057E-4</v>
      </c>
      <c r="BA20" s="171">
        <f>IF(ISERROR(AT20*100000000/'Calc-Units'!$C$23)," ",AT20*100000000/'Calc-Units'!$C$23)</f>
        <v>9.7349879186586134E-4</v>
      </c>
      <c r="BC20" s="55"/>
      <c r="BD20" s="55"/>
    </row>
    <row r="21" spans="1:56" s="58" customFormat="1">
      <c r="A21" s="59"/>
      <c r="B21" s="2248"/>
      <c r="C21" s="82" t="s">
        <v>779</v>
      </c>
      <c r="D21" s="86">
        <f>'RRP 1.3'!R$12</f>
        <v>6.1510443854799997</v>
      </c>
      <c r="E21" s="86">
        <v>0</v>
      </c>
      <c r="F21" s="86">
        <v>0</v>
      </c>
      <c r="G21" s="86">
        <v>0</v>
      </c>
      <c r="H21" s="86">
        <v>0</v>
      </c>
      <c r="I21" s="86">
        <f t="shared" si="0"/>
        <v>6.1510443854799997</v>
      </c>
      <c r="J21" s="54"/>
      <c r="K21" s="86" t="s">
        <v>478</v>
      </c>
      <c r="L21" s="96">
        <f>IF(ISERROR(VLOOKUP($K21,'Calc-Drivers'!$B$17:$G$27,L$43,FALSE))," ",VLOOKUP($K21,'Calc-Drivers'!$B$17:$G$27,L$43,FALSE))</f>
        <v>0.36761309961829525</v>
      </c>
      <c r="M21" s="96">
        <f>IF(ISERROR(VLOOKUP($K21,'Calc-Drivers'!$B$17:$G$27,M$43,FALSE))," ",VLOOKUP($K21,'Calc-Drivers'!$B$17:$G$27,M$43,FALSE))</f>
        <v>0.11388332466663602</v>
      </c>
      <c r="N21" s="96">
        <f>IF(ISERROR(VLOOKUP($K21,'Calc-Drivers'!$B$17:$G$27,N$43,FALSE))," ",VLOOKUP($K21,'Calc-Drivers'!$B$17:$G$27,N$43,FALSE))</f>
        <v>3.5106835271515605E-2</v>
      </c>
      <c r="O21" s="96">
        <f>IF(ISERROR(VLOOKUP($K21,'Calc-Drivers'!$B$17:$G$27,O$43,FALSE))," ",VLOOKUP($K21,'Calc-Drivers'!$B$17:$G$27,O$43,FALSE))</f>
        <v>0.25336864011527199</v>
      </c>
      <c r="P21" s="96">
        <f>IF(ISERROR(VLOOKUP($K21,'Calc-Drivers'!$B$17:$G$27,P$43,FALSE))," ",VLOOKUP($K21,'Calc-Drivers'!$B$17:$G$27,P$43,FALSE))</f>
        <v>0.23002810032828097</v>
      </c>
      <c r="Q21" s="108"/>
      <c r="R21" s="48"/>
      <c r="S21" s="49">
        <f t="shared" si="1"/>
        <v>2.2612044924360148</v>
      </c>
      <c r="T21" s="49">
        <f t="shared" si="2"/>
        <v>0.70050138479050739</v>
      </c>
      <c r="U21" s="49">
        <f t="shared" si="3"/>
        <v>0.21594370198882729</v>
      </c>
      <c r="V21" s="101">
        <f t="shared" si="4"/>
        <v>1.5584817512377465</v>
      </c>
      <c r="W21" s="101">
        <f t="shared" si="4"/>
        <v>1.4149130550269027</v>
      </c>
      <c r="X21" s="50"/>
      <c r="Y21" s="55"/>
      <c r="Z21" s="49">
        <f t="shared" si="5"/>
        <v>2.2612044924360148</v>
      </c>
      <c r="AA21" s="49">
        <f t="shared" si="6"/>
        <v>0.70050138479050739</v>
      </c>
      <c r="AB21" s="49">
        <f t="shared" si="7"/>
        <v>0.21594370198882729</v>
      </c>
      <c r="AC21" s="101">
        <f t="shared" si="8"/>
        <v>1.5584817512377465</v>
      </c>
      <c r="AD21" s="101">
        <f t="shared" si="9"/>
        <v>1.4149130550269027</v>
      </c>
      <c r="AE21" s="50"/>
      <c r="AF21" s="56"/>
      <c r="AG21" s="51">
        <f>IF(ISERROR(Z21*100000000/'Calc-Units'!$E$23)," ",Z21*100000000/'Calc-Units'!$E$23)</f>
        <v>7.7003593230507436E-3</v>
      </c>
      <c r="AH21" s="51">
        <f>IF(ISERROR(AA21*100000000/'Calc-Units'!$D$23)," ",AA21*100000000/'Calc-Units'!$D$23)</f>
        <v>2.4420736919574223E-3</v>
      </c>
      <c r="AI21" s="51">
        <f>IF(ISERROR(AB21*100000000/'Calc-Units'!$C$23)," ",AB21*100000000/'Calc-Units'!$C$23)</f>
        <v>1.1196914963643434E-3</v>
      </c>
      <c r="AJ21" s="171">
        <f>IF(ISERROR(AC21*100000000/'Calc-Units'!$C$23)," ",AC21*100000000/'Calc-Units'!$C$23)</f>
        <v>8.0808967709102269E-3</v>
      </c>
      <c r="AK21" s="57"/>
      <c r="AL21" s="53">
        <v>0.52569999999999995</v>
      </c>
      <c r="AM21" s="84">
        <f t="shared" si="10"/>
        <v>3.2336040334468357</v>
      </c>
      <c r="AN21" s="47">
        <f t="shared" si="11"/>
        <v>2.917440352033164</v>
      </c>
      <c r="AO21" s="46"/>
      <c r="AP21" s="46"/>
      <c r="AQ21" s="49">
        <f t="shared" si="12"/>
        <v>1.072489290762402</v>
      </c>
      <c r="AR21" s="49">
        <f t="shared" si="13"/>
        <v>0.33224780680613769</v>
      </c>
      <c r="AS21" s="49">
        <f t="shared" si="14"/>
        <v>0.10242209785330079</v>
      </c>
      <c r="AT21" s="101">
        <f t="shared" si="15"/>
        <v>0.73918789461206325</v>
      </c>
      <c r="AU21" s="101">
        <f t="shared" si="16"/>
        <v>0.67109326199926</v>
      </c>
      <c r="AV21" s="50"/>
      <c r="AW21" s="57"/>
      <c r="AX21" s="51">
        <f>IF(ISERROR(AQ21*100000000/'Calc-Units'!$E$23)," ",AQ21*100000000/'Calc-Units'!$E$23)</f>
        <v>3.6522804269229683E-3</v>
      </c>
      <c r="AY21" s="51">
        <f>IF(ISERROR(AR21*100000000/'Calc-Units'!$D$23)," ",AR21*100000000/'Calc-Units'!$D$23)</f>
        <v>1.1582755520954055E-3</v>
      </c>
      <c r="AZ21" s="51">
        <f>IF(ISERROR(AS21*100000000/'Calc-Units'!$C$23)," ",AS21*100000000/'Calc-Units'!$C$23)</f>
        <v>5.3106967672560818E-4</v>
      </c>
      <c r="BA21" s="171">
        <f>IF(ISERROR(AT21*100000000/'Calc-Units'!$C$23)," ",AT21*100000000/'Calc-Units'!$C$23)</f>
        <v>3.832769338442722E-3</v>
      </c>
      <c r="BC21" s="55"/>
      <c r="BD21" s="55"/>
    </row>
    <row r="22" spans="1:56" s="58" customFormat="1">
      <c r="A22" s="59"/>
      <c r="B22" s="2248"/>
      <c r="C22" s="82" t="s">
        <v>657</v>
      </c>
      <c r="D22" s="86">
        <f>'RRP 1.3'!S$12</f>
        <v>10.240069047105548</v>
      </c>
      <c r="E22" s="86">
        <v>0</v>
      </c>
      <c r="F22" s="86">
        <v>0</v>
      </c>
      <c r="G22" s="86">
        <v>0</v>
      </c>
      <c r="H22" s="86">
        <v>0</v>
      </c>
      <c r="I22" s="86">
        <f t="shared" si="0"/>
        <v>10.240069047105548</v>
      </c>
      <c r="J22" s="54"/>
      <c r="K22" s="86" t="s">
        <v>467</v>
      </c>
      <c r="L22" s="96" t="str">
        <f>IF(ISERROR(VLOOKUP($K22,'Calc-Drivers'!$B$17:$G$27,L$43,FALSE))," ",VLOOKUP($K22,'Calc-Drivers'!$B$17:$G$27,L$43,FALSE))</f>
        <v xml:space="preserve"> </v>
      </c>
      <c r="M22" s="96" t="str">
        <f>IF(ISERROR(VLOOKUP($K22,'Calc-Drivers'!$B$17:$G$27,M$43,FALSE))," ",VLOOKUP($K22,'Calc-Drivers'!$B$17:$G$27,M$43,FALSE))</f>
        <v xml:space="preserve"> </v>
      </c>
      <c r="N22" s="96" t="str">
        <f>IF(ISERROR(VLOOKUP($K22,'Calc-Drivers'!$B$17:$G$27,N$43,FALSE))," ",VLOOKUP($K22,'Calc-Drivers'!$B$17:$G$27,N$43,FALSE))</f>
        <v xml:space="preserve"> </v>
      </c>
      <c r="O22" s="96" t="str">
        <f>IF(ISERROR(VLOOKUP($K22,'Calc-Drivers'!$B$17:$G$27,O$43,FALSE))," ",VLOOKUP($K22,'Calc-Drivers'!$B$17:$G$27,O$43,FALSE))</f>
        <v xml:space="preserve"> </v>
      </c>
      <c r="P22" s="96" t="str">
        <f>IF(ISERROR(VLOOKUP($K22,'Calc-Drivers'!$B$17:$G$27,P$43,FALSE))," ",VLOOKUP($K22,'Calc-Drivers'!$B$17:$G$27,P$43,FALSE))</f>
        <v xml:space="preserve"> </v>
      </c>
      <c r="Q22" s="108"/>
      <c r="R22" s="48"/>
      <c r="S22" s="49" t="str">
        <f t="shared" si="1"/>
        <v xml:space="preserve"> </v>
      </c>
      <c r="T22" s="49" t="str">
        <f t="shared" si="2"/>
        <v xml:space="preserve"> </v>
      </c>
      <c r="U22" s="49" t="str">
        <f t="shared" si="3"/>
        <v xml:space="preserve"> </v>
      </c>
      <c r="V22" s="101" t="str">
        <f t="shared" si="4"/>
        <v xml:space="preserve"> </v>
      </c>
      <c r="W22" s="101" t="str">
        <f t="shared" si="4"/>
        <v xml:space="preserve"> </v>
      </c>
      <c r="X22" s="50"/>
      <c r="Y22" s="55"/>
      <c r="Z22" s="49" t="str">
        <f t="shared" si="5"/>
        <v xml:space="preserve"> </v>
      </c>
      <c r="AA22" s="49" t="str">
        <f t="shared" si="6"/>
        <v xml:space="preserve"> </v>
      </c>
      <c r="AB22" s="49" t="str">
        <f t="shared" si="7"/>
        <v xml:space="preserve"> </v>
      </c>
      <c r="AC22" s="101" t="str">
        <f t="shared" si="8"/>
        <v xml:space="preserve"> </v>
      </c>
      <c r="AD22" s="101" t="str">
        <f t="shared" si="9"/>
        <v xml:space="preserve"> </v>
      </c>
      <c r="AE22" s="50"/>
      <c r="AF22" s="56"/>
      <c r="AG22" s="51" t="str">
        <f>IF(ISERROR(Z22*100000000/'Calc-Units'!$E$23)," ",Z22*100000000/'Calc-Units'!$E$23)</f>
        <v xml:space="preserve"> </v>
      </c>
      <c r="AH22" s="51" t="str">
        <f>IF(ISERROR(AA22*100000000/'Calc-Units'!$D$23)," ",AA22*100000000/'Calc-Units'!$D$23)</f>
        <v xml:space="preserve"> </v>
      </c>
      <c r="AI22" s="51" t="str">
        <f>IF(ISERROR(AB22*100000000/'Calc-Units'!$C$23)," ",AB22*100000000/'Calc-Units'!$C$23)</f>
        <v xml:space="preserve"> </v>
      </c>
      <c r="AJ22" s="171" t="str">
        <f>IF(ISERROR(AC22*100000000/'Calc-Units'!$C$23)," ",AC22*100000000/'Calc-Units'!$C$23)</f>
        <v xml:space="preserve"> </v>
      </c>
      <c r="AK22" s="57"/>
      <c r="AL22" s="53">
        <v>0.52569999999999995</v>
      </c>
      <c r="AM22" s="84">
        <f t="shared" si="10"/>
        <v>5.3832042980633856</v>
      </c>
      <c r="AN22" s="47">
        <f t="shared" si="11"/>
        <v>4.8568647490421624</v>
      </c>
      <c r="AO22" s="46"/>
      <c r="AP22" s="46"/>
      <c r="AQ22" s="49" t="str">
        <f t="shared" si="12"/>
        <v xml:space="preserve"> </v>
      </c>
      <c r="AR22" s="49" t="str">
        <f t="shared" si="13"/>
        <v xml:space="preserve"> </v>
      </c>
      <c r="AS22" s="49" t="str">
        <f t="shared" si="14"/>
        <v xml:space="preserve"> </v>
      </c>
      <c r="AT22" s="101" t="str">
        <f t="shared" si="15"/>
        <v xml:space="preserve"> </v>
      </c>
      <c r="AU22" s="101" t="str">
        <f t="shared" si="16"/>
        <v xml:space="preserve"> </v>
      </c>
      <c r="AV22" s="50"/>
      <c r="AW22" s="57"/>
      <c r="AX22" s="51" t="str">
        <f>IF(ISERROR(AQ22*100000000/'Calc-Units'!$E$23)," ",AQ22*100000000/'Calc-Units'!$E$23)</f>
        <v xml:space="preserve"> </v>
      </c>
      <c r="AY22" s="51" t="str">
        <f>IF(ISERROR(AR22*100000000/'Calc-Units'!$D$23)," ",AR22*100000000/'Calc-Units'!$D$23)</f>
        <v xml:space="preserve"> </v>
      </c>
      <c r="AZ22" s="51" t="str">
        <f>IF(ISERROR(AS22*100000000/'Calc-Units'!$C$23)," ",AS22*100000000/'Calc-Units'!$C$23)</f>
        <v xml:space="preserve"> </v>
      </c>
      <c r="BA22" s="171" t="str">
        <f>IF(ISERROR(AT22*100000000/'Calc-Units'!$C$23)," ",AT22*100000000/'Calc-Units'!$C$23)</f>
        <v xml:space="preserve"> </v>
      </c>
      <c r="BC22" s="55"/>
      <c r="BD22" s="55"/>
    </row>
    <row r="23" spans="1:56" s="58" customFormat="1">
      <c r="A23" s="59"/>
      <c r="B23" s="2248"/>
      <c r="C23" s="82" t="s">
        <v>778</v>
      </c>
      <c r="D23" s="86">
        <f>'RRP 1.3'!T$12</f>
        <v>4.5836090382398558</v>
      </c>
      <c r="E23" s="86">
        <v>0</v>
      </c>
      <c r="F23" s="86">
        <v>0</v>
      </c>
      <c r="G23" s="86">
        <v>0</v>
      </c>
      <c r="H23" s="86">
        <v>0</v>
      </c>
      <c r="I23" s="86">
        <f t="shared" si="0"/>
        <v>4.5836090382398558</v>
      </c>
      <c r="J23" s="54"/>
      <c r="K23" s="86" t="s">
        <v>467</v>
      </c>
      <c r="L23" s="96" t="str">
        <f>IF(ISERROR(VLOOKUP($K23,'Calc-Drivers'!$B$17:$G$27,L$43,FALSE))," ",VLOOKUP($K23,'Calc-Drivers'!$B$17:$G$27,L$43,FALSE))</f>
        <v xml:space="preserve"> </v>
      </c>
      <c r="M23" s="96" t="str">
        <f>IF(ISERROR(VLOOKUP($K23,'Calc-Drivers'!$B$17:$G$27,M$43,FALSE))," ",VLOOKUP($K23,'Calc-Drivers'!$B$17:$G$27,M$43,FALSE))</f>
        <v xml:space="preserve"> </v>
      </c>
      <c r="N23" s="96" t="str">
        <f>IF(ISERROR(VLOOKUP($K23,'Calc-Drivers'!$B$17:$G$27,N$43,FALSE))," ",VLOOKUP($K23,'Calc-Drivers'!$B$17:$G$27,N$43,FALSE))</f>
        <v xml:space="preserve"> </v>
      </c>
      <c r="O23" s="96" t="str">
        <f>IF(ISERROR(VLOOKUP($K23,'Calc-Drivers'!$B$17:$G$27,O$43,FALSE))," ",VLOOKUP($K23,'Calc-Drivers'!$B$17:$G$27,O$43,FALSE))</f>
        <v xml:space="preserve"> </v>
      </c>
      <c r="P23" s="96" t="str">
        <f>IF(ISERROR(VLOOKUP($K23,'Calc-Drivers'!$B$17:$G$27,P$43,FALSE))," ",VLOOKUP($K23,'Calc-Drivers'!$B$17:$G$27,P$43,FALSE))</f>
        <v xml:space="preserve"> </v>
      </c>
      <c r="Q23" s="108"/>
      <c r="R23" s="48"/>
      <c r="S23" s="49" t="str">
        <f t="shared" si="1"/>
        <v xml:space="preserve"> </v>
      </c>
      <c r="T23" s="49" t="str">
        <f t="shared" si="2"/>
        <v xml:space="preserve"> </v>
      </c>
      <c r="U23" s="49" t="str">
        <f t="shared" si="3"/>
        <v xml:space="preserve"> </v>
      </c>
      <c r="V23" s="101" t="str">
        <f t="shared" si="4"/>
        <v xml:space="preserve"> </v>
      </c>
      <c r="W23" s="101" t="str">
        <f t="shared" si="4"/>
        <v xml:space="preserve"> </v>
      </c>
      <c r="X23" s="50"/>
      <c r="Y23" s="55"/>
      <c r="Z23" s="49" t="str">
        <f t="shared" si="5"/>
        <v xml:space="preserve"> </v>
      </c>
      <c r="AA23" s="49" t="str">
        <f t="shared" si="6"/>
        <v xml:space="preserve"> </v>
      </c>
      <c r="AB23" s="49" t="str">
        <f t="shared" si="7"/>
        <v xml:space="preserve"> </v>
      </c>
      <c r="AC23" s="101" t="str">
        <f t="shared" si="8"/>
        <v xml:space="preserve"> </v>
      </c>
      <c r="AD23" s="101" t="str">
        <f t="shared" si="9"/>
        <v xml:space="preserve"> </v>
      </c>
      <c r="AE23" s="50"/>
      <c r="AF23" s="56"/>
      <c r="AG23" s="51" t="str">
        <f>IF(ISERROR(Z23*100000000/'Calc-Units'!$E$23)," ",Z23*100000000/'Calc-Units'!$E$23)</f>
        <v xml:space="preserve"> </v>
      </c>
      <c r="AH23" s="51" t="str">
        <f>IF(ISERROR(AA23*100000000/'Calc-Units'!$D$23)," ",AA23*100000000/'Calc-Units'!$D$23)</f>
        <v xml:space="preserve"> </v>
      </c>
      <c r="AI23" s="51" t="str">
        <f>IF(ISERROR(AB23*100000000/'Calc-Units'!$C$23)," ",AB23*100000000/'Calc-Units'!$C$23)</f>
        <v xml:space="preserve"> </v>
      </c>
      <c r="AJ23" s="171" t="str">
        <f>IF(ISERROR(AC23*100000000/'Calc-Units'!$C$23)," ",AC23*100000000/'Calc-Units'!$C$23)</f>
        <v xml:space="preserve"> </v>
      </c>
      <c r="AK23" s="57"/>
      <c r="AL23" s="53">
        <v>0.52569999999999995</v>
      </c>
      <c r="AM23" s="84">
        <f t="shared" si="10"/>
        <v>2.409603271402692</v>
      </c>
      <c r="AN23" s="47">
        <f t="shared" si="11"/>
        <v>2.1740057668371637</v>
      </c>
      <c r="AO23" s="46"/>
      <c r="AP23" s="46"/>
      <c r="AQ23" s="49" t="str">
        <f t="shared" si="12"/>
        <v xml:space="preserve"> </v>
      </c>
      <c r="AR23" s="49" t="str">
        <f t="shared" si="13"/>
        <v xml:space="preserve"> </v>
      </c>
      <c r="AS23" s="49" t="str">
        <f t="shared" si="14"/>
        <v xml:space="preserve"> </v>
      </c>
      <c r="AT23" s="101" t="str">
        <f t="shared" si="15"/>
        <v xml:space="preserve"> </v>
      </c>
      <c r="AU23" s="101" t="str">
        <f t="shared" si="16"/>
        <v xml:space="preserve"> </v>
      </c>
      <c r="AV23" s="50"/>
      <c r="AW23" s="57"/>
      <c r="AX23" s="51" t="str">
        <f>IF(ISERROR(AQ23*100000000/'Calc-Units'!$E$23)," ",AQ23*100000000/'Calc-Units'!$E$23)</f>
        <v xml:space="preserve"> </v>
      </c>
      <c r="AY23" s="51" t="str">
        <f>IF(ISERROR(AR23*100000000/'Calc-Units'!$D$23)," ",AR23*100000000/'Calc-Units'!$D$23)</f>
        <v xml:space="preserve"> </v>
      </c>
      <c r="AZ23" s="51" t="str">
        <f>IF(ISERROR(AS23*100000000/'Calc-Units'!$C$23)," ",AS23*100000000/'Calc-Units'!$C$23)</f>
        <v xml:space="preserve"> </v>
      </c>
      <c r="BA23" s="171" t="str">
        <f>IF(ISERROR(AT23*100000000/'Calc-Units'!$C$23)," ",AT23*100000000/'Calc-Units'!$C$23)</f>
        <v xml:space="preserve"> </v>
      </c>
      <c r="BC23" s="55"/>
      <c r="BD23" s="55"/>
    </row>
    <row r="24" spans="1:56" s="58" customFormat="1">
      <c r="A24" s="59"/>
      <c r="B24" s="2248"/>
      <c r="C24" s="82" t="s">
        <v>73</v>
      </c>
      <c r="D24" s="86">
        <f>'RRP 1.3'!U$12</f>
        <v>1.4397993171236436</v>
      </c>
      <c r="E24" s="86">
        <v>0</v>
      </c>
      <c r="F24" s="86">
        <v>0</v>
      </c>
      <c r="G24" s="86">
        <v>0</v>
      </c>
      <c r="H24" s="86">
        <v>0</v>
      </c>
      <c r="I24" s="86">
        <f t="shared" si="0"/>
        <v>1.4397993171236436</v>
      </c>
      <c r="J24" s="54"/>
      <c r="K24" s="86" t="s">
        <v>478</v>
      </c>
      <c r="L24" s="96">
        <f>IF(ISERROR(VLOOKUP($K24,'Calc-Drivers'!$B$17:$G$27,L$43,FALSE))," ",VLOOKUP($K24,'Calc-Drivers'!$B$17:$G$27,L$43,FALSE))</f>
        <v>0.36761309961829525</v>
      </c>
      <c r="M24" s="96">
        <f>IF(ISERROR(VLOOKUP($K24,'Calc-Drivers'!$B$17:$G$27,M$43,FALSE))," ",VLOOKUP($K24,'Calc-Drivers'!$B$17:$G$27,M$43,FALSE))</f>
        <v>0.11388332466663602</v>
      </c>
      <c r="N24" s="96">
        <f>IF(ISERROR(VLOOKUP($K24,'Calc-Drivers'!$B$17:$G$27,N$43,FALSE))," ",VLOOKUP($K24,'Calc-Drivers'!$B$17:$G$27,N$43,FALSE))</f>
        <v>3.5106835271515605E-2</v>
      </c>
      <c r="O24" s="96">
        <f>IF(ISERROR(VLOOKUP($K24,'Calc-Drivers'!$B$17:$G$27,O$43,FALSE))," ",VLOOKUP($K24,'Calc-Drivers'!$B$17:$G$27,O$43,FALSE))</f>
        <v>0.25336864011527199</v>
      </c>
      <c r="P24" s="96">
        <f>IF(ISERROR(VLOOKUP($K24,'Calc-Drivers'!$B$17:$G$27,P$43,FALSE))," ",VLOOKUP($K24,'Calc-Drivers'!$B$17:$G$27,P$43,FALSE))</f>
        <v>0.23002810032828097</v>
      </c>
      <c r="Q24" s="108"/>
      <c r="R24" s="48"/>
      <c r="S24" s="49">
        <f t="shared" si="1"/>
        <v>0.52928908979612743</v>
      </c>
      <c r="T24" s="49">
        <f t="shared" si="2"/>
        <v>0.16396913308679273</v>
      </c>
      <c r="U24" s="49">
        <f t="shared" si="3"/>
        <v>5.0546797450300412E-2</v>
      </c>
      <c r="V24" s="101">
        <f t="shared" si="4"/>
        <v>0.36479999501851484</v>
      </c>
      <c r="W24" s="101">
        <f t="shared" si="4"/>
        <v>0.33119430177190795</v>
      </c>
      <c r="X24" s="50"/>
      <c r="Y24" s="55"/>
      <c r="Z24" s="49">
        <f t="shared" si="5"/>
        <v>0.52928908979612743</v>
      </c>
      <c r="AA24" s="49">
        <f t="shared" si="6"/>
        <v>0.16396913308679273</v>
      </c>
      <c r="AB24" s="49">
        <f t="shared" si="7"/>
        <v>5.0546797450300412E-2</v>
      </c>
      <c r="AC24" s="101">
        <f t="shared" si="8"/>
        <v>0.36479999501851484</v>
      </c>
      <c r="AD24" s="101">
        <f t="shared" si="9"/>
        <v>0.33119430177190795</v>
      </c>
      <c r="AE24" s="50"/>
      <c r="AF24" s="56"/>
      <c r="AG24" s="51">
        <f>IF(ISERROR(Z24*100000000/'Calc-Units'!$E$23)," ",Z24*100000000/'Calc-Units'!$E$23)</f>
        <v>1.8024535997670202E-3</v>
      </c>
      <c r="AH24" s="51">
        <f>IF(ISERROR(AA24*100000000/'Calc-Units'!$D$23)," ",AA24*100000000/'Calc-Units'!$D$23)</f>
        <v>5.7162585956068205E-4</v>
      </c>
      <c r="AI24" s="51">
        <f>IF(ISERROR(AB24*100000000/'Calc-Units'!$C$23)," ",AB24*100000000/'Calc-Units'!$C$23)</f>
        <v>2.6209062247381732E-4</v>
      </c>
      <c r="AJ24" s="171">
        <f>IF(ISERROR(AC24*100000000/'Calc-Units'!$C$23)," ",AC24*100000000/'Calc-Units'!$C$23)</f>
        <v>1.8915275070958977E-3</v>
      </c>
      <c r="AK24" s="57"/>
      <c r="AL24" s="53">
        <v>0.52569999999999995</v>
      </c>
      <c r="AM24" s="84">
        <f t="shared" si="10"/>
        <v>0.75690250101189938</v>
      </c>
      <c r="AN24" s="47">
        <f t="shared" si="11"/>
        <v>0.68289681611174424</v>
      </c>
      <c r="AO24" s="46"/>
      <c r="AP24" s="46"/>
      <c r="AQ24" s="49">
        <f t="shared" si="12"/>
        <v>0.25104181529030328</v>
      </c>
      <c r="AR24" s="49">
        <f t="shared" si="13"/>
        <v>7.7770559823065799E-2</v>
      </c>
      <c r="AS24" s="49">
        <f t="shared" si="14"/>
        <v>2.3974346030677489E-2</v>
      </c>
      <c r="AT24" s="101">
        <f t="shared" si="15"/>
        <v>0.1730246376372816</v>
      </c>
      <c r="AU24" s="101">
        <f t="shared" si="16"/>
        <v>0.15708545733041596</v>
      </c>
      <c r="AV24" s="50"/>
      <c r="AW24" s="57"/>
      <c r="AX24" s="51">
        <f>IF(ISERROR(AQ24*100000000/'Calc-Units'!$E$23)," ",AQ24*100000000/'Calc-Units'!$E$23)</f>
        <v>8.5490374236949775E-4</v>
      </c>
      <c r="AY24" s="51">
        <f>IF(ISERROR(AR24*100000000/'Calc-Units'!$D$23)," ",AR24*100000000/'Calc-Units'!$D$23)</f>
        <v>2.7112214518963153E-4</v>
      </c>
      <c r="AZ24" s="51">
        <f>IF(ISERROR(AS24*100000000/'Calc-Units'!$C$23)," ",AS24*100000000/'Calc-Units'!$C$23)</f>
        <v>1.2430958223933158E-4</v>
      </c>
      <c r="BA24" s="171">
        <f>IF(ISERROR(AT24*100000000/'Calc-Units'!$C$23)," ",AT24*100000000/'Calc-Units'!$C$23)</f>
        <v>8.9715149661558438E-4</v>
      </c>
      <c r="BC24" s="55"/>
      <c r="BD24" s="55"/>
    </row>
    <row r="25" spans="1:56" s="58" customFormat="1">
      <c r="A25" s="59"/>
      <c r="B25" s="2248"/>
      <c r="C25" s="82" t="s">
        <v>499</v>
      </c>
      <c r="D25" s="86">
        <f>'RRP 1.3'!V$12</f>
        <v>2.0706365899867683</v>
      </c>
      <c r="E25" s="86">
        <v>0</v>
      </c>
      <c r="F25" s="86">
        <v>0</v>
      </c>
      <c r="G25" s="86">
        <v>0</v>
      </c>
      <c r="H25" s="86">
        <v>0</v>
      </c>
      <c r="I25" s="86">
        <f t="shared" si="0"/>
        <v>2.0706365899867683</v>
      </c>
      <c r="J25" s="54"/>
      <c r="K25" s="86" t="s">
        <v>478</v>
      </c>
      <c r="L25" s="96">
        <f>IF(ISERROR(VLOOKUP($K25,'Calc-Drivers'!$B$17:$G$27,L$43,FALSE))," ",VLOOKUP($K25,'Calc-Drivers'!$B$17:$G$27,L$43,FALSE))</f>
        <v>0.36761309961829525</v>
      </c>
      <c r="M25" s="96">
        <f>IF(ISERROR(VLOOKUP($K25,'Calc-Drivers'!$B$17:$G$27,M$43,FALSE))," ",VLOOKUP($K25,'Calc-Drivers'!$B$17:$G$27,M$43,FALSE))</f>
        <v>0.11388332466663602</v>
      </c>
      <c r="N25" s="96">
        <f>IF(ISERROR(VLOOKUP($K25,'Calc-Drivers'!$B$17:$G$27,N$43,FALSE))," ",VLOOKUP($K25,'Calc-Drivers'!$B$17:$G$27,N$43,FALSE))</f>
        <v>3.5106835271515605E-2</v>
      </c>
      <c r="O25" s="96">
        <f>IF(ISERROR(VLOOKUP($K25,'Calc-Drivers'!$B$17:$G$27,O$43,FALSE))," ",VLOOKUP($K25,'Calc-Drivers'!$B$17:$G$27,O$43,FALSE))</f>
        <v>0.25336864011527199</v>
      </c>
      <c r="P25" s="96">
        <f>IF(ISERROR(VLOOKUP($K25,'Calc-Drivers'!$B$17:$G$27,P$43,FALSE))," ",VLOOKUP($K25,'Calc-Drivers'!$B$17:$G$27,P$43,FALSE))</f>
        <v>0.23002810032828097</v>
      </c>
      <c r="Q25" s="108"/>
      <c r="R25" s="48"/>
      <c r="S25" s="49">
        <f t="shared" si="1"/>
        <v>0.76119313502809305</v>
      </c>
      <c r="T25" s="49">
        <f t="shared" si="2"/>
        <v>0.23581097904407922</v>
      </c>
      <c r="U25" s="49">
        <f t="shared" si="3"/>
        <v>7.2693497671838275E-2</v>
      </c>
      <c r="V25" s="101">
        <f t="shared" si="4"/>
        <v>0.52463437697787152</v>
      </c>
      <c r="W25" s="101">
        <f t="shared" si="4"/>
        <v>0.47630460126488594</v>
      </c>
      <c r="X25" s="50"/>
      <c r="Y25" s="55"/>
      <c r="Z25" s="49">
        <f t="shared" si="5"/>
        <v>0.76119313502809305</v>
      </c>
      <c r="AA25" s="49">
        <f t="shared" si="6"/>
        <v>0.23581097904407922</v>
      </c>
      <c r="AB25" s="49">
        <f t="shared" si="7"/>
        <v>7.2693497671838275E-2</v>
      </c>
      <c r="AC25" s="101">
        <f t="shared" si="8"/>
        <v>0.52463437697787152</v>
      </c>
      <c r="AD25" s="101">
        <f t="shared" si="9"/>
        <v>0.47630460126488594</v>
      </c>
      <c r="AE25" s="50"/>
      <c r="AF25" s="56"/>
      <c r="AG25" s="51">
        <f>IF(ISERROR(Z25*100000000/'Calc-Units'!$E$23)," ",Z25*100000000/'Calc-Units'!$E$23)</f>
        <v>2.5921851268043425E-3</v>
      </c>
      <c r="AH25" s="51">
        <f>IF(ISERROR(AA25*100000000/'Calc-Units'!$D$23)," ",AA25*100000000/'Calc-Units'!$D$23)</f>
        <v>8.220794429556887E-4</v>
      </c>
      <c r="AI25" s="51">
        <f>IF(ISERROR(AB25*100000000/'Calc-Units'!$C$23)," ",AB25*100000000/'Calc-Units'!$C$23)</f>
        <v>3.7692366313304092E-4</v>
      </c>
      <c r="AJ25" s="171">
        <f>IF(ISERROR(AC25*100000000/'Calc-Units'!$C$23)," ",AC25*100000000/'Calc-Units'!$C$23)</f>
        <v>2.7202860986097247E-3</v>
      </c>
      <c r="AK25" s="57"/>
      <c r="AL25" s="53">
        <v>0.52569999999999995</v>
      </c>
      <c r="AM25" s="84">
        <f t="shared" si="10"/>
        <v>1.0885336553560438</v>
      </c>
      <c r="AN25" s="47">
        <f t="shared" si="11"/>
        <v>0.98210293463072429</v>
      </c>
      <c r="AO25" s="46"/>
      <c r="AP25" s="46"/>
      <c r="AQ25" s="49">
        <f t="shared" si="12"/>
        <v>0.36103390394382456</v>
      </c>
      <c r="AR25" s="49">
        <f t="shared" si="13"/>
        <v>0.11184514736060679</v>
      </c>
      <c r="AS25" s="49">
        <f t="shared" si="14"/>
        <v>3.4478525945752896E-2</v>
      </c>
      <c r="AT25" s="101">
        <f t="shared" si="15"/>
        <v>0.2488340850006045</v>
      </c>
      <c r="AU25" s="101">
        <f t="shared" si="16"/>
        <v>0.22591127237993544</v>
      </c>
      <c r="AV25" s="50"/>
      <c r="AW25" s="57"/>
      <c r="AX25" s="51">
        <f>IF(ISERROR(AQ25*100000000/'Calc-Units'!$E$23)," ",AQ25*100000000/'Calc-Units'!$E$23)</f>
        <v>1.2294734056432998E-3</v>
      </c>
      <c r="AY25" s="51">
        <f>IF(ISERROR(AR25*100000000/'Calc-Units'!$D$23)," ",AR25*100000000/'Calc-Units'!$D$23)</f>
        <v>3.8991227979388323E-4</v>
      </c>
      <c r="AZ25" s="51">
        <f>IF(ISERROR(AS25*100000000/'Calc-Units'!$C$23)," ",AS25*100000000/'Calc-Units'!$C$23)</f>
        <v>1.7877489342400132E-4</v>
      </c>
      <c r="BA25" s="171">
        <f>IF(ISERROR(AT25*100000000/'Calc-Units'!$C$23)," ",AT25*100000000/'Calc-Units'!$C$23)</f>
        <v>1.2902316965705926E-3</v>
      </c>
      <c r="BC25" s="55"/>
      <c r="BD25" s="55"/>
    </row>
    <row r="26" spans="1:56" s="58" customFormat="1">
      <c r="A26" s="59"/>
      <c r="B26" s="2248"/>
      <c r="C26" s="82" t="s">
        <v>189</v>
      </c>
      <c r="D26" s="86">
        <f>'RRP 1.3'!W$12</f>
        <v>7.5444930721556567</v>
      </c>
      <c r="E26" s="86">
        <v>0</v>
      </c>
      <c r="F26" s="86">
        <v>0</v>
      </c>
      <c r="G26" s="86">
        <v>0</v>
      </c>
      <c r="H26" s="86">
        <v>0</v>
      </c>
      <c r="I26" s="86">
        <f t="shared" si="0"/>
        <v>7.5444930721556567</v>
      </c>
      <c r="J26" s="54"/>
      <c r="K26" s="86" t="s">
        <v>478</v>
      </c>
      <c r="L26" s="96">
        <f>IF(ISERROR(VLOOKUP($K26,'Calc-Drivers'!$B$17:$G$27,L$43,FALSE))," ",VLOOKUP($K26,'Calc-Drivers'!$B$17:$G$27,L$43,FALSE))</f>
        <v>0.36761309961829525</v>
      </c>
      <c r="M26" s="96">
        <f>IF(ISERROR(VLOOKUP($K26,'Calc-Drivers'!$B$17:$G$27,M$43,FALSE))," ",VLOOKUP($K26,'Calc-Drivers'!$B$17:$G$27,M$43,FALSE))</f>
        <v>0.11388332466663602</v>
      </c>
      <c r="N26" s="96">
        <f>IF(ISERROR(VLOOKUP($K26,'Calc-Drivers'!$B$17:$G$27,N$43,FALSE))," ",VLOOKUP($K26,'Calc-Drivers'!$B$17:$G$27,N$43,FALSE))</f>
        <v>3.5106835271515605E-2</v>
      </c>
      <c r="O26" s="96">
        <f>IF(ISERROR(VLOOKUP($K26,'Calc-Drivers'!$B$17:$G$27,O$43,FALSE))," ",VLOOKUP($K26,'Calc-Drivers'!$B$17:$G$27,O$43,FALSE))</f>
        <v>0.25336864011527199</v>
      </c>
      <c r="P26" s="96">
        <f>IF(ISERROR(VLOOKUP($K26,'Calc-Drivers'!$B$17:$G$27,P$43,FALSE))," ",VLOOKUP($K26,'Calc-Drivers'!$B$17:$G$27,P$43,FALSE))</f>
        <v>0.23002810032828097</v>
      </c>
      <c r="Q26" s="108"/>
      <c r="R26" s="48"/>
      <c r="S26" s="49">
        <f t="shared" si="1"/>
        <v>2.7734544833038957</v>
      </c>
      <c r="T26" s="49">
        <f t="shared" si="2"/>
        <v>0.85919195398148884</v>
      </c>
      <c r="U26" s="49">
        <f t="shared" si="3"/>
        <v>0.26486327549125932</v>
      </c>
      <c r="V26" s="101">
        <f t="shared" si="4"/>
        <v>1.9115379500511693</v>
      </c>
      <c r="W26" s="101">
        <f t="shared" si="4"/>
        <v>1.7354454093278422</v>
      </c>
      <c r="X26" s="50"/>
      <c r="Y26" s="55"/>
      <c r="Z26" s="49">
        <f t="shared" si="5"/>
        <v>2.7734544833038957</v>
      </c>
      <c r="AA26" s="49">
        <f t="shared" si="6"/>
        <v>0.85919195398148884</v>
      </c>
      <c r="AB26" s="49">
        <f t="shared" si="7"/>
        <v>0.26486327549125932</v>
      </c>
      <c r="AC26" s="101">
        <f t="shared" si="8"/>
        <v>1.9115379500511693</v>
      </c>
      <c r="AD26" s="101">
        <f t="shared" si="9"/>
        <v>1.7354454093278422</v>
      </c>
      <c r="AE26" s="50"/>
      <c r="AF26" s="56"/>
      <c r="AG26" s="51">
        <f>IF(ISERROR(Z26*100000000/'Calc-Units'!$E$23)," ",Z26*100000000/'Calc-Units'!$E$23)</f>
        <v>9.4447875718477788E-3</v>
      </c>
      <c r="AH26" s="51">
        <f>IF(ISERROR(AA26*100000000/'Calc-Units'!$D$23)," ",AA26*100000000/'Calc-Units'!$D$23)</f>
        <v>2.9952975293363318E-3</v>
      </c>
      <c r="AI26" s="51">
        <f>IF(ISERROR(AB26*100000000/'Calc-Units'!$C$23)," ",AB26*100000000/'Calc-Units'!$C$23)</f>
        <v>1.3733447863282138E-3</v>
      </c>
      <c r="AJ26" s="171">
        <f>IF(ISERROR(AC26*100000000/'Calc-Units'!$C$23)," ",AC26*100000000/'Calc-Units'!$C$23)</f>
        <v>9.9115314220220331E-3</v>
      </c>
      <c r="AK26" s="57"/>
      <c r="AL26" s="53">
        <v>0.52569999999999995</v>
      </c>
      <c r="AM26" s="84">
        <f t="shared" si="10"/>
        <v>3.9661400080322284</v>
      </c>
      <c r="AN26" s="47">
        <f t="shared" si="11"/>
        <v>3.5783530641234282</v>
      </c>
      <c r="AO26" s="46"/>
      <c r="AP26" s="46"/>
      <c r="AQ26" s="49">
        <f t="shared" si="12"/>
        <v>1.3154494614310379</v>
      </c>
      <c r="AR26" s="49">
        <f t="shared" si="13"/>
        <v>0.40751474377342023</v>
      </c>
      <c r="AS26" s="49">
        <f t="shared" si="14"/>
        <v>0.12562465156550431</v>
      </c>
      <c r="AT26" s="101">
        <f t="shared" si="15"/>
        <v>0.90664244970926977</v>
      </c>
      <c r="AU26" s="101">
        <f t="shared" si="16"/>
        <v>0.8231217576441956</v>
      </c>
      <c r="AV26" s="50"/>
      <c r="AW26" s="57"/>
      <c r="AX26" s="51">
        <f>IF(ISERROR(AQ26*100000000/'Calc-Units'!$E$23)," ",AQ26*100000000/'Calc-Units'!$E$23)</f>
        <v>4.4796627453274019E-3</v>
      </c>
      <c r="AY26" s="51">
        <f>IF(ISERROR(AR26*100000000/'Calc-Units'!$D$23)," ",AR26*100000000/'Calc-Units'!$D$23)</f>
        <v>1.4206696181642226E-3</v>
      </c>
      <c r="AZ26" s="51">
        <f>IF(ISERROR(AS26*100000000/'Calc-Units'!$C$23)," ",AS26*100000000/'Calc-Units'!$C$23)</f>
        <v>6.5137743215547197E-4</v>
      </c>
      <c r="BA26" s="171">
        <f>IF(ISERROR(AT26*100000000/'Calc-Units'!$C$23)," ",AT26*100000000/'Calc-Units'!$C$23)</f>
        <v>4.7010393534650512E-3</v>
      </c>
      <c r="BC26" s="55"/>
      <c r="BD26" s="55"/>
    </row>
    <row r="27" spans="1:56" s="58" customFormat="1">
      <c r="A27" s="62"/>
      <c r="B27" s="2249"/>
      <c r="C27" s="82" t="s">
        <v>468</v>
      </c>
      <c r="D27" s="86">
        <f>'RRP 1.3'!X$12</f>
        <v>1.6451252035656032</v>
      </c>
      <c r="E27" s="86">
        <v>0</v>
      </c>
      <c r="F27" s="86">
        <v>0</v>
      </c>
      <c r="G27" s="86">
        <v>0</v>
      </c>
      <c r="H27" s="86">
        <v>0</v>
      </c>
      <c r="I27" s="86">
        <f t="shared" si="0"/>
        <v>1.6451252035656032</v>
      </c>
      <c r="J27" s="54"/>
      <c r="K27" s="103" t="s">
        <v>478</v>
      </c>
      <c r="L27" s="96">
        <f>IF(ISERROR(VLOOKUP($K27,'Calc-Drivers'!$B$17:$G$27,L$43,FALSE))," ",VLOOKUP($K27,'Calc-Drivers'!$B$17:$G$27,L$43,FALSE))</f>
        <v>0.36761309961829525</v>
      </c>
      <c r="M27" s="96">
        <f>IF(ISERROR(VLOOKUP($K27,'Calc-Drivers'!$B$17:$G$27,M$43,FALSE))," ",VLOOKUP($K27,'Calc-Drivers'!$B$17:$G$27,M$43,FALSE))</f>
        <v>0.11388332466663602</v>
      </c>
      <c r="N27" s="96">
        <f>IF(ISERROR(VLOOKUP($K27,'Calc-Drivers'!$B$17:$G$27,N$43,FALSE))," ",VLOOKUP($K27,'Calc-Drivers'!$B$17:$G$27,N$43,FALSE))</f>
        <v>3.5106835271515605E-2</v>
      </c>
      <c r="O27" s="96">
        <f>IF(ISERROR(VLOOKUP($K27,'Calc-Drivers'!$B$17:$G$27,O$43,FALSE))," ",VLOOKUP($K27,'Calc-Drivers'!$B$17:$G$27,O$43,FALSE))</f>
        <v>0.25336864011527199</v>
      </c>
      <c r="P27" s="96">
        <f>IF(ISERROR(VLOOKUP($K27,'Calc-Drivers'!$B$17:$G$27,P$43,FALSE))," ",VLOOKUP($K27,'Calc-Drivers'!$B$17:$G$27,P$43,FALSE))</f>
        <v>0.23002810032828097</v>
      </c>
      <c r="Q27" s="108"/>
      <c r="R27" s="48"/>
      <c r="S27" s="49">
        <f t="shared" si="1"/>
        <v>0.6047695753429303</v>
      </c>
      <c r="T27" s="49">
        <f t="shared" si="2"/>
        <v>0.18735232767492727</v>
      </c>
      <c r="U27" s="49">
        <f t="shared" si="3"/>
        <v>5.7755139522596206E-2</v>
      </c>
      <c r="V27" s="101">
        <f t="shared" si="4"/>
        <v>0.41682313564677692</v>
      </c>
      <c r="W27" s="101">
        <f t="shared" si="4"/>
        <v>0.37842502537837225</v>
      </c>
      <c r="X27" s="50"/>
      <c r="Y27" s="55"/>
      <c r="Z27" s="105">
        <f t="shared" si="5"/>
        <v>0.6047695753429303</v>
      </c>
      <c r="AA27" s="105">
        <f t="shared" si="6"/>
        <v>0.18735232767492727</v>
      </c>
      <c r="AB27" s="105">
        <f t="shared" si="7"/>
        <v>5.7755139522596206E-2</v>
      </c>
      <c r="AC27" s="102">
        <f t="shared" si="8"/>
        <v>0.41682313564677692</v>
      </c>
      <c r="AD27" s="102">
        <f t="shared" si="9"/>
        <v>0.37842502537837225</v>
      </c>
      <c r="AE27" s="50"/>
      <c r="AF27" s="56"/>
      <c r="AG27" s="172">
        <f>IF(ISERROR(Z27*100000000/'Calc-Units'!$E$23)," ",Z27*100000000/'Calc-Units'!$E$23)</f>
        <v>2.059496632598854E-3</v>
      </c>
      <c r="AH27" s="172">
        <f>IF(ISERROR(AA27*100000000/'Calc-Units'!$D$23)," ",AA27*100000000/'Calc-Units'!$D$23)</f>
        <v>6.531438773368809E-4</v>
      </c>
      <c r="AI27" s="172">
        <f>IF(ISERROR(AB27*100000000/'Calc-Units'!$C$23)," ",AB27*100000000/'Calc-Units'!$C$23)</f>
        <v>2.9946665727779845E-4</v>
      </c>
      <c r="AJ27" s="173">
        <f>IF(ISERROR(AC27*100000000/'Calc-Units'!$C$23)," ",AC27*100000000/'Calc-Units'!$C$23)</f>
        <v>2.1612731289369332E-3</v>
      </c>
      <c r="AK27" s="57"/>
      <c r="AL27" s="201">
        <v>0.52569999999999995</v>
      </c>
      <c r="AM27" s="94">
        <f t="shared" si="10"/>
        <v>0.86484231951443746</v>
      </c>
      <c r="AN27" s="175">
        <f t="shared" si="11"/>
        <v>0.78028288405116575</v>
      </c>
      <c r="AO27" s="46"/>
      <c r="AP27" s="46"/>
      <c r="AQ27" s="105">
        <f t="shared" si="12"/>
        <v>0.28684220958515189</v>
      </c>
      <c r="AR27" s="105">
        <f t="shared" si="13"/>
        <v>8.886120901621801E-2</v>
      </c>
      <c r="AS27" s="105">
        <f t="shared" si="14"/>
        <v>2.7393262675567385E-2</v>
      </c>
      <c r="AT27" s="102">
        <f t="shared" si="15"/>
        <v>0.19769921323726633</v>
      </c>
      <c r="AU27" s="102">
        <f t="shared" si="16"/>
        <v>0.17948698953696199</v>
      </c>
      <c r="AV27" s="50"/>
      <c r="AW27" s="57"/>
      <c r="AX27" s="172">
        <f>IF(ISERROR(AQ27*100000000/'Calc-Units'!$E$23)," ",AQ27*100000000/'Calc-Units'!$E$23)</f>
        <v>9.768192528416366E-4</v>
      </c>
      <c r="AY27" s="172">
        <f>IF(ISERROR(AR27*100000000/'Calc-Units'!$D$23)," ",AR27*100000000/'Calc-Units'!$D$23)</f>
        <v>3.0978614102088268E-4</v>
      </c>
      <c r="AZ27" s="172">
        <f>IF(ISERROR(AS27*100000000/'Calc-Units'!$C$23)," ",AS27*100000000/'Calc-Units'!$C$23)</f>
        <v>1.4203703554685983E-4</v>
      </c>
      <c r="BA27" s="173">
        <f>IF(ISERROR(AT27*100000000/'Calc-Units'!$C$23)," ",AT27*100000000/'Calc-Units'!$C$23)</f>
        <v>1.0250918450547875E-3</v>
      </c>
      <c r="BC27" s="55"/>
      <c r="BD27" s="55"/>
    </row>
    <row r="28" spans="1:56" s="43" customFormat="1" ht="12.75" customHeight="1">
      <c r="A28" s="61" t="s">
        <v>324</v>
      </c>
      <c r="B28" s="78"/>
      <c r="C28" s="61" t="s">
        <v>469</v>
      </c>
      <c r="D28" s="87">
        <f>'RRP 1.3'!Y$12</f>
        <v>1.32151902</v>
      </c>
      <c r="E28" s="87">
        <v>0</v>
      </c>
      <c r="F28" s="87">
        <v>0</v>
      </c>
      <c r="G28" s="87">
        <v>0</v>
      </c>
      <c r="H28" s="87">
        <v>0</v>
      </c>
      <c r="I28" s="87">
        <f t="shared" si="0"/>
        <v>1.32151902</v>
      </c>
      <c r="J28" s="46"/>
      <c r="K28" s="88" t="s">
        <v>467</v>
      </c>
      <c r="L28" s="96" t="str">
        <f>IF(ISERROR(VLOOKUP($K28,'Calc-Drivers'!$B$17:$G$27,L$43,FALSE))," ",VLOOKUP($K28,'Calc-Drivers'!$B$17:$G$27,L$43,FALSE))</f>
        <v xml:space="preserve"> </v>
      </c>
      <c r="M28" s="96" t="str">
        <f>IF(ISERROR(VLOOKUP($K28,'Calc-Drivers'!$B$17:$G$27,M$43,FALSE))," ",VLOOKUP($K28,'Calc-Drivers'!$B$17:$G$27,M$43,FALSE))</f>
        <v xml:space="preserve"> </v>
      </c>
      <c r="N28" s="96" t="str">
        <f>IF(ISERROR(VLOOKUP($K28,'Calc-Drivers'!$B$17:$G$27,N$43,FALSE))," ",VLOOKUP($K28,'Calc-Drivers'!$B$17:$G$27,N$43,FALSE))</f>
        <v xml:space="preserve"> </v>
      </c>
      <c r="O28" s="96" t="str">
        <f>IF(ISERROR(VLOOKUP($K28,'Calc-Drivers'!$B$17:$G$27,O$43,FALSE))," ",VLOOKUP($K28,'Calc-Drivers'!$B$17:$G$27,O$43,FALSE))</f>
        <v xml:space="preserve"> </v>
      </c>
      <c r="P28" s="96" t="str">
        <f>IF(ISERROR(VLOOKUP($K28,'Calc-Drivers'!$B$17:$G$27,P$43,FALSE))," ",VLOOKUP($K28,'Calc-Drivers'!$B$17:$G$27,P$43,FALSE))</f>
        <v xml:space="preserve"> </v>
      </c>
      <c r="Q28" s="108"/>
      <c r="R28" s="48"/>
      <c r="S28" s="104" t="str">
        <f t="shared" si="1"/>
        <v xml:space="preserve"> </v>
      </c>
      <c r="T28" s="104" t="str">
        <f t="shared" si="2"/>
        <v xml:space="preserve"> </v>
      </c>
      <c r="U28" s="104" t="str">
        <f t="shared" si="3"/>
        <v xml:space="preserve"> </v>
      </c>
      <c r="V28" s="100" t="str">
        <f t="shared" si="4"/>
        <v xml:space="preserve"> </v>
      </c>
      <c r="W28" s="100" t="str">
        <f t="shared" si="4"/>
        <v xml:space="preserve"> </v>
      </c>
      <c r="X28" s="50"/>
      <c r="Y28" s="44"/>
      <c r="Z28" s="104" t="str">
        <f t="shared" si="5"/>
        <v xml:space="preserve"> </v>
      </c>
      <c r="AA28" s="104" t="str">
        <f t="shared" si="6"/>
        <v xml:space="preserve"> </v>
      </c>
      <c r="AB28" s="104" t="str">
        <f t="shared" si="7"/>
        <v xml:space="preserve"> </v>
      </c>
      <c r="AC28" s="100" t="str">
        <f t="shared" si="8"/>
        <v xml:space="preserve"> </v>
      </c>
      <c r="AD28" s="100" t="str">
        <f t="shared" si="9"/>
        <v xml:space="preserve"> </v>
      </c>
      <c r="AE28" s="50"/>
      <c r="AF28" s="50"/>
      <c r="AG28" s="198" t="str">
        <f>IF(ISERROR(Z28*100000000/'Calc-Units'!$E$23)," ",Z28*100000000/'Calc-Units'!$E$23)</f>
        <v xml:space="preserve"> </v>
      </c>
      <c r="AH28" s="198" t="str">
        <f>IF(ISERROR(AA28*100000000/'Calc-Units'!$D$23)," ",AA28*100000000/'Calc-Units'!$D$23)</f>
        <v xml:space="preserve"> </v>
      </c>
      <c r="AI28" s="198" t="str">
        <f>IF(ISERROR(AB28*100000000/'Calc-Units'!$C$23)," ",AB28*100000000/'Calc-Units'!$C$23)</f>
        <v xml:space="preserve"> </v>
      </c>
      <c r="AJ28" s="199" t="str">
        <f>IF(ISERROR(AC28*100000000/'Calc-Units'!$C$23)," ",AC28*100000000/'Calc-Units'!$C$23)</f>
        <v xml:space="preserve"> </v>
      </c>
      <c r="AK28" s="52"/>
      <c r="AL28" s="60">
        <v>0</v>
      </c>
      <c r="AM28" s="84">
        <f t="shared" si="10"/>
        <v>0</v>
      </c>
      <c r="AN28" s="47">
        <f t="shared" si="11"/>
        <v>1.32151902</v>
      </c>
      <c r="AO28" s="46"/>
      <c r="AP28" s="46"/>
      <c r="AQ28" s="104" t="str">
        <f t="shared" si="12"/>
        <v xml:space="preserve"> </v>
      </c>
      <c r="AR28" s="104" t="str">
        <f t="shared" si="13"/>
        <v xml:space="preserve"> </v>
      </c>
      <c r="AS28" s="104" t="str">
        <f t="shared" si="14"/>
        <v xml:space="preserve"> </v>
      </c>
      <c r="AT28" s="100" t="str">
        <f t="shared" si="15"/>
        <v xml:space="preserve"> </v>
      </c>
      <c r="AU28" s="100" t="str">
        <f t="shared" si="16"/>
        <v xml:space="preserve"> </v>
      </c>
      <c r="AV28" s="50"/>
      <c r="AW28" s="52"/>
      <c r="AX28" s="198" t="str">
        <f>IF(ISERROR(AQ28*100000000/'Calc-Units'!$E$23)," ",AQ28*100000000/'Calc-Units'!$E$23)</f>
        <v xml:space="preserve"> </v>
      </c>
      <c r="AY28" s="198" t="str">
        <f>IF(ISERROR(AR28*100000000/'Calc-Units'!$D$23)," ",AR28*100000000/'Calc-Units'!$D$23)</f>
        <v xml:space="preserve"> </v>
      </c>
      <c r="AZ28" s="198" t="str">
        <f>IF(ISERROR(AS28*100000000/'Calc-Units'!$C$23)," ",AS28*100000000/'Calc-Units'!$C$23)</f>
        <v xml:space="preserve"> </v>
      </c>
      <c r="BA28" s="199" t="str">
        <f>IF(ISERROR(AT28*100000000/'Calc-Units'!$C$23)," ",AT28*100000000/'Calc-Units'!$C$23)</f>
        <v xml:space="preserve"> </v>
      </c>
      <c r="BC28" s="55"/>
      <c r="BD28" s="44"/>
    </row>
    <row r="29" spans="1:56" s="43" customFormat="1">
      <c r="A29" s="59"/>
      <c r="B29" s="79"/>
      <c r="C29" s="59" t="s">
        <v>470</v>
      </c>
      <c r="D29" s="88">
        <f>'RRP 1.3'!Z$12</f>
        <v>9.5</v>
      </c>
      <c r="E29" s="88">
        <v>0</v>
      </c>
      <c r="F29" s="88">
        <v>0</v>
      </c>
      <c r="G29" s="88">
        <v>0</v>
      </c>
      <c r="H29" s="88">
        <v>0</v>
      </c>
      <c r="I29" s="88">
        <f t="shared" si="0"/>
        <v>9.5</v>
      </c>
      <c r="J29" s="46"/>
      <c r="K29" s="87" t="s">
        <v>467</v>
      </c>
      <c r="L29" s="169" t="str">
        <f>IF(ISERROR(VLOOKUP($K29,'Calc-Drivers'!$B$17:$G$27,L$43,FALSE))," ",VLOOKUP($K29,'Calc-Drivers'!$B$17:$G$27,L$43,FALSE))</f>
        <v xml:space="preserve"> </v>
      </c>
      <c r="M29" s="169" t="str">
        <f>IF(ISERROR(VLOOKUP($K29,'Calc-Drivers'!$B$17:$G$27,M$43,FALSE))," ",VLOOKUP($K29,'Calc-Drivers'!$B$17:$G$27,M$43,FALSE))</f>
        <v xml:space="preserve"> </v>
      </c>
      <c r="N29" s="169" t="str">
        <f>IF(ISERROR(VLOOKUP($K29,'Calc-Drivers'!$B$17:$G$27,N$43,FALSE))," ",VLOOKUP($K29,'Calc-Drivers'!$B$17:$G$27,N$43,FALSE))</f>
        <v xml:space="preserve"> </v>
      </c>
      <c r="O29" s="169" t="str">
        <f>IF(ISERROR(VLOOKUP($K29,'Calc-Drivers'!$B$17:$G$27,O$43,FALSE))," ",VLOOKUP($K29,'Calc-Drivers'!$B$17:$G$27,O$43,FALSE))</f>
        <v xml:space="preserve"> </v>
      </c>
      <c r="P29" s="169" t="str">
        <f>IF(ISERROR(VLOOKUP($K29,'Calc-Drivers'!$B$17:$G$27,P$43,FALSE))," ",VLOOKUP($K29,'Calc-Drivers'!$B$17:$G$27,P$43,FALSE))</f>
        <v xml:space="preserve"> </v>
      </c>
      <c r="Q29" s="108"/>
      <c r="R29" s="48"/>
      <c r="S29" s="49" t="str">
        <f t="shared" si="1"/>
        <v xml:space="preserve"> </v>
      </c>
      <c r="T29" s="49" t="str">
        <f t="shared" si="2"/>
        <v xml:space="preserve"> </v>
      </c>
      <c r="U29" s="49" t="str">
        <f t="shared" si="3"/>
        <v xml:space="preserve"> </v>
      </c>
      <c r="V29" s="101" t="str">
        <f t="shared" si="4"/>
        <v xml:space="preserve"> </v>
      </c>
      <c r="W29" s="101" t="str">
        <f t="shared" si="4"/>
        <v xml:space="preserve"> </v>
      </c>
      <c r="X29" s="50"/>
      <c r="Y29" s="44"/>
      <c r="Z29" s="49" t="str">
        <f t="shared" si="5"/>
        <v xml:space="preserve"> </v>
      </c>
      <c r="AA29" s="49" t="str">
        <f t="shared" si="6"/>
        <v xml:space="preserve"> </v>
      </c>
      <c r="AB29" s="49" t="str">
        <f t="shared" si="7"/>
        <v xml:space="preserve"> </v>
      </c>
      <c r="AC29" s="101" t="str">
        <f t="shared" si="8"/>
        <v xml:space="preserve"> </v>
      </c>
      <c r="AD29" s="101" t="str">
        <f t="shared" si="9"/>
        <v xml:space="preserve"> </v>
      </c>
      <c r="AE29" s="50"/>
      <c r="AF29" s="50"/>
      <c r="AG29" s="51" t="str">
        <f>IF(ISERROR(Z29*100000000/'Calc-Units'!$E$23)," ",Z29*100000000/'Calc-Units'!$E$23)</f>
        <v xml:space="preserve"> </v>
      </c>
      <c r="AH29" s="51" t="str">
        <f>IF(ISERROR(AA29*100000000/'Calc-Units'!$D$23)," ",AA29*100000000/'Calc-Units'!$D$23)</f>
        <v xml:space="preserve"> </v>
      </c>
      <c r="AI29" s="51" t="str">
        <f>IF(ISERROR(AB29*100000000/'Calc-Units'!$C$23)," ",AB29*100000000/'Calc-Units'!$C$23)</f>
        <v xml:space="preserve"> </v>
      </c>
      <c r="AJ29" s="171" t="str">
        <f>IF(ISERROR(AC29*100000000/'Calc-Units'!$C$23)," ",AC29*100000000/'Calc-Units'!$C$23)</f>
        <v xml:space="preserve"> </v>
      </c>
      <c r="AK29" s="52"/>
      <c r="AL29" s="60">
        <v>0.57699999999999996</v>
      </c>
      <c r="AM29" s="84">
        <f t="shared" si="10"/>
        <v>5.4814999999999996</v>
      </c>
      <c r="AN29" s="47">
        <f t="shared" si="11"/>
        <v>4.0185000000000004</v>
      </c>
      <c r="AO29" s="46"/>
      <c r="AP29" s="46"/>
      <c r="AQ29" s="49" t="str">
        <f t="shared" si="12"/>
        <v xml:space="preserve"> </v>
      </c>
      <c r="AR29" s="49" t="str">
        <f t="shared" si="13"/>
        <v xml:space="preserve"> </v>
      </c>
      <c r="AS29" s="49" t="str">
        <f t="shared" si="14"/>
        <v xml:space="preserve"> </v>
      </c>
      <c r="AT29" s="101" t="str">
        <f t="shared" si="15"/>
        <v xml:space="preserve"> </v>
      </c>
      <c r="AU29" s="101" t="str">
        <f t="shared" si="16"/>
        <v xml:space="preserve"> </v>
      </c>
      <c r="AV29" s="50"/>
      <c r="AW29" s="52"/>
      <c r="AX29" s="51" t="str">
        <f>IF(ISERROR(AQ29*100000000/'Calc-Units'!$E$23)," ",AQ29*100000000/'Calc-Units'!$E$23)</f>
        <v xml:space="preserve"> </v>
      </c>
      <c r="AY29" s="51" t="str">
        <f>IF(ISERROR(AR29*100000000/'Calc-Units'!$D$23)," ",AR29*100000000/'Calc-Units'!$D$23)</f>
        <v xml:space="preserve"> </v>
      </c>
      <c r="AZ29" s="51" t="str">
        <f>IF(ISERROR(AS29*100000000/'Calc-Units'!$C$23)," ",AS29*100000000/'Calc-Units'!$C$23)</f>
        <v xml:space="preserve"> </v>
      </c>
      <c r="BA29" s="171" t="str">
        <f>IF(ISERROR(AT29*100000000/'Calc-Units'!$C$23)," ",AT29*100000000/'Calc-Units'!$C$23)</f>
        <v xml:space="preserve"> </v>
      </c>
      <c r="BC29" s="55"/>
      <c r="BD29" s="44"/>
    </row>
    <row r="30" spans="1:56" s="43" customFormat="1">
      <c r="A30" s="59"/>
      <c r="B30" s="79"/>
      <c r="C30" s="59" t="s">
        <v>768</v>
      </c>
      <c r="D30" s="88">
        <f>'RRP 1.3'!AA$12</f>
        <v>0.79378199999999999</v>
      </c>
      <c r="E30" s="88">
        <v>0</v>
      </c>
      <c r="F30" s="88">
        <v>0</v>
      </c>
      <c r="G30" s="88">
        <v>0</v>
      </c>
      <c r="H30" s="88">
        <v>0</v>
      </c>
      <c r="I30" s="88">
        <f t="shared" si="0"/>
        <v>0.79378199999999999</v>
      </c>
      <c r="J30" s="46"/>
      <c r="K30" s="88" t="s">
        <v>467</v>
      </c>
      <c r="L30" s="96" t="str">
        <f>IF(ISERROR(VLOOKUP($K30,'Calc-Drivers'!$B$17:$G$27,L$43,FALSE))," ",VLOOKUP($K30,'Calc-Drivers'!$B$17:$G$27,L$43,FALSE))</f>
        <v xml:space="preserve"> </v>
      </c>
      <c r="M30" s="96" t="str">
        <f>IF(ISERROR(VLOOKUP($K30,'Calc-Drivers'!$B$17:$G$27,M$43,FALSE))," ",VLOOKUP($K30,'Calc-Drivers'!$B$17:$G$27,M$43,FALSE))</f>
        <v xml:space="preserve"> </v>
      </c>
      <c r="N30" s="96" t="str">
        <f>IF(ISERROR(VLOOKUP($K30,'Calc-Drivers'!$B$17:$G$27,N$43,FALSE))," ",VLOOKUP($K30,'Calc-Drivers'!$B$17:$G$27,N$43,FALSE))</f>
        <v xml:space="preserve"> </v>
      </c>
      <c r="O30" s="96" t="str">
        <f>IF(ISERROR(VLOOKUP($K30,'Calc-Drivers'!$B$17:$G$27,O$43,FALSE))," ",VLOOKUP($K30,'Calc-Drivers'!$B$17:$G$27,O$43,FALSE))</f>
        <v xml:space="preserve"> </v>
      </c>
      <c r="P30" s="96" t="str">
        <f>IF(ISERROR(VLOOKUP($K30,'Calc-Drivers'!$B$17:$G$27,P$43,FALSE))," ",VLOOKUP($K30,'Calc-Drivers'!$B$17:$G$27,P$43,FALSE))</f>
        <v xml:space="preserve"> </v>
      </c>
      <c r="Q30" s="108"/>
      <c r="R30" s="48"/>
      <c r="S30" s="49" t="str">
        <f t="shared" si="1"/>
        <v xml:space="preserve"> </v>
      </c>
      <c r="T30" s="49" t="str">
        <f t="shared" si="2"/>
        <v xml:space="preserve"> </v>
      </c>
      <c r="U30" s="49" t="str">
        <f t="shared" si="3"/>
        <v xml:space="preserve"> </v>
      </c>
      <c r="V30" s="101" t="str">
        <f t="shared" si="4"/>
        <v xml:space="preserve"> </v>
      </c>
      <c r="W30" s="101" t="str">
        <f t="shared" si="4"/>
        <v xml:space="preserve"> </v>
      </c>
      <c r="X30" s="50"/>
      <c r="Y30" s="44"/>
      <c r="Z30" s="49" t="str">
        <f t="shared" si="5"/>
        <v xml:space="preserve"> </v>
      </c>
      <c r="AA30" s="49" t="str">
        <f t="shared" si="6"/>
        <v xml:space="preserve"> </v>
      </c>
      <c r="AB30" s="49" t="str">
        <f t="shared" si="7"/>
        <v xml:space="preserve"> </v>
      </c>
      <c r="AC30" s="101" t="str">
        <f t="shared" si="8"/>
        <v xml:space="preserve"> </v>
      </c>
      <c r="AD30" s="101" t="str">
        <f t="shared" si="9"/>
        <v xml:space="preserve"> </v>
      </c>
      <c r="AE30" s="50"/>
      <c r="AF30" s="50"/>
      <c r="AG30" s="51" t="str">
        <f>IF(ISERROR(Z30*100000000/'Calc-Units'!$E$23)," ",Z30*100000000/'Calc-Units'!$E$23)</f>
        <v xml:space="preserve"> </v>
      </c>
      <c r="AH30" s="51" t="str">
        <f>IF(ISERROR(AA30*100000000/'Calc-Units'!$D$23)," ",AA30*100000000/'Calc-Units'!$D$23)</f>
        <v xml:space="preserve"> </v>
      </c>
      <c r="AI30" s="51" t="str">
        <f>IF(ISERROR(AB30*100000000/'Calc-Units'!$C$23)," ",AB30*100000000/'Calc-Units'!$C$23)</f>
        <v xml:space="preserve"> </v>
      </c>
      <c r="AJ30" s="171" t="str">
        <f>IF(ISERROR(AC30*100000000/'Calc-Units'!$C$23)," ",AC30*100000000/'Calc-Units'!$C$23)</f>
        <v xml:space="preserve"> </v>
      </c>
      <c r="AK30" s="52"/>
      <c r="AL30" s="60">
        <v>0</v>
      </c>
      <c r="AM30" s="84">
        <f t="shared" si="10"/>
        <v>0</v>
      </c>
      <c r="AN30" s="47">
        <f t="shared" si="11"/>
        <v>0.79378199999999999</v>
      </c>
      <c r="AO30" s="46"/>
      <c r="AP30" s="46"/>
      <c r="AQ30" s="49" t="str">
        <f t="shared" si="12"/>
        <v xml:space="preserve"> </v>
      </c>
      <c r="AR30" s="49" t="str">
        <f t="shared" si="13"/>
        <v xml:space="preserve"> </v>
      </c>
      <c r="AS30" s="49" t="str">
        <f t="shared" si="14"/>
        <v xml:space="preserve"> </v>
      </c>
      <c r="AT30" s="101" t="str">
        <f t="shared" si="15"/>
        <v xml:space="preserve"> </v>
      </c>
      <c r="AU30" s="101" t="str">
        <f t="shared" si="16"/>
        <v xml:space="preserve"> </v>
      </c>
      <c r="AV30" s="50"/>
      <c r="AW30" s="52"/>
      <c r="AX30" s="51" t="str">
        <f>IF(ISERROR(AQ30*100000000/'Calc-Units'!$E$23)," ",AQ30*100000000/'Calc-Units'!$E$23)</f>
        <v xml:space="preserve"> </v>
      </c>
      <c r="AY30" s="51" t="str">
        <f>IF(ISERROR(AR30*100000000/'Calc-Units'!$D$23)," ",AR30*100000000/'Calc-Units'!$D$23)</f>
        <v xml:space="preserve"> </v>
      </c>
      <c r="AZ30" s="51" t="str">
        <f>IF(ISERROR(AS30*100000000/'Calc-Units'!$C$23)," ",AS30*100000000/'Calc-Units'!$C$23)</f>
        <v xml:space="preserve"> </v>
      </c>
      <c r="BA30" s="171" t="str">
        <f>IF(ISERROR(AT30*100000000/'Calc-Units'!$C$23)," ",AT30*100000000/'Calc-Units'!$C$23)</f>
        <v xml:space="preserve"> </v>
      </c>
      <c r="BC30" s="44"/>
      <c r="BD30" s="44"/>
    </row>
    <row r="31" spans="1:56" s="43" customFormat="1">
      <c r="A31" s="59"/>
      <c r="B31" s="79"/>
      <c r="C31" s="59" t="s">
        <v>769</v>
      </c>
      <c r="D31" s="88">
        <f>'RRP 1.3'!AB$12</f>
        <v>9.751431000299192</v>
      </c>
      <c r="E31" s="88">
        <v>0</v>
      </c>
      <c r="F31" s="88">
        <v>0</v>
      </c>
      <c r="G31" s="88">
        <v>0</v>
      </c>
      <c r="H31" s="88">
        <v>0</v>
      </c>
      <c r="I31" s="88">
        <f t="shared" si="0"/>
        <v>9.751431000299192</v>
      </c>
      <c r="J31" s="46"/>
      <c r="K31" s="88" t="s">
        <v>467</v>
      </c>
      <c r="L31" s="96" t="str">
        <f>IF(ISERROR(VLOOKUP($K31,'Calc-Drivers'!$B$17:$G$27,L$43,FALSE))," ",VLOOKUP($K31,'Calc-Drivers'!$B$17:$G$27,L$43,FALSE))</f>
        <v xml:space="preserve"> </v>
      </c>
      <c r="M31" s="96" t="str">
        <f>IF(ISERROR(VLOOKUP($K31,'Calc-Drivers'!$B$17:$G$27,M$43,FALSE))," ",VLOOKUP($K31,'Calc-Drivers'!$B$17:$G$27,M$43,FALSE))</f>
        <v xml:space="preserve"> </v>
      </c>
      <c r="N31" s="96" t="str">
        <f>IF(ISERROR(VLOOKUP($K31,'Calc-Drivers'!$B$17:$G$27,N$43,FALSE))," ",VLOOKUP($K31,'Calc-Drivers'!$B$17:$G$27,N$43,FALSE))</f>
        <v xml:space="preserve"> </v>
      </c>
      <c r="O31" s="96" t="str">
        <f>IF(ISERROR(VLOOKUP($K31,'Calc-Drivers'!$B$17:$G$27,O$43,FALSE))," ",VLOOKUP($K31,'Calc-Drivers'!$B$17:$G$27,O$43,FALSE))</f>
        <v xml:space="preserve"> </v>
      </c>
      <c r="P31" s="96" t="str">
        <f>IF(ISERROR(VLOOKUP($K31,'Calc-Drivers'!$B$17:$G$27,P$43,FALSE))," ",VLOOKUP($K31,'Calc-Drivers'!$B$17:$G$27,P$43,FALSE))</f>
        <v xml:space="preserve"> </v>
      </c>
      <c r="Q31" s="108"/>
      <c r="R31" s="48"/>
      <c r="S31" s="49" t="str">
        <f t="shared" si="1"/>
        <v xml:space="preserve"> </v>
      </c>
      <c r="T31" s="49" t="str">
        <f t="shared" si="2"/>
        <v xml:space="preserve"> </v>
      </c>
      <c r="U31" s="49" t="str">
        <f t="shared" si="3"/>
        <v xml:space="preserve"> </v>
      </c>
      <c r="V31" s="101" t="str">
        <f t="shared" si="4"/>
        <v xml:space="preserve"> </v>
      </c>
      <c r="W31" s="101" t="str">
        <f t="shared" si="4"/>
        <v xml:space="preserve"> </v>
      </c>
      <c r="X31" s="50"/>
      <c r="Y31" s="44"/>
      <c r="Z31" s="49" t="str">
        <f t="shared" si="5"/>
        <v xml:space="preserve"> </v>
      </c>
      <c r="AA31" s="49" t="str">
        <f t="shared" si="6"/>
        <v xml:space="preserve"> </v>
      </c>
      <c r="AB31" s="49" t="str">
        <f t="shared" si="7"/>
        <v xml:space="preserve"> </v>
      </c>
      <c r="AC31" s="101" t="str">
        <f t="shared" si="8"/>
        <v xml:space="preserve"> </v>
      </c>
      <c r="AD31" s="101" t="str">
        <f t="shared" si="9"/>
        <v xml:space="preserve"> </v>
      </c>
      <c r="AE31" s="50"/>
      <c r="AF31" s="50"/>
      <c r="AG31" s="51" t="str">
        <f>IF(ISERROR(Z31*100000000/'Calc-Units'!$E$23)," ",Z31*100000000/'Calc-Units'!$E$23)</f>
        <v xml:space="preserve"> </v>
      </c>
      <c r="AH31" s="51" t="str">
        <f>IF(ISERROR(AA31*100000000/'Calc-Units'!$D$23)," ",AA31*100000000/'Calc-Units'!$D$23)</f>
        <v xml:space="preserve"> </v>
      </c>
      <c r="AI31" s="51" t="str">
        <f>IF(ISERROR(AB31*100000000/'Calc-Units'!$C$23)," ",AB31*100000000/'Calc-Units'!$C$23)</f>
        <v xml:space="preserve"> </v>
      </c>
      <c r="AJ31" s="171" t="str">
        <f>IF(ISERROR(AC31*100000000/'Calc-Units'!$C$23)," ",AC31*100000000/'Calc-Units'!$C$23)</f>
        <v xml:space="preserve"> </v>
      </c>
      <c r="AK31" s="52"/>
      <c r="AL31" s="60">
        <v>0</v>
      </c>
      <c r="AM31" s="84">
        <f t="shared" si="10"/>
        <v>0</v>
      </c>
      <c r="AN31" s="47">
        <f t="shared" si="11"/>
        <v>9.751431000299192</v>
      </c>
      <c r="AO31" s="46"/>
      <c r="AP31" s="46"/>
      <c r="AQ31" s="49" t="str">
        <f t="shared" si="12"/>
        <v xml:space="preserve"> </v>
      </c>
      <c r="AR31" s="49" t="str">
        <f t="shared" si="13"/>
        <v xml:space="preserve"> </v>
      </c>
      <c r="AS31" s="49" t="str">
        <f t="shared" si="14"/>
        <v xml:space="preserve"> </v>
      </c>
      <c r="AT31" s="101" t="str">
        <f t="shared" si="15"/>
        <v xml:space="preserve"> </v>
      </c>
      <c r="AU31" s="101" t="str">
        <f t="shared" si="16"/>
        <v xml:space="preserve"> </v>
      </c>
      <c r="AV31" s="50"/>
      <c r="AW31" s="52"/>
      <c r="AX31" s="51" t="str">
        <f>IF(ISERROR(AQ31*100000000/'Calc-Units'!$E$23)," ",AQ31*100000000/'Calc-Units'!$E$23)</f>
        <v xml:space="preserve"> </v>
      </c>
      <c r="AY31" s="51" t="str">
        <f>IF(ISERROR(AR31*100000000/'Calc-Units'!$D$23)," ",AR31*100000000/'Calc-Units'!$D$23)</f>
        <v xml:space="preserve"> </v>
      </c>
      <c r="AZ31" s="51" t="str">
        <f>IF(ISERROR(AS31*100000000/'Calc-Units'!$C$23)," ",AS31*100000000/'Calc-Units'!$C$23)</f>
        <v xml:space="preserve"> </v>
      </c>
      <c r="BA31" s="171" t="str">
        <f>IF(ISERROR(AT31*100000000/'Calc-Units'!$C$23)," ",AT31*100000000/'Calc-Units'!$C$23)</f>
        <v xml:space="preserve"> </v>
      </c>
      <c r="BC31" s="44"/>
      <c r="BD31" s="44"/>
    </row>
    <row r="32" spans="1:56" s="43" customFormat="1">
      <c r="A32" s="59"/>
      <c r="B32" s="79"/>
      <c r="C32" s="59" t="s">
        <v>754</v>
      </c>
      <c r="D32" s="88">
        <f>'RRP 1.3'!AC$12</f>
        <v>-8.3266726846886741E-16</v>
      </c>
      <c r="E32" s="88">
        <v>0</v>
      </c>
      <c r="F32" s="88">
        <v>0</v>
      </c>
      <c r="G32" s="88">
        <v>0</v>
      </c>
      <c r="H32" s="88">
        <v>0</v>
      </c>
      <c r="I32" s="88">
        <f t="shared" si="0"/>
        <v>-8.3266726846886741E-16</v>
      </c>
      <c r="J32" s="46"/>
      <c r="K32" s="88" t="s">
        <v>467</v>
      </c>
      <c r="L32" s="96" t="str">
        <f>IF(ISERROR(VLOOKUP($K32,'Calc-Drivers'!$B$17:$G$27,L$43,FALSE))," ",VLOOKUP($K32,'Calc-Drivers'!$B$17:$G$27,L$43,FALSE))</f>
        <v xml:space="preserve"> </v>
      </c>
      <c r="M32" s="96" t="str">
        <f>IF(ISERROR(VLOOKUP($K32,'Calc-Drivers'!$B$17:$G$27,M$43,FALSE))," ",VLOOKUP($K32,'Calc-Drivers'!$B$17:$G$27,M$43,FALSE))</f>
        <v xml:space="preserve"> </v>
      </c>
      <c r="N32" s="96" t="str">
        <f>IF(ISERROR(VLOOKUP($K32,'Calc-Drivers'!$B$17:$G$27,N$43,FALSE))," ",VLOOKUP($K32,'Calc-Drivers'!$B$17:$G$27,N$43,FALSE))</f>
        <v xml:space="preserve"> </v>
      </c>
      <c r="O32" s="96" t="str">
        <f>IF(ISERROR(VLOOKUP($K32,'Calc-Drivers'!$B$17:$G$27,O$43,FALSE))," ",VLOOKUP($K32,'Calc-Drivers'!$B$17:$G$27,O$43,FALSE))</f>
        <v xml:space="preserve"> </v>
      </c>
      <c r="P32" s="96" t="str">
        <f>IF(ISERROR(VLOOKUP($K32,'Calc-Drivers'!$B$17:$G$27,P$43,FALSE))," ",VLOOKUP($K32,'Calc-Drivers'!$B$17:$G$27,P$43,FALSE))</f>
        <v xml:space="preserve"> </v>
      </c>
      <c r="Q32" s="108"/>
      <c r="R32" s="48"/>
      <c r="S32" s="49" t="str">
        <f t="shared" si="1"/>
        <v xml:space="preserve"> </v>
      </c>
      <c r="T32" s="49" t="str">
        <f t="shared" si="2"/>
        <v xml:space="preserve"> </v>
      </c>
      <c r="U32" s="49" t="str">
        <f t="shared" si="3"/>
        <v xml:space="preserve"> </v>
      </c>
      <c r="V32" s="101" t="str">
        <f t="shared" si="4"/>
        <v xml:space="preserve"> </v>
      </c>
      <c r="W32" s="101" t="str">
        <f t="shared" si="4"/>
        <v xml:space="preserve"> </v>
      </c>
      <c r="X32" s="50"/>
      <c r="Y32" s="44"/>
      <c r="Z32" s="49" t="str">
        <f t="shared" si="5"/>
        <v xml:space="preserve"> </v>
      </c>
      <c r="AA32" s="49" t="str">
        <f t="shared" si="6"/>
        <v xml:space="preserve"> </v>
      </c>
      <c r="AB32" s="49" t="str">
        <f t="shared" si="7"/>
        <v xml:space="preserve"> </v>
      </c>
      <c r="AC32" s="101" t="str">
        <f t="shared" si="8"/>
        <v xml:space="preserve"> </v>
      </c>
      <c r="AD32" s="101" t="str">
        <f t="shared" si="9"/>
        <v xml:space="preserve"> </v>
      </c>
      <c r="AE32" s="50"/>
      <c r="AF32" s="50"/>
      <c r="AG32" s="51" t="str">
        <f>IF(ISERROR(Z32*100000000/'Calc-Units'!$E$23)," ",Z32*100000000/'Calc-Units'!$E$23)</f>
        <v xml:space="preserve"> </v>
      </c>
      <c r="AH32" s="51" t="str">
        <f>IF(ISERROR(AA32*100000000/'Calc-Units'!$D$23)," ",AA32*100000000/'Calc-Units'!$D$23)</f>
        <v xml:space="preserve"> </v>
      </c>
      <c r="AI32" s="51" t="str">
        <f>IF(ISERROR(AB32*100000000/'Calc-Units'!$C$23)," ",AB32*100000000/'Calc-Units'!$C$23)</f>
        <v xml:space="preserve"> </v>
      </c>
      <c r="AJ32" s="171" t="str">
        <f>IF(ISERROR(AC32*100000000/'Calc-Units'!$C$23)," ",AC32*100000000/'Calc-Units'!$C$23)</f>
        <v xml:space="preserve"> </v>
      </c>
      <c r="AK32" s="52"/>
      <c r="AL32" s="60">
        <v>0</v>
      </c>
      <c r="AM32" s="84">
        <f t="shared" si="10"/>
        <v>0</v>
      </c>
      <c r="AN32" s="47">
        <f t="shared" si="11"/>
        <v>-8.3266726846886741E-16</v>
      </c>
      <c r="AO32" s="46"/>
      <c r="AP32" s="46"/>
      <c r="AQ32" s="49" t="str">
        <f t="shared" si="12"/>
        <v xml:space="preserve"> </v>
      </c>
      <c r="AR32" s="49" t="str">
        <f t="shared" si="13"/>
        <v xml:space="preserve"> </v>
      </c>
      <c r="AS32" s="49" t="str">
        <f t="shared" si="14"/>
        <v xml:space="preserve"> </v>
      </c>
      <c r="AT32" s="101" t="str">
        <f t="shared" si="15"/>
        <v xml:space="preserve"> </v>
      </c>
      <c r="AU32" s="101" t="str">
        <f t="shared" si="16"/>
        <v xml:space="preserve"> </v>
      </c>
      <c r="AV32" s="50"/>
      <c r="AW32" s="52"/>
      <c r="AX32" s="51" t="str">
        <f>IF(ISERROR(AQ32*100000000/'Calc-Units'!$E$23)," ",AQ32*100000000/'Calc-Units'!$E$23)</f>
        <v xml:space="preserve"> </v>
      </c>
      <c r="AY32" s="51" t="str">
        <f>IF(ISERROR(AR32*100000000/'Calc-Units'!$D$23)," ",AR32*100000000/'Calc-Units'!$D$23)</f>
        <v xml:space="preserve"> </v>
      </c>
      <c r="AZ32" s="51" t="str">
        <f>IF(ISERROR(AS32*100000000/'Calc-Units'!$C$23)," ",AS32*100000000/'Calc-Units'!$C$23)</f>
        <v xml:space="preserve"> </v>
      </c>
      <c r="BA32" s="171" t="str">
        <f>IF(ISERROR(AT32*100000000/'Calc-Units'!$C$23)," ",AT32*100000000/'Calc-Units'!$C$23)</f>
        <v xml:space="preserve"> </v>
      </c>
      <c r="BC32" s="44"/>
      <c r="BD32" s="44"/>
    </row>
    <row r="33" spans="1:56" s="43" customFormat="1">
      <c r="A33" s="59"/>
      <c r="B33" s="79"/>
      <c r="C33" s="59" t="s">
        <v>58</v>
      </c>
      <c r="D33" s="88">
        <f>'RRP 1.3'!AD$12</f>
        <v>1.0145090392</v>
      </c>
      <c r="E33" s="88">
        <v>0</v>
      </c>
      <c r="F33" s="88">
        <v>0</v>
      </c>
      <c r="G33" s="88">
        <v>0</v>
      </c>
      <c r="H33" s="88">
        <v>0</v>
      </c>
      <c r="I33" s="88">
        <f t="shared" si="0"/>
        <v>1.0145090392</v>
      </c>
      <c r="J33" s="46"/>
      <c r="K33" s="88" t="s">
        <v>467</v>
      </c>
      <c r="L33" s="96" t="str">
        <f>IF(ISERROR(VLOOKUP($K33,'Calc-Drivers'!$B$17:$G$27,L$43,FALSE))," ",VLOOKUP($K33,'Calc-Drivers'!$B$17:$G$27,L$43,FALSE))</f>
        <v xml:space="preserve"> </v>
      </c>
      <c r="M33" s="96" t="str">
        <f>IF(ISERROR(VLOOKUP($K33,'Calc-Drivers'!$B$17:$G$27,M$43,FALSE))," ",VLOOKUP($K33,'Calc-Drivers'!$B$17:$G$27,M$43,FALSE))</f>
        <v xml:space="preserve"> </v>
      </c>
      <c r="N33" s="96" t="str">
        <f>IF(ISERROR(VLOOKUP($K33,'Calc-Drivers'!$B$17:$G$27,N$43,FALSE))," ",VLOOKUP($K33,'Calc-Drivers'!$B$17:$G$27,N$43,FALSE))</f>
        <v xml:space="preserve"> </v>
      </c>
      <c r="O33" s="96" t="str">
        <f>IF(ISERROR(VLOOKUP($K33,'Calc-Drivers'!$B$17:$G$27,O$43,FALSE))," ",VLOOKUP($K33,'Calc-Drivers'!$B$17:$G$27,O$43,FALSE))</f>
        <v xml:space="preserve"> </v>
      </c>
      <c r="P33" s="96" t="str">
        <f>IF(ISERROR(VLOOKUP($K33,'Calc-Drivers'!$B$17:$G$27,P$43,FALSE))," ",VLOOKUP($K33,'Calc-Drivers'!$B$17:$G$27,P$43,FALSE))</f>
        <v xml:space="preserve"> </v>
      </c>
      <c r="Q33" s="108"/>
      <c r="R33" s="48"/>
      <c r="S33" s="49" t="str">
        <f t="shared" si="1"/>
        <v xml:space="preserve"> </v>
      </c>
      <c r="T33" s="49" t="str">
        <f t="shared" si="2"/>
        <v xml:space="preserve"> </v>
      </c>
      <c r="U33" s="49" t="str">
        <f t="shared" si="3"/>
        <v xml:space="preserve"> </v>
      </c>
      <c r="V33" s="101" t="str">
        <f t="shared" si="4"/>
        <v xml:space="preserve"> </v>
      </c>
      <c r="W33" s="101" t="str">
        <f t="shared" si="4"/>
        <v xml:space="preserve"> </v>
      </c>
      <c r="X33" s="50"/>
      <c r="Y33" s="44"/>
      <c r="Z33" s="49" t="str">
        <f t="shared" si="5"/>
        <v xml:space="preserve"> </v>
      </c>
      <c r="AA33" s="49" t="str">
        <f t="shared" si="6"/>
        <v xml:space="preserve"> </v>
      </c>
      <c r="AB33" s="49" t="str">
        <f t="shared" si="7"/>
        <v xml:space="preserve"> </v>
      </c>
      <c r="AC33" s="101" t="str">
        <f t="shared" si="8"/>
        <v xml:space="preserve"> </v>
      </c>
      <c r="AD33" s="101" t="str">
        <f t="shared" si="9"/>
        <v xml:space="preserve"> </v>
      </c>
      <c r="AE33" s="50"/>
      <c r="AF33" s="50"/>
      <c r="AG33" s="51" t="str">
        <f>IF(ISERROR(Z33*100000000/'Calc-Units'!$E$23)," ",Z33*100000000/'Calc-Units'!$E$23)</f>
        <v xml:space="preserve"> </v>
      </c>
      <c r="AH33" s="51" t="str">
        <f>IF(ISERROR(AA33*100000000/'Calc-Units'!$D$23)," ",AA33*100000000/'Calc-Units'!$D$23)</f>
        <v xml:space="preserve"> </v>
      </c>
      <c r="AI33" s="51" t="str">
        <f>IF(ISERROR(AB33*100000000/'Calc-Units'!$C$23)," ",AB33*100000000/'Calc-Units'!$C$23)</f>
        <v xml:space="preserve"> </v>
      </c>
      <c r="AJ33" s="171" t="str">
        <f>IF(ISERROR(AC33*100000000/'Calc-Units'!$C$23)," ",AC33*100000000/'Calc-Units'!$C$23)</f>
        <v xml:space="preserve"> </v>
      </c>
      <c r="AK33" s="52"/>
      <c r="AL33" s="60">
        <v>0</v>
      </c>
      <c r="AM33" s="84">
        <f t="shared" si="10"/>
        <v>0</v>
      </c>
      <c r="AN33" s="47">
        <f t="shared" si="11"/>
        <v>1.0145090392</v>
      </c>
      <c r="AO33" s="46"/>
      <c r="AP33" s="46"/>
      <c r="AQ33" s="49" t="str">
        <f t="shared" si="12"/>
        <v xml:space="preserve"> </v>
      </c>
      <c r="AR33" s="49" t="str">
        <f t="shared" si="13"/>
        <v xml:space="preserve"> </v>
      </c>
      <c r="AS33" s="49" t="str">
        <f t="shared" si="14"/>
        <v xml:space="preserve"> </v>
      </c>
      <c r="AT33" s="101" t="str">
        <f t="shared" si="15"/>
        <v xml:space="preserve"> </v>
      </c>
      <c r="AU33" s="101" t="str">
        <f t="shared" si="16"/>
        <v xml:space="preserve"> </v>
      </c>
      <c r="AV33" s="50"/>
      <c r="AW33" s="52"/>
      <c r="AX33" s="51" t="str">
        <f>IF(ISERROR(AQ33*100000000/'Calc-Units'!$E$23)," ",AQ33*100000000/'Calc-Units'!$E$23)</f>
        <v xml:space="preserve"> </v>
      </c>
      <c r="AY33" s="51" t="str">
        <f>IF(ISERROR(AR33*100000000/'Calc-Units'!$D$23)," ",AR33*100000000/'Calc-Units'!$D$23)</f>
        <v xml:space="preserve"> </v>
      </c>
      <c r="AZ33" s="51" t="str">
        <f>IF(ISERROR(AS33*100000000/'Calc-Units'!$C$23)," ",AS33*100000000/'Calc-Units'!$C$23)</f>
        <v xml:space="preserve"> </v>
      </c>
      <c r="BA33" s="171" t="str">
        <f>IF(ISERROR(AT33*100000000/'Calc-Units'!$C$23)," ",AT33*100000000/'Calc-Units'!$C$23)</f>
        <v xml:space="preserve"> </v>
      </c>
      <c r="BC33" s="44"/>
      <c r="BD33" s="44"/>
    </row>
    <row r="34" spans="1:56" s="43" customFormat="1">
      <c r="A34" s="59"/>
      <c r="B34" s="79"/>
      <c r="C34" s="59" t="s">
        <v>755</v>
      </c>
      <c r="D34" s="88">
        <f>'RRP 1.3'!AE$12</f>
        <v>4.3032873328058328</v>
      </c>
      <c r="E34" s="88">
        <v>0</v>
      </c>
      <c r="F34" s="88">
        <v>0</v>
      </c>
      <c r="G34" s="88">
        <v>0</v>
      </c>
      <c r="H34" s="88">
        <v>0</v>
      </c>
      <c r="I34" s="88">
        <f t="shared" si="0"/>
        <v>4.3032873328058328</v>
      </c>
      <c r="J34" s="46"/>
      <c r="K34" s="88" t="s">
        <v>467</v>
      </c>
      <c r="L34" s="96" t="str">
        <f>IF(ISERROR(VLOOKUP($K34,'Calc-Drivers'!$B$17:$G$27,L$43,FALSE))," ",VLOOKUP($K34,'Calc-Drivers'!$B$17:$G$27,L$43,FALSE))</f>
        <v xml:space="preserve"> </v>
      </c>
      <c r="M34" s="96" t="str">
        <f>IF(ISERROR(VLOOKUP($K34,'Calc-Drivers'!$B$17:$G$27,M$43,FALSE))," ",VLOOKUP($K34,'Calc-Drivers'!$B$17:$G$27,M$43,FALSE))</f>
        <v xml:space="preserve"> </v>
      </c>
      <c r="N34" s="96" t="str">
        <f>IF(ISERROR(VLOOKUP($K34,'Calc-Drivers'!$B$17:$G$27,N$43,FALSE))," ",VLOOKUP($K34,'Calc-Drivers'!$B$17:$G$27,N$43,FALSE))</f>
        <v xml:space="preserve"> </v>
      </c>
      <c r="O34" s="96" t="str">
        <f>IF(ISERROR(VLOOKUP($K34,'Calc-Drivers'!$B$17:$G$27,O$43,FALSE))," ",VLOOKUP($K34,'Calc-Drivers'!$B$17:$G$27,O$43,FALSE))</f>
        <v xml:space="preserve"> </v>
      </c>
      <c r="P34" s="96" t="str">
        <f>IF(ISERROR(VLOOKUP($K34,'Calc-Drivers'!$B$17:$G$27,P$43,FALSE))," ",VLOOKUP($K34,'Calc-Drivers'!$B$17:$G$27,P$43,FALSE))</f>
        <v xml:space="preserve"> </v>
      </c>
      <c r="Q34" s="108"/>
      <c r="R34" s="48"/>
      <c r="S34" s="49" t="str">
        <f t="shared" si="1"/>
        <v xml:space="preserve"> </v>
      </c>
      <c r="T34" s="49" t="str">
        <f t="shared" si="2"/>
        <v xml:space="preserve"> </v>
      </c>
      <c r="U34" s="49" t="str">
        <f t="shared" si="3"/>
        <v xml:space="preserve"> </v>
      </c>
      <c r="V34" s="101" t="str">
        <f t="shared" si="4"/>
        <v xml:space="preserve"> </v>
      </c>
      <c r="W34" s="101" t="str">
        <f t="shared" si="4"/>
        <v xml:space="preserve"> </v>
      </c>
      <c r="X34" s="50"/>
      <c r="Y34" s="44"/>
      <c r="Z34" s="49" t="str">
        <f t="shared" si="5"/>
        <v xml:space="preserve"> </v>
      </c>
      <c r="AA34" s="49" t="str">
        <f t="shared" si="6"/>
        <v xml:space="preserve"> </v>
      </c>
      <c r="AB34" s="49" t="str">
        <f t="shared" si="7"/>
        <v xml:space="preserve"> </v>
      </c>
      <c r="AC34" s="101" t="str">
        <f t="shared" si="8"/>
        <v xml:space="preserve"> </v>
      </c>
      <c r="AD34" s="101" t="str">
        <f t="shared" si="9"/>
        <v xml:space="preserve"> </v>
      </c>
      <c r="AE34" s="50"/>
      <c r="AF34" s="50"/>
      <c r="AG34" s="51" t="str">
        <f>IF(ISERROR(Z34*100000000/'Calc-Units'!$E$23)," ",Z34*100000000/'Calc-Units'!$E$23)</f>
        <v xml:space="preserve"> </v>
      </c>
      <c r="AH34" s="51" t="str">
        <f>IF(ISERROR(AA34*100000000/'Calc-Units'!$D$23)," ",AA34*100000000/'Calc-Units'!$D$23)</f>
        <v xml:space="preserve"> </v>
      </c>
      <c r="AI34" s="51" t="str">
        <f>IF(ISERROR(AB34*100000000/'Calc-Units'!$C$23)," ",AB34*100000000/'Calc-Units'!$C$23)</f>
        <v xml:space="preserve"> </v>
      </c>
      <c r="AJ34" s="171" t="str">
        <f>IF(ISERROR(AC34*100000000/'Calc-Units'!$C$23)," ",AC34*100000000/'Calc-Units'!$C$23)</f>
        <v xml:space="preserve"> </v>
      </c>
      <c r="AK34" s="52"/>
      <c r="AL34" s="60">
        <v>0</v>
      </c>
      <c r="AM34" s="84">
        <f t="shared" si="10"/>
        <v>0</v>
      </c>
      <c r="AN34" s="47">
        <f t="shared" si="11"/>
        <v>4.3032873328058328</v>
      </c>
      <c r="AO34" s="46"/>
      <c r="AP34" s="46"/>
      <c r="AQ34" s="49" t="str">
        <f t="shared" si="12"/>
        <v xml:space="preserve"> </v>
      </c>
      <c r="AR34" s="49" t="str">
        <f t="shared" si="13"/>
        <v xml:space="preserve"> </v>
      </c>
      <c r="AS34" s="49" t="str">
        <f t="shared" si="14"/>
        <v xml:space="preserve"> </v>
      </c>
      <c r="AT34" s="101" t="str">
        <f t="shared" si="15"/>
        <v xml:space="preserve"> </v>
      </c>
      <c r="AU34" s="101" t="str">
        <f t="shared" si="16"/>
        <v xml:space="preserve"> </v>
      </c>
      <c r="AV34" s="50"/>
      <c r="AW34" s="52"/>
      <c r="AX34" s="51" t="str">
        <f>IF(ISERROR(AQ34*100000000/'Calc-Units'!$E$23)," ",AQ34*100000000/'Calc-Units'!$E$23)</f>
        <v xml:space="preserve"> </v>
      </c>
      <c r="AY34" s="51" t="str">
        <f>IF(ISERROR(AR34*100000000/'Calc-Units'!$D$23)," ",AR34*100000000/'Calc-Units'!$D$23)</f>
        <v xml:space="preserve"> </v>
      </c>
      <c r="AZ34" s="51" t="str">
        <f>IF(ISERROR(AS34*100000000/'Calc-Units'!$C$23)," ",AS34*100000000/'Calc-Units'!$C$23)</f>
        <v xml:space="preserve"> </v>
      </c>
      <c r="BA34" s="171" t="str">
        <f>IF(ISERROR(AT34*100000000/'Calc-Units'!$C$23)," ",AT34*100000000/'Calc-Units'!$C$23)</f>
        <v xml:space="preserve"> </v>
      </c>
      <c r="BC34" s="44"/>
      <c r="BD34" s="44"/>
    </row>
    <row r="35" spans="1:56" s="43" customFormat="1">
      <c r="A35" s="59"/>
      <c r="B35" s="79"/>
      <c r="C35" s="59" t="s">
        <v>756</v>
      </c>
      <c r="D35" s="88">
        <f>'RRP 1.3'!AF$12</f>
        <v>41.912756859700004</v>
      </c>
      <c r="E35" s="88">
        <v>0</v>
      </c>
      <c r="F35" s="88">
        <v>0</v>
      </c>
      <c r="G35" s="88">
        <v>0</v>
      </c>
      <c r="H35" s="88">
        <v>0</v>
      </c>
      <c r="I35" s="88">
        <f t="shared" si="0"/>
        <v>41.912756859700004</v>
      </c>
      <c r="J35" s="46"/>
      <c r="K35" s="88" t="s">
        <v>467</v>
      </c>
      <c r="L35" s="96" t="str">
        <f>IF(ISERROR(VLOOKUP($K35,'Calc-Drivers'!$B$17:$G$27,L$43,FALSE))," ",VLOOKUP($K35,'Calc-Drivers'!$B$17:$G$27,L$43,FALSE))</f>
        <v xml:space="preserve"> </v>
      </c>
      <c r="M35" s="96" t="str">
        <f>IF(ISERROR(VLOOKUP($K35,'Calc-Drivers'!$B$17:$G$27,M$43,FALSE))," ",VLOOKUP($K35,'Calc-Drivers'!$B$17:$G$27,M$43,FALSE))</f>
        <v xml:space="preserve"> </v>
      </c>
      <c r="N35" s="96" t="str">
        <f>IF(ISERROR(VLOOKUP($K35,'Calc-Drivers'!$B$17:$G$27,N$43,FALSE))," ",VLOOKUP($K35,'Calc-Drivers'!$B$17:$G$27,N$43,FALSE))</f>
        <v xml:space="preserve"> </v>
      </c>
      <c r="O35" s="96" t="str">
        <f>IF(ISERROR(VLOOKUP($K35,'Calc-Drivers'!$B$17:$G$27,O$43,FALSE))," ",VLOOKUP($K35,'Calc-Drivers'!$B$17:$G$27,O$43,FALSE))</f>
        <v xml:space="preserve"> </v>
      </c>
      <c r="P35" s="96" t="str">
        <f>IF(ISERROR(VLOOKUP($K35,'Calc-Drivers'!$B$17:$G$27,P$43,FALSE))," ",VLOOKUP($K35,'Calc-Drivers'!$B$17:$G$27,P$43,FALSE))</f>
        <v xml:space="preserve"> </v>
      </c>
      <c r="Q35" s="108"/>
      <c r="R35" s="48"/>
      <c r="S35" s="49" t="str">
        <f t="shared" si="1"/>
        <v xml:space="preserve"> </v>
      </c>
      <c r="T35" s="49" t="str">
        <f t="shared" si="2"/>
        <v xml:space="preserve"> </v>
      </c>
      <c r="U35" s="49" t="str">
        <f t="shared" si="3"/>
        <v xml:space="preserve"> </v>
      </c>
      <c r="V35" s="101" t="str">
        <f t="shared" si="4"/>
        <v xml:space="preserve"> </v>
      </c>
      <c r="W35" s="101" t="str">
        <f t="shared" si="4"/>
        <v xml:space="preserve"> </v>
      </c>
      <c r="X35" s="50"/>
      <c r="Y35" s="44"/>
      <c r="Z35" s="49" t="str">
        <f t="shared" si="5"/>
        <v xml:space="preserve"> </v>
      </c>
      <c r="AA35" s="49" t="str">
        <f t="shared" si="6"/>
        <v xml:space="preserve"> </v>
      </c>
      <c r="AB35" s="49" t="str">
        <f t="shared" si="7"/>
        <v xml:space="preserve"> </v>
      </c>
      <c r="AC35" s="101" t="str">
        <f t="shared" si="8"/>
        <v xml:space="preserve"> </v>
      </c>
      <c r="AD35" s="101" t="str">
        <f t="shared" si="9"/>
        <v xml:space="preserve"> </v>
      </c>
      <c r="AE35" s="50"/>
      <c r="AF35" s="50"/>
      <c r="AG35" s="51" t="str">
        <f>IF(ISERROR(Z35*100000000/'Calc-Units'!$E$23)," ",Z35*100000000/'Calc-Units'!$E$23)</f>
        <v xml:space="preserve"> </v>
      </c>
      <c r="AH35" s="51" t="str">
        <f>IF(ISERROR(AA35*100000000/'Calc-Units'!$D$23)," ",AA35*100000000/'Calc-Units'!$D$23)</f>
        <v xml:space="preserve"> </v>
      </c>
      <c r="AI35" s="51" t="str">
        <f>IF(ISERROR(AB35*100000000/'Calc-Units'!$C$23)," ",AB35*100000000/'Calc-Units'!$C$23)</f>
        <v xml:space="preserve"> </v>
      </c>
      <c r="AJ35" s="171" t="str">
        <f>IF(ISERROR(AC35*100000000/'Calc-Units'!$C$23)," ",AC35*100000000/'Calc-Units'!$C$23)</f>
        <v xml:space="preserve"> </v>
      </c>
      <c r="AK35" s="52"/>
      <c r="AL35" s="60">
        <v>0</v>
      </c>
      <c r="AM35" s="84">
        <f t="shared" si="10"/>
        <v>0</v>
      </c>
      <c r="AN35" s="47">
        <f t="shared" si="11"/>
        <v>41.912756859700004</v>
      </c>
      <c r="AO35" s="46"/>
      <c r="AP35" s="46"/>
      <c r="AQ35" s="49" t="str">
        <f t="shared" si="12"/>
        <v xml:space="preserve"> </v>
      </c>
      <c r="AR35" s="49" t="str">
        <f t="shared" si="13"/>
        <v xml:space="preserve"> </v>
      </c>
      <c r="AS35" s="49" t="str">
        <f t="shared" si="14"/>
        <v xml:space="preserve"> </v>
      </c>
      <c r="AT35" s="101" t="str">
        <f t="shared" si="15"/>
        <v xml:space="preserve"> </v>
      </c>
      <c r="AU35" s="101" t="str">
        <f t="shared" si="16"/>
        <v xml:space="preserve"> </v>
      </c>
      <c r="AV35" s="50"/>
      <c r="AW35" s="52"/>
      <c r="AX35" s="51" t="str">
        <f>IF(ISERROR(AQ35*100000000/'Calc-Units'!$E$23)," ",AQ35*100000000/'Calc-Units'!$E$23)</f>
        <v xml:space="preserve"> </v>
      </c>
      <c r="AY35" s="51" t="str">
        <f>IF(ISERROR(AR35*100000000/'Calc-Units'!$D$23)," ",AR35*100000000/'Calc-Units'!$D$23)</f>
        <v xml:space="preserve"> </v>
      </c>
      <c r="AZ35" s="51" t="str">
        <f>IF(ISERROR(AS35*100000000/'Calc-Units'!$C$23)," ",AS35*100000000/'Calc-Units'!$C$23)</f>
        <v xml:space="preserve"> </v>
      </c>
      <c r="BA35" s="171" t="str">
        <f>IF(ISERROR(AT35*100000000/'Calc-Units'!$C$23)," ",AT35*100000000/'Calc-Units'!$C$23)</f>
        <v xml:space="preserve"> </v>
      </c>
      <c r="BC35" s="44"/>
      <c r="BD35" s="44"/>
    </row>
    <row r="36" spans="1:56" s="43" customFormat="1">
      <c r="A36" s="59"/>
      <c r="B36" s="79"/>
      <c r="C36" s="59" t="s">
        <v>757</v>
      </c>
      <c r="D36" s="88">
        <f>'RRP 1.3'!AG$12</f>
        <v>27.091992000000001</v>
      </c>
      <c r="E36" s="88">
        <v>0</v>
      </c>
      <c r="F36" s="88">
        <v>0</v>
      </c>
      <c r="G36" s="88">
        <v>0</v>
      </c>
      <c r="H36" s="88">
        <v>0</v>
      </c>
      <c r="I36" s="88">
        <f t="shared" si="0"/>
        <v>27.091992000000001</v>
      </c>
      <c r="J36" s="46"/>
      <c r="K36" s="88" t="s">
        <v>467</v>
      </c>
      <c r="L36" s="96" t="str">
        <f>IF(ISERROR(VLOOKUP($K36,'Calc-Drivers'!$B$17:$G$27,L$43,FALSE))," ",VLOOKUP($K36,'Calc-Drivers'!$B$17:$G$27,L$43,FALSE))</f>
        <v xml:space="preserve"> </v>
      </c>
      <c r="M36" s="96" t="str">
        <f>IF(ISERROR(VLOOKUP($K36,'Calc-Drivers'!$B$17:$G$27,M$43,FALSE))," ",VLOOKUP($K36,'Calc-Drivers'!$B$17:$G$27,M$43,FALSE))</f>
        <v xml:space="preserve"> </v>
      </c>
      <c r="N36" s="96" t="str">
        <f>IF(ISERROR(VLOOKUP($K36,'Calc-Drivers'!$B$17:$G$27,N$43,FALSE))," ",VLOOKUP($K36,'Calc-Drivers'!$B$17:$G$27,N$43,FALSE))</f>
        <v xml:space="preserve"> </v>
      </c>
      <c r="O36" s="96" t="str">
        <f>IF(ISERROR(VLOOKUP($K36,'Calc-Drivers'!$B$17:$G$27,O$43,FALSE))," ",VLOOKUP($K36,'Calc-Drivers'!$B$17:$G$27,O$43,FALSE))</f>
        <v xml:space="preserve"> </v>
      </c>
      <c r="P36" s="96" t="str">
        <f>IF(ISERROR(VLOOKUP($K36,'Calc-Drivers'!$B$17:$G$27,P$43,FALSE))," ",VLOOKUP($K36,'Calc-Drivers'!$B$17:$G$27,P$43,FALSE))</f>
        <v xml:space="preserve"> </v>
      </c>
      <c r="Q36" s="108"/>
      <c r="R36" s="48"/>
      <c r="S36" s="49" t="str">
        <f t="shared" si="1"/>
        <v xml:space="preserve"> </v>
      </c>
      <c r="T36" s="49" t="str">
        <f t="shared" si="2"/>
        <v xml:space="preserve"> </v>
      </c>
      <c r="U36" s="49" t="str">
        <f t="shared" si="3"/>
        <v xml:space="preserve"> </v>
      </c>
      <c r="V36" s="101" t="str">
        <f t="shared" si="4"/>
        <v xml:space="preserve"> </v>
      </c>
      <c r="W36" s="101" t="str">
        <f t="shared" si="4"/>
        <v xml:space="preserve"> </v>
      </c>
      <c r="X36" s="50"/>
      <c r="Y36" s="44"/>
      <c r="Z36" s="49" t="str">
        <f t="shared" si="5"/>
        <v xml:space="preserve"> </v>
      </c>
      <c r="AA36" s="49" t="str">
        <f t="shared" si="6"/>
        <v xml:space="preserve"> </v>
      </c>
      <c r="AB36" s="49" t="str">
        <f t="shared" si="7"/>
        <v xml:space="preserve"> </v>
      </c>
      <c r="AC36" s="101" t="str">
        <f t="shared" si="8"/>
        <v xml:space="preserve"> </v>
      </c>
      <c r="AD36" s="101" t="str">
        <f t="shared" si="9"/>
        <v xml:space="preserve"> </v>
      </c>
      <c r="AE36" s="50"/>
      <c r="AF36" s="50"/>
      <c r="AG36" s="51" t="str">
        <f>IF(ISERROR(Z36*100000000/'Calc-Units'!$E$23)," ",Z36*100000000/'Calc-Units'!$E$23)</f>
        <v xml:space="preserve"> </v>
      </c>
      <c r="AH36" s="51" t="str">
        <f>IF(ISERROR(AA36*100000000/'Calc-Units'!$D$23)," ",AA36*100000000/'Calc-Units'!$D$23)</f>
        <v xml:space="preserve"> </v>
      </c>
      <c r="AI36" s="51" t="str">
        <f>IF(ISERROR(AB36*100000000/'Calc-Units'!$C$23)," ",AB36*100000000/'Calc-Units'!$C$23)</f>
        <v xml:space="preserve"> </v>
      </c>
      <c r="AJ36" s="171" t="str">
        <f>IF(ISERROR(AC36*100000000/'Calc-Units'!$C$23)," ",AC36*100000000/'Calc-Units'!$C$23)</f>
        <v xml:space="preserve"> </v>
      </c>
      <c r="AK36" s="52"/>
      <c r="AL36" s="60">
        <v>0</v>
      </c>
      <c r="AM36" s="84">
        <f t="shared" si="10"/>
        <v>0</v>
      </c>
      <c r="AN36" s="47">
        <f t="shared" si="11"/>
        <v>27.091992000000001</v>
      </c>
      <c r="AO36" s="46"/>
      <c r="AP36" s="46"/>
      <c r="AQ36" s="49" t="str">
        <f t="shared" si="12"/>
        <v xml:space="preserve"> </v>
      </c>
      <c r="AR36" s="49" t="str">
        <f t="shared" si="13"/>
        <v xml:space="preserve"> </v>
      </c>
      <c r="AS36" s="49" t="str">
        <f t="shared" si="14"/>
        <v xml:space="preserve"> </v>
      </c>
      <c r="AT36" s="101" t="str">
        <f t="shared" si="15"/>
        <v xml:space="preserve"> </v>
      </c>
      <c r="AU36" s="101" t="str">
        <f t="shared" si="16"/>
        <v xml:space="preserve"> </v>
      </c>
      <c r="AV36" s="50"/>
      <c r="AW36" s="52"/>
      <c r="AX36" s="51" t="str">
        <f>IF(ISERROR(AQ36*100000000/'Calc-Units'!$E$23)," ",AQ36*100000000/'Calc-Units'!$E$23)</f>
        <v xml:space="preserve"> </v>
      </c>
      <c r="AY36" s="51" t="str">
        <f>IF(ISERROR(AR36*100000000/'Calc-Units'!$D$23)," ",AR36*100000000/'Calc-Units'!$D$23)</f>
        <v xml:space="preserve"> </v>
      </c>
      <c r="AZ36" s="51" t="str">
        <f>IF(ISERROR(AS36*100000000/'Calc-Units'!$C$23)," ",AS36*100000000/'Calc-Units'!$C$23)</f>
        <v xml:space="preserve"> </v>
      </c>
      <c r="BA36" s="171" t="str">
        <f>IF(ISERROR(AT36*100000000/'Calc-Units'!$C$23)," ",AT36*100000000/'Calc-Units'!$C$23)</f>
        <v xml:space="preserve"> </v>
      </c>
      <c r="BC36" s="44"/>
      <c r="BD36" s="44"/>
    </row>
    <row r="37" spans="1:56" s="43" customFormat="1">
      <c r="A37" s="59"/>
      <c r="B37" s="79"/>
      <c r="C37" s="59" t="s">
        <v>639</v>
      </c>
      <c r="D37" s="88">
        <f>'RRP 1.3'!AH$12</f>
        <v>4.4000000000000004</v>
      </c>
      <c r="E37" s="88">
        <v>0</v>
      </c>
      <c r="F37" s="88">
        <v>0</v>
      </c>
      <c r="G37" s="88">
        <v>0</v>
      </c>
      <c r="H37" s="88">
        <v>0</v>
      </c>
      <c r="I37" s="88">
        <f t="shared" si="0"/>
        <v>4.4000000000000004</v>
      </c>
      <c r="J37" s="46"/>
      <c r="K37" s="88" t="s">
        <v>467</v>
      </c>
      <c r="L37" s="96" t="str">
        <f>IF(ISERROR(VLOOKUP($K37,'Calc-Drivers'!$B$17:$G$27,L$43,FALSE))," ",VLOOKUP($K37,'Calc-Drivers'!$B$17:$G$27,L$43,FALSE))</f>
        <v xml:space="preserve"> </v>
      </c>
      <c r="M37" s="96" t="str">
        <f>IF(ISERROR(VLOOKUP($K37,'Calc-Drivers'!$B$17:$G$27,M$43,FALSE))," ",VLOOKUP($K37,'Calc-Drivers'!$B$17:$G$27,M$43,FALSE))</f>
        <v xml:space="preserve"> </v>
      </c>
      <c r="N37" s="96" t="str">
        <f>IF(ISERROR(VLOOKUP($K37,'Calc-Drivers'!$B$17:$G$27,N$43,FALSE))," ",VLOOKUP($K37,'Calc-Drivers'!$B$17:$G$27,N$43,FALSE))</f>
        <v xml:space="preserve"> </v>
      </c>
      <c r="O37" s="96" t="str">
        <f>IF(ISERROR(VLOOKUP($K37,'Calc-Drivers'!$B$17:$G$27,O$43,FALSE))," ",VLOOKUP($K37,'Calc-Drivers'!$B$17:$G$27,O$43,FALSE))</f>
        <v xml:space="preserve"> </v>
      </c>
      <c r="P37" s="96" t="str">
        <f>IF(ISERROR(VLOOKUP($K37,'Calc-Drivers'!$B$17:$G$27,P$43,FALSE))," ",VLOOKUP($K37,'Calc-Drivers'!$B$17:$G$27,P$43,FALSE))</f>
        <v xml:space="preserve"> </v>
      </c>
      <c r="Q37" s="108"/>
      <c r="R37" s="48"/>
      <c r="S37" s="49" t="str">
        <f t="shared" si="1"/>
        <v xml:space="preserve"> </v>
      </c>
      <c r="T37" s="49" t="str">
        <f t="shared" si="2"/>
        <v xml:space="preserve"> </v>
      </c>
      <c r="U37" s="49" t="str">
        <f t="shared" si="3"/>
        <v xml:space="preserve"> </v>
      </c>
      <c r="V37" s="101" t="str">
        <f t="shared" si="4"/>
        <v xml:space="preserve"> </v>
      </c>
      <c r="W37" s="101" t="str">
        <f t="shared" si="4"/>
        <v xml:space="preserve"> </v>
      </c>
      <c r="X37" s="50"/>
      <c r="Y37" s="44"/>
      <c r="Z37" s="49" t="str">
        <f t="shared" si="5"/>
        <v xml:space="preserve"> </v>
      </c>
      <c r="AA37" s="49" t="str">
        <f t="shared" si="6"/>
        <v xml:space="preserve"> </v>
      </c>
      <c r="AB37" s="49" t="str">
        <f t="shared" si="7"/>
        <v xml:space="preserve"> </v>
      </c>
      <c r="AC37" s="101" t="str">
        <f t="shared" si="8"/>
        <v xml:space="preserve"> </v>
      </c>
      <c r="AD37" s="101" t="str">
        <f t="shared" si="9"/>
        <v xml:space="preserve"> </v>
      </c>
      <c r="AE37" s="50"/>
      <c r="AF37" s="50"/>
      <c r="AG37" s="51" t="str">
        <f>IF(ISERROR(Z37*100000000/'Calc-Units'!$E$23)," ",Z37*100000000/'Calc-Units'!$E$23)</f>
        <v xml:space="preserve"> </v>
      </c>
      <c r="AH37" s="51" t="str">
        <f>IF(ISERROR(AA37*100000000/'Calc-Units'!$D$23)," ",AA37*100000000/'Calc-Units'!$D$23)</f>
        <v xml:space="preserve"> </v>
      </c>
      <c r="AI37" s="51" t="str">
        <f>IF(ISERROR(AB37*100000000/'Calc-Units'!$C$23)," ",AB37*100000000/'Calc-Units'!$C$23)</f>
        <v xml:space="preserve"> </v>
      </c>
      <c r="AJ37" s="171" t="str">
        <f>IF(ISERROR(AC37*100000000/'Calc-Units'!$C$23)," ",AC37*100000000/'Calc-Units'!$C$23)</f>
        <v xml:space="preserve"> </v>
      </c>
      <c r="AK37" s="52"/>
      <c r="AL37" s="60">
        <v>0</v>
      </c>
      <c r="AM37" s="84">
        <f t="shared" si="10"/>
        <v>0</v>
      </c>
      <c r="AN37" s="47">
        <f t="shared" si="11"/>
        <v>4.4000000000000004</v>
      </c>
      <c r="AO37" s="46"/>
      <c r="AP37" s="46"/>
      <c r="AQ37" s="49" t="str">
        <f t="shared" si="12"/>
        <v xml:space="preserve"> </v>
      </c>
      <c r="AR37" s="49" t="str">
        <f t="shared" si="13"/>
        <v xml:space="preserve"> </v>
      </c>
      <c r="AS37" s="49" t="str">
        <f t="shared" si="14"/>
        <v xml:space="preserve"> </v>
      </c>
      <c r="AT37" s="101" t="str">
        <f t="shared" si="15"/>
        <v xml:space="preserve"> </v>
      </c>
      <c r="AU37" s="101" t="str">
        <f t="shared" si="16"/>
        <v xml:space="preserve"> </v>
      </c>
      <c r="AV37" s="50"/>
      <c r="AW37" s="52"/>
      <c r="AX37" s="51" t="str">
        <f>IF(ISERROR(AQ37*100000000/'Calc-Units'!$E$23)," ",AQ37*100000000/'Calc-Units'!$E$23)</f>
        <v xml:space="preserve"> </v>
      </c>
      <c r="AY37" s="51" t="str">
        <f>IF(ISERROR(AR37*100000000/'Calc-Units'!$D$23)," ",AR37*100000000/'Calc-Units'!$D$23)</f>
        <v xml:space="preserve"> </v>
      </c>
      <c r="AZ37" s="51" t="str">
        <f>IF(ISERROR(AS37*100000000/'Calc-Units'!$C$23)," ",AS37*100000000/'Calc-Units'!$C$23)</f>
        <v xml:space="preserve"> </v>
      </c>
      <c r="BA37" s="171" t="str">
        <f>IF(ISERROR(AT37*100000000/'Calc-Units'!$C$23)," ",AT37*100000000/'Calc-Units'!$C$23)</f>
        <v xml:space="preserve"> </v>
      </c>
      <c r="BC37" s="44"/>
      <c r="BD37" s="44"/>
    </row>
    <row r="38" spans="1:56" s="43" customFormat="1">
      <c r="A38" s="59"/>
      <c r="B38" s="79"/>
      <c r="C38" s="59" t="s">
        <v>641</v>
      </c>
      <c r="D38" s="88">
        <f>'RRP 1.3'!AI$12</f>
        <v>-9.5</v>
      </c>
      <c r="E38" s="88">
        <v>0</v>
      </c>
      <c r="F38" s="88">
        <v>0</v>
      </c>
      <c r="G38" s="88">
        <v>0</v>
      </c>
      <c r="H38" s="88">
        <v>0</v>
      </c>
      <c r="I38" s="88">
        <f t="shared" si="0"/>
        <v>-9.5</v>
      </c>
      <c r="J38" s="46"/>
      <c r="K38" s="88" t="s">
        <v>467</v>
      </c>
      <c r="L38" s="96" t="str">
        <f>IF(ISERROR(VLOOKUP($K38,'Calc-Drivers'!$B$17:$G$27,L$43,FALSE))," ",VLOOKUP($K38,'Calc-Drivers'!$B$17:$G$27,L$43,FALSE))</f>
        <v xml:space="preserve"> </v>
      </c>
      <c r="M38" s="96" t="str">
        <f>IF(ISERROR(VLOOKUP($K38,'Calc-Drivers'!$B$17:$G$27,M$43,FALSE))," ",VLOOKUP($K38,'Calc-Drivers'!$B$17:$G$27,M$43,FALSE))</f>
        <v xml:space="preserve"> </v>
      </c>
      <c r="N38" s="96" t="str">
        <f>IF(ISERROR(VLOOKUP($K38,'Calc-Drivers'!$B$17:$G$27,N$43,FALSE))," ",VLOOKUP($K38,'Calc-Drivers'!$B$17:$G$27,N$43,FALSE))</f>
        <v xml:space="preserve"> </v>
      </c>
      <c r="O38" s="96" t="str">
        <f>IF(ISERROR(VLOOKUP($K38,'Calc-Drivers'!$B$17:$G$27,O$43,FALSE))," ",VLOOKUP($K38,'Calc-Drivers'!$B$17:$G$27,O$43,FALSE))</f>
        <v xml:space="preserve"> </v>
      </c>
      <c r="P38" s="96" t="str">
        <f>IF(ISERROR(VLOOKUP($K38,'Calc-Drivers'!$B$17:$G$27,P$43,FALSE))," ",VLOOKUP($K38,'Calc-Drivers'!$B$17:$G$27,P$43,FALSE))</f>
        <v xml:space="preserve"> </v>
      </c>
      <c r="Q38" s="108"/>
      <c r="R38" s="48"/>
      <c r="S38" s="49" t="str">
        <f t="shared" si="1"/>
        <v xml:space="preserve"> </v>
      </c>
      <c r="T38" s="49" t="str">
        <f t="shared" si="2"/>
        <v xml:space="preserve"> </v>
      </c>
      <c r="U38" s="49" t="str">
        <f t="shared" si="3"/>
        <v xml:space="preserve"> </v>
      </c>
      <c r="V38" s="101" t="str">
        <f t="shared" si="4"/>
        <v xml:space="preserve"> </v>
      </c>
      <c r="W38" s="101" t="str">
        <f t="shared" si="4"/>
        <v xml:space="preserve"> </v>
      </c>
      <c r="X38" s="50"/>
      <c r="Y38" s="44"/>
      <c r="Z38" s="49" t="str">
        <f t="shared" si="5"/>
        <v xml:space="preserve"> </v>
      </c>
      <c r="AA38" s="49" t="str">
        <f t="shared" si="6"/>
        <v xml:space="preserve"> </v>
      </c>
      <c r="AB38" s="49" t="str">
        <f t="shared" si="7"/>
        <v xml:space="preserve"> </v>
      </c>
      <c r="AC38" s="101" t="str">
        <f t="shared" si="8"/>
        <v xml:space="preserve"> </v>
      </c>
      <c r="AD38" s="101" t="str">
        <f t="shared" si="9"/>
        <v xml:space="preserve"> </v>
      </c>
      <c r="AE38" s="50"/>
      <c r="AF38" s="50"/>
      <c r="AG38" s="51" t="str">
        <f>IF(ISERROR(Z38*100000000/'Calc-Units'!$E$23)," ",Z38*100000000/'Calc-Units'!$E$23)</f>
        <v xml:space="preserve"> </v>
      </c>
      <c r="AH38" s="51" t="str">
        <f>IF(ISERROR(AA38*100000000/'Calc-Units'!$D$23)," ",AA38*100000000/'Calc-Units'!$D$23)</f>
        <v xml:space="preserve"> </v>
      </c>
      <c r="AI38" s="51" t="str">
        <f>IF(ISERROR(AB38*100000000/'Calc-Units'!$C$23)," ",AB38*100000000/'Calc-Units'!$C$23)</f>
        <v xml:space="preserve"> </v>
      </c>
      <c r="AJ38" s="171" t="str">
        <f>IF(ISERROR(AC38*100000000/'Calc-Units'!$C$23)," ",AC38*100000000/'Calc-Units'!$C$23)</f>
        <v xml:space="preserve"> </v>
      </c>
      <c r="AK38" s="52"/>
      <c r="AL38" s="60">
        <v>0</v>
      </c>
      <c r="AM38" s="84">
        <f t="shared" si="10"/>
        <v>0</v>
      </c>
      <c r="AN38" s="47">
        <f t="shared" si="11"/>
        <v>-9.5</v>
      </c>
      <c r="AO38" s="46"/>
      <c r="AP38" s="46"/>
      <c r="AQ38" s="49" t="str">
        <f t="shared" si="12"/>
        <v xml:space="preserve"> </v>
      </c>
      <c r="AR38" s="49" t="str">
        <f t="shared" si="13"/>
        <v xml:space="preserve"> </v>
      </c>
      <c r="AS38" s="49" t="str">
        <f t="shared" si="14"/>
        <v xml:space="preserve"> </v>
      </c>
      <c r="AT38" s="101" t="str">
        <f t="shared" si="15"/>
        <v xml:space="preserve"> </v>
      </c>
      <c r="AU38" s="101" t="str">
        <f t="shared" si="16"/>
        <v xml:space="preserve"> </v>
      </c>
      <c r="AV38" s="50"/>
      <c r="AW38" s="52"/>
      <c r="AX38" s="51" t="str">
        <f>IF(ISERROR(AQ38*100000000/'Calc-Units'!$E$23)," ",AQ38*100000000/'Calc-Units'!$E$23)</f>
        <v xml:space="preserve"> </v>
      </c>
      <c r="AY38" s="51" t="str">
        <f>IF(ISERROR(AR38*100000000/'Calc-Units'!$D$23)," ",AR38*100000000/'Calc-Units'!$D$23)</f>
        <v xml:space="preserve"> </v>
      </c>
      <c r="AZ38" s="51" t="str">
        <f>IF(ISERROR(AS38*100000000/'Calc-Units'!$C$23)," ",AS38*100000000/'Calc-Units'!$C$23)</f>
        <v xml:space="preserve"> </v>
      </c>
      <c r="BA38" s="171" t="str">
        <f>IF(ISERROR(AT38*100000000/'Calc-Units'!$C$23)," ",AT38*100000000/'Calc-Units'!$C$23)</f>
        <v xml:space="preserve"> </v>
      </c>
      <c r="BC38" s="44"/>
      <c r="BD38" s="44"/>
    </row>
    <row r="39" spans="1:56" s="43" customFormat="1">
      <c r="A39" s="59"/>
      <c r="B39" s="79"/>
      <c r="C39" s="62" t="s">
        <v>642</v>
      </c>
      <c r="D39" s="89">
        <f>'RRP 1.3'!AJ$12</f>
        <v>2.3542553829179269</v>
      </c>
      <c r="E39" s="89">
        <v>0</v>
      </c>
      <c r="F39" s="89">
        <v>0</v>
      </c>
      <c r="G39" s="89">
        <v>0</v>
      </c>
      <c r="H39" s="89">
        <v>0</v>
      </c>
      <c r="I39" s="89">
        <f t="shared" si="0"/>
        <v>2.3542553829179269</v>
      </c>
      <c r="J39" s="46"/>
      <c r="K39" s="89" t="s">
        <v>467</v>
      </c>
      <c r="L39" s="170" t="str">
        <f>IF(ISERROR(VLOOKUP($K39,'Calc-Drivers'!$B$17:$G$27,L$43,FALSE))," ",VLOOKUP($K39,'Calc-Drivers'!$B$17:$G$27,L$43,FALSE))</f>
        <v xml:space="preserve"> </v>
      </c>
      <c r="M39" s="170" t="str">
        <f>IF(ISERROR(VLOOKUP($K39,'Calc-Drivers'!$B$17:$G$27,M$43,FALSE))," ",VLOOKUP($K39,'Calc-Drivers'!$B$17:$G$27,M$43,FALSE))</f>
        <v xml:space="preserve"> </v>
      </c>
      <c r="N39" s="170" t="str">
        <f>IF(ISERROR(VLOOKUP($K39,'Calc-Drivers'!$B$17:$G$27,N$43,FALSE))," ",VLOOKUP($K39,'Calc-Drivers'!$B$17:$G$27,N$43,FALSE))</f>
        <v xml:space="preserve"> </v>
      </c>
      <c r="O39" s="170" t="str">
        <f>IF(ISERROR(VLOOKUP($K39,'Calc-Drivers'!$B$17:$G$27,O$43,FALSE))," ",VLOOKUP($K39,'Calc-Drivers'!$B$17:$G$27,O$43,FALSE))</f>
        <v xml:space="preserve"> </v>
      </c>
      <c r="P39" s="170" t="str">
        <f>IF(ISERROR(VLOOKUP($K39,'Calc-Drivers'!$B$17:$G$27,P$43,FALSE))," ",VLOOKUP($K39,'Calc-Drivers'!$B$17:$G$27,P$43,FALSE))</f>
        <v xml:space="preserve"> </v>
      </c>
      <c r="Q39" s="108"/>
      <c r="R39" s="48"/>
      <c r="S39" s="105" t="str">
        <f t="shared" si="1"/>
        <v xml:space="preserve"> </v>
      </c>
      <c r="T39" s="105" t="str">
        <f t="shared" si="2"/>
        <v xml:space="preserve"> </v>
      </c>
      <c r="U39" s="105" t="str">
        <f t="shared" si="3"/>
        <v xml:space="preserve"> </v>
      </c>
      <c r="V39" s="102" t="str">
        <f t="shared" si="4"/>
        <v xml:space="preserve"> </v>
      </c>
      <c r="W39" s="102" t="str">
        <f t="shared" si="4"/>
        <v xml:space="preserve"> </v>
      </c>
      <c r="X39" s="50"/>
      <c r="Y39" s="44"/>
      <c r="Z39" s="105" t="str">
        <f t="shared" si="5"/>
        <v xml:space="preserve"> </v>
      </c>
      <c r="AA39" s="105" t="str">
        <f t="shared" si="6"/>
        <v xml:space="preserve"> </v>
      </c>
      <c r="AB39" s="105" t="str">
        <f t="shared" si="7"/>
        <v xml:space="preserve"> </v>
      </c>
      <c r="AC39" s="102" t="str">
        <f t="shared" si="8"/>
        <v xml:space="preserve"> </v>
      </c>
      <c r="AD39" s="102" t="str">
        <f t="shared" si="9"/>
        <v xml:space="preserve"> </v>
      </c>
      <c r="AE39" s="50"/>
      <c r="AF39" s="50"/>
      <c r="AG39" s="172" t="str">
        <f>IF(ISERROR(Z39*100000000/'Calc-Units'!$E$23)," ",Z39*100000000/'Calc-Units'!$E$23)</f>
        <v xml:space="preserve"> </v>
      </c>
      <c r="AH39" s="172" t="str">
        <f>IF(ISERROR(AA39*100000000/'Calc-Units'!$D$23)," ",AA39*100000000/'Calc-Units'!$D$23)</f>
        <v xml:space="preserve"> </v>
      </c>
      <c r="AI39" s="172" t="str">
        <f>IF(ISERROR(AB39*100000000/'Calc-Units'!$C$23)," ",AB39*100000000/'Calc-Units'!$C$23)</f>
        <v xml:space="preserve"> </v>
      </c>
      <c r="AJ39" s="173" t="str">
        <f>IF(ISERROR(AC39*100000000/'Calc-Units'!$C$23)," ",AC39*100000000/'Calc-Units'!$C$23)</f>
        <v xml:space="preserve"> </v>
      </c>
      <c r="AK39" s="52"/>
      <c r="AL39" s="60">
        <v>0</v>
      </c>
      <c r="AM39" s="84">
        <f t="shared" si="10"/>
        <v>0</v>
      </c>
      <c r="AN39" s="47">
        <f t="shared" si="11"/>
        <v>2.3542553829179269</v>
      </c>
      <c r="AO39" s="46"/>
      <c r="AP39" s="46"/>
      <c r="AQ39" s="105" t="str">
        <f t="shared" si="12"/>
        <v xml:space="preserve"> </v>
      </c>
      <c r="AR39" s="105" t="str">
        <f t="shared" si="13"/>
        <v xml:space="preserve"> </v>
      </c>
      <c r="AS39" s="105" t="str">
        <f t="shared" si="14"/>
        <v xml:space="preserve"> </v>
      </c>
      <c r="AT39" s="102" t="str">
        <f t="shared" si="15"/>
        <v xml:space="preserve"> </v>
      </c>
      <c r="AU39" s="102" t="str">
        <f t="shared" si="16"/>
        <v xml:space="preserve"> </v>
      </c>
      <c r="AV39" s="50"/>
      <c r="AW39" s="52"/>
      <c r="AX39" s="172" t="str">
        <f>IF(ISERROR(AQ39*100000000/'Calc-Units'!$E$23)," ",AQ39*100000000/'Calc-Units'!$E$23)</f>
        <v xml:space="preserve"> </v>
      </c>
      <c r="AY39" s="172" t="str">
        <f>IF(ISERROR(AR39*100000000/'Calc-Units'!$D$23)," ",AR39*100000000/'Calc-Units'!$D$23)</f>
        <v xml:space="preserve"> </v>
      </c>
      <c r="AZ39" s="172" t="str">
        <f>IF(ISERROR(AS39*100000000/'Calc-Units'!$C$23)," ",AS39*100000000/'Calc-Units'!$C$23)</f>
        <v xml:space="preserve"> </v>
      </c>
      <c r="BA39" s="173" t="str">
        <f>IF(ISERROR(AT39*100000000/'Calc-Units'!$C$23)," ",AT39*100000000/'Calc-Units'!$C$23)</f>
        <v xml:space="preserve"> </v>
      </c>
      <c r="BC39" s="44"/>
      <c r="BD39" s="44"/>
    </row>
    <row r="40" spans="1:56" s="43" customFormat="1" ht="25.5">
      <c r="A40" s="83"/>
      <c r="B40" s="197"/>
      <c r="C40" s="83" t="s">
        <v>653</v>
      </c>
      <c r="D40" s="90">
        <f>SUM(D7:D39)</f>
        <v>313</v>
      </c>
      <c r="E40" s="90">
        <f>SUM(E7:E39)</f>
        <v>54.313574173271732</v>
      </c>
      <c r="F40" s="90">
        <f>SUM(F7:F39)</f>
        <v>64.448965993372653</v>
      </c>
      <c r="G40" s="90">
        <f>SUM(G7:G39)</f>
        <v>14.977420039431596</v>
      </c>
      <c r="H40" s="90">
        <f>SUM(H7:H39)</f>
        <v>12.885099865468245</v>
      </c>
      <c r="I40" s="90">
        <f t="shared" si="0"/>
        <v>166.37493992845577</v>
      </c>
      <c r="J40" s="50"/>
      <c r="K40" s="107"/>
      <c r="L40" s="107"/>
      <c r="M40" s="107"/>
      <c r="N40" s="107"/>
      <c r="O40" s="107"/>
      <c r="P40" s="107"/>
      <c r="Q40" s="107"/>
      <c r="R40" s="954" t="s">
        <v>245</v>
      </c>
      <c r="S40" s="91">
        <f>SUM(S7:S39)</f>
        <v>21.544968995811491</v>
      </c>
      <c r="T40" s="91">
        <f>SUM(T7:T39)</f>
        <v>6.6744430533903003</v>
      </c>
      <c r="U40" s="91">
        <f>SUM(U7:U39)</f>
        <v>2.0575318949494315</v>
      </c>
      <c r="V40" s="91">
        <f>SUM(V7:V39)</f>
        <v>14.849360649722565</v>
      </c>
      <c r="W40" s="90"/>
      <c r="X40" s="857"/>
      <c r="Y40" s="862" t="s">
        <v>673</v>
      </c>
      <c r="Z40" s="2233">
        <f>SUM(Z41:AD41)</f>
        <v>205.23278927973169</v>
      </c>
      <c r="AA40" s="2234"/>
      <c r="AB40" s="2234"/>
      <c r="AC40" s="2235"/>
      <c r="AD40" s="865"/>
      <c r="AE40" s="863"/>
      <c r="AF40" s="867" t="s">
        <v>673</v>
      </c>
      <c r="AG40" s="2230">
        <f>SUM(AG41:AJ41)</f>
        <v>0.70662135510425916</v>
      </c>
      <c r="AH40" s="2231"/>
      <c r="AI40" s="2231"/>
      <c r="AJ40" s="2232"/>
      <c r="AK40" s="52"/>
      <c r="AL40" s="871" t="s">
        <v>245</v>
      </c>
      <c r="AM40" s="90">
        <f>SUM(AM7:AM39)</f>
        <v>160.17386441835984</v>
      </c>
      <c r="AN40" s="872">
        <f>SUM(AN7:AN39)</f>
        <v>152.82613558164019</v>
      </c>
      <c r="AO40" s="118"/>
      <c r="AP40" s="862" t="s">
        <v>673</v>
      </c>
      <c r="AQ40" s="2230">
        <f>SUM(AQ41:AU41)</f>
        <v>58.333232430837896</v>
      </c>
      <c r="AR40" s="2239"/>
      <c r="AS40" s="2239"/>
      <c r="AT40" s="2239"/>
      <c r="AU40" s="2240"/>
      <c r="AV40" s="119"/>
      <c r="AW40" s="867" t="s">
        <v>673</v>
      </c>
      <c r="AX40" s="955">
        <f>SUM(AX41:BA41)</f>
        <v>0.18860469449948708</v>
      </c>
      <c r="AY40" s="955"/>
      <c r="AZ40" s="955"/>
      <c r="BA40" s="955"/>
      <c r="BC40" s="44"/>
      <c r="BD40" s="44"/>
    </row>
    <row r="41" spans="1:56" s="852" customFormat="1" ht="20.25" customHeight="1">
      <c r="A41" s="963"/>
      <c r="B41" s="964"/>
      <c r="C41" s="965"/>
      <c r="D41" s="966"/>
      <c r="E41" s="966"/>
      <c r="F41" s="966"/>
      <c r="G41" s="966"/>
      <c r="H41" s="966"/>
      <c r="I41" s="966"/>
      <c r="J41" s="863"/>
      <c r="K41" s="967"/>
      <c r="L41" s="967"/>
      <c r="M41" s="967"/>
      <c r="N41" s="967"/>
      <c r="O41" s="967"/>
      <c r="P41" s="967"/>
      <c r="Q41" s="967"/>
      <c r="R41" s="968"/>
      <c r="S41" s="969"/>
      <c r="T41" s="969"/>
      <c r="U41" s="969"/>
      <c r="V41" s="969"/>
      <c r="W41" s="863"/>
      <c r="X41" s="863"/>
      <c r="Y41" s="867" t="s">
        <v>674</v>
      </c>
      <c r="Z41" s="970">
        <f>SUM(Z7:Z39)</f>
        <v>75.858543169083219</v>
      </c>
      <c r="AA41" s="970">
        <f>SUM(AA7:AA39)</f>
        <v>71.123409046762973</v>
      </c>
      <c r="AB41" s="970">
        <f>SUM(AB7:AB39)</f>
        <v>17.034951934381024</v>
      </c>
      <c r="AC41" s="970">
        <f>SUM(AC7:AC39)</f>
        <v>21.602985483161806</v>
      </c>
      <c r="AD41" s="970">
        <f>SUM(AD7:AD39)</f>
        <v>19.612899646342676</v>
      </c>
      <c r="AE41" s="863"/>
      <c r="AF41" s="867" t="s">
        <v>674</v>
      </c>
      <c r="AG41" s="955">
        <f>SUM(AG7:AG39)</f>
        <v>0.25833047921101576</v>
      </c>
      <c r="AH41" s="955">
        <f>SUM(AH7:AH39)</f>
        <v>0.24794898323772738</v>
      </c>
      <c r="AI41" s="955">
        <f>SUM(AI7:AI39)</f>
        <v>8.8328071836466987E-2</v>
      </c>
      <c r="AJ41" s="955">
        <f>SUM(AJ7:AJ39)</f>
        <v>0.11201382081904911</v>
      </c>
      <c r="AK41" s="971"/>
      <c r="AL41" s="972"/>
      <c r="AM41" s="972"/>
      <c r="AN41" s="972"/>
      <c r="AO41" s="966"/>
      <c r="AP41" s="867" t="s">
        <v>674</v>
      </c>
      <c r="AQ41" s="955">
        <f>SUM(AQ7:AQ39)</f>
        <v>14.762206300066104</v>
      </c>
      <c r="AR41" s="955">
        <f>SUM(AR7:AR39)</f>
        <v>11.106926988168434</v>
      </c>
      <c r="AS41" s="955">
        <f>SUM(AS7:AS39)</f>
        <v>4.6136463354166617</v>
      </c>
      <c r="AT41" s="956">
        <f>SUM(AT7:AT39)</f>
        <v>14.597598130009413</v>
      </c>
      <c r="AU41" s="955">
        <f>SUM(AU7:AU39)</f>
        <v>13.252854677177286</v>
      </c>
      <c r="AV41" s="958"/>
      <c r="AW41" s="867" t="s">
        <v>674</v>
      </c>
      <c r="AX41" s="957">
        <f>SUM(AX7:AX39)</f>
        <v>5.0271566897981068E-2</v>
      </c>
      <c r="AY41" s="957">
        <f>SUM(AY7:AY39)</f>
        <v>3.8720743149436791E-2</v>
      </c>
      <c r="AZ41" s="957">
        <f>SUM(AZ7:AZ39)</f>
        <v>2.3922256224290481E-2</v>
      </c>
      <c r="BA41" s="957">
        <f>SUM(BA7:BA39)</f>
        <v>7.569012822777875E-2</v>
      </c>
      <c r="BC41" s="847"/>
      <c r="BD41" s="847"/>
    </row>
    <row r="42" spans="1:56" s="43" customFormat="1" ht="20.25" customHeight="1">
      <c r="A42" s="77"/>
      <c r="B42" s="106"/>
      <c r="C42" s="106"/>
      <c r="D42" s="107"/>
      <c r="E42" s="107"/>
      <c r="F42" s="107"/>
      <c r="G42" s="107"/>
      <c r="H42" s="107"/>
      <c r="I42" s="107"/>
      <c r="J42" s="50"/>
      <c r="K42" s="46"/>
      <c r="L42" s="110"/>
      <c r="M42" s="46"/>
      <c r="N42" s="46"/>
      <c r="O42" s="46"/>
      <c r="P42" s="46"/>
      <c r="Q42" s="46"/>
      <c r="R42" s="48"/>
      <c r="S42" s="50"/>
      <c r="T42" s="50"/>
      <c r="U42" s="50"/>
      <c r="V42" s="50"/>
      <c r="W42" s="50"/>
      <c r="X42" s="50"/>
      <c r="Y42" s="111" t="s">
        <v>675</v>
      </c>
      <c r="Z42" s="109">
        <f>Z41/$Z$40</f>
        <v>0.36962194703541373</v>
      </c>
      <c r="AA42" s="109">
        <f>AA41/$Z$40</f>
        <v>0.34654993140409923</v>
      </c>
      <c r="AB42" s="109">
        <f>AB41/$Z$40</f>
        <v>8.3003071751670418E-2</v>
      </c>
      <c r="AC42" s="109">
        <f>AC41/$Z$40</f>
        <v>0.10526088720509957</v>
      </c>
      <c r="AD42" s="109">
        <f>AD41/$Z$40</f>
        <v>9.5564162603717043E-2</v>
      </c>
      <c r="AE42" s="50"/>
      <c r="AF42" s="111" t="s">
        <v>675</v>
      </c>
      <c r="AG42" s="109">
        <f>AG41/$AG$40</f>
        <v>0.36558544027147344</v>
      </c>
      <c r="AH42" s="109">
        <f>AH41/$AG$40</f>
        <v>0.35089370204661235</v>
      </c>
      <c r="AI42" s="109">
        <f>AI41/$AG$40</f>
        <v>0.1250005695390207</v>
      </c>
      <c r="AJ42" s="109">
        <f>AJ41/$AG$40</f>
        <v>0.1585202881428936</v>
      </c>
      <c r="AK42" s="52"/>
      <c r="AL42" s="107"/>
      <c r="AM42" s="107"/>
      <c r="AN42" s="107"/>
      <c r="AO42" s="107"/>
      <c r="AP42" s="867" t="s">
        <v>675</v>
      </c>
      <c r="AQ42" s="959">
        <f>AQ41/$AQ$40</f>
        <v>0.25306683145955849</v>
      </c>
      <c r="AR42" s="959">
        <f>AR41/$AQ$40</f>
        <v>0.19040479200835012</v>
      </c>
      <c r="AS42" s="959">
        <f>AS41/$AQ$40</f>
        <v>7.9091216844305284E-2</v>
      </c>
      <c r="AT42" s="960">
        <f>AT41/$AQ$40</f>
        <v>0.25024497223459857</v>
      </c>
      <c r="AU42" s="961">
        <f>AU41/$AQ$40</f>
        <v>0.22719218745318762</v>
      </c>
      <c r="AV42" s="962"/>
      <c r="AW42" s="867" t="s">
        <v>675</v>
      </c>
      <c r="AX42" s="961">
        <f>AX41/$AX$40</f>
        <v>0.26654462144428637</v>
      </c>
      <c r="AY42" s="961">
        <f>AY41/$AX$40</f>
        <v>0.20530105707173738</v>
      </c>
      <c r="AZ42" s="961">
        <f>AZ41/$AX$40</f>
        <v>0.12683807414112663</v>
      </c>
      <c r="BA42" s="961">
        <f>BA41/$AX$40</f>
        <v>0.40131624734284965</v>
      </c>
      <c r="BC42" s="44"/>
      <c r="BD42" s="44"/>
    </row>
    <row r="43" spans="1:56" s="63" customFormat="1">
      <c r="A43" s="2241"/>
      <c r="B43" s="2241"/>
      <c r="C43" s="65"/>
      <c r="D43" s="64"/>
      <c r="I43" s="68"/>
      <c r="J43" s="67"/>
      <c r="K43" s="93" t="s">
        <v>888</v>
      </c>
      <c r="L43" s="93">
        <v>6</v>
      </c>
      <c r="M43" s="93">
        <v>5</v>
      </c>
      <c r="N43" s="93">
        <v>4</v>
      </c>
      <c r="O43" s="93">
        <v>3</v>
      </c>
      <c r="P43" s="93">
        <v>2</v>
      </c>
      <c r="Q43" s="93"/>
      <c r="R43" s="69"/>
      <c r="S43" s="68"/>
      <c r="T43" s="68"/>
      <c r="U43" s="68"/>
      <c r="V43" s="68"/>
      <c r="W43" s="68"/>
      <c r="X43" s="68"/>
      <c r="Y43" s="858"/>
      <c r="Z43" s="859"/>
      <c r="AA43" s="859"/>
      <c r="AB43" s="859"/>
      <c r="AC43" s="859"/>
      <c r="AD43" s="68"/>
      <c r="AE43" s="68"/>
      <c r="AF43" s="68"/>
      <c r="AG43" s="70"/>
      <c r="AH43" s="70"/>
      <c r="AI43" s="70"/>
      <c r="AJ43" s="70"/>
      <c r="AK43" s="70"/>
      <c r="AL43" s="66"/>
      <c r="AM43" s="67"/>
      <c r="AN43" s="67"/>
      <c r="AO43" s="67"/>
      <c r="AP43" s="67"/>
      <c r="AQ43" s="68" t="s">
        <v>517</v>
      </c>
      <c r="AR43" s="68"/>
      <c r="AS43" s="68"/>
      <c r="AT43" s="68"/>
      <c r="AU43" s="68"/>
      <c r="AV43" s="68"/>
      <c r="AW43" s="70"/>
      <c r="AX43" s="70"/>
      <c r="AY43" s="70"/>
      <c r="AZ43" s="70"/>
      <c r="BA43" s="70"/>
    </row>
    <row r="44" spans="1:56" s="63" customFormat="1">
      <c r="A44" s="2241"/>
      <c r="B44" s="2241"/>
      <c r="C44" s="65"/>
      <c r="D44" s="71"/>
      <c r="I44" s="68"/>
      <c r="J44" s="67"/>
      <c r="L44" s="69"/>
      <c r="M44" s="69"/>
      <c r="N44" s="69"/>
      <c r="O44" s="69"/>
      <c r="P44" s="69"/>
      <c r="Q44" s="69"/>
      <c r="R44" s="69"/>
      <c r="S44" s="68"/>
      <c r="T44" s="68"/>
      <c r="U44" s="68"/>
      <c r="V44" s="68"/>
      <c r="W44" s="68"/>
      <c r="X44" s="68"/>
      <c r="Y44" s="860"/>
      <c r="Z44" s="861"/>
      <c r="AA44" s="861"/>
      <c r="AB44" s="861"/>
      <c r="AC44" s="861"/>
      <c r="AD44" s="68"/>
      <c r="AE44" s="68"/>
      <c r="AF44" s="68"/>
      <c r="AG44" s="70"/>
      <c r="AH44" s="70"/>
      <c r="AI44" s="70"/>
      <c r="AJ44" s="70"/>
      <c r="AK44" s="70"/>
      <c r="AL44" s="66"/>
      <c r="AM44" s="67"/>
      <c r="AN44" s="67"/>
      <c r="AO44" s="67"/>
      <c r="AP44" s="67"/>
      <c r="AQ44" s="68"/>
      <c r="AR44" s="68"/>
      <c r="AS44" s="68"/>
      <c r="AT44" s="68"/>
      <c r="AU44" s="68"/>
      <c r="AV44" s="68"/>
      <c r="AW44" s="70"/>
      <c r="AX44" s="70"/>
      <c r="AY44" s="70"/>
      <c r="AZ44" s="70"/>
      <c r="BA44" s="70"/>
    </row>
    <row r="45" spans="1:56" s="63" customFormat="1">
      <c r="A45" s="2241"/>
      <c r="B45" s="2241"/>
      <c r="C45" s="65"/>
      <c r="D45" s="64"/>
      <c r="I45" s="68"/>
      <c r="J45" s="67"/>
      <c r="L45" s="69"/>
      <c r="M45" s="69"/>
      <c r="N45" s="69"/>
      <c r="O45" s="69"/>
      <c r="P45" s="69"/>
      <c r="Q45" s="69"/>
      <c r="R45" s="69"/>
      <c r="S45" s="68"/>
      <c r="T45" s="68"/>
      <c r="U45" s="68"/>
      <c r="V45" s="68"/>
      <c r="W45" s="68"/>
      <c r="X45" s="68"/>
      <c r="Y45" s="218" t="s">
        <v>835</v>
      </c>
      <c r="Z45" s="218"/>
      <c r="AA45" s="218"/>
      <c r="AB45" s="218"/>
      <c r="AC45" s="218"/>
      <c r="AD45" s="219"/>
      <c r="AE45" s="219"/>
      <c r="AF45" s="68"/>
      <c r="AG45" s="70"/>
      <c r="AH45" s="70"/>
      <c r="AI45" s="70"/>
      <c r="AJ45" s="70"/>
      <c r="AK45" s="70"/>
      <c r="AL45" s="66"/>
      <c r="AM45" s="67"/>
      <c r="AN45" s="67"/>
      <c r="AO45" s="67"/>
      <c r="AP45" s="67"/>
      <c r="AQ45" s="68"/>
      <c r="AR45" s="68"/>
      <c r="AS45" s="68"/>
      <c r="AT45" s="68"/>
      <c r="AU45" s="68"/>
      <c r="AV45" s="68"/>
      <c r="AW45" s="70"/>
      <c r="AX45" s="70"/>
      <c r="AY45" s="70"/>
      <c r="AZ45" s="70"/>
      <c r="BA45" s="70"/>
    </row>
    <row r="46" spans="1:56" s="63" customFormat="1">
      <c r="A46" s="2241"/>
      <c r="B46" s="2241"/>
      <c r="C46" s="65"/>
      <c r="D46" s="64"/>
      <c r="I46" s="68"/>
      <c r="J46" s="67"/>
      <c r="L46" s="69"/>
      <c r="M46" s="69"/>
      <c r="N46" s="69"/>
      <c r="O46" s="69"/>
      <c r="P46" s="69"/>
      <c r="Q46" s="69"/>
      <c r="R46" s="69"/>
      <c r="S46" s="68"/>
      <c r="T46" s="68"/>
      <c r="U46" s="68"/>
      <c r="V46" s="68"/>
      <c r="W46" s="68"/>
      <c r="X46" s="68"/>
      <c r="Y46" s="218"/>
      <c r="Z46" s="218"/>
      <c r="AA46" s="218"/>
      <c r="AB46" s="218"/>
      <c r="AC46" s="218"/>
      <c r="AD46" s="219"/>
      <c r="AE46" s="219"/>
      <c r="AF46" s="68"/>
      <c r="AG46" s="70"/>
      <c r="AH46" s="70"/>
      <c r="AI46" s="70"/>
      <c r="AJ46" s="70"/>
      <c r="AK46" s="70"/>
      <c r="AL46" s="66"/>
      <c r="AM46" s="67"/>
      <c r="AN46" s="67"/>
      <c r="AO46" s="67"/>
      <c r="AP46" s="67"/>
      <c r="AQ46" s="68"/>
      <c r="AR46" s="68"/>
      <c r="AS46" s="68"/>
      <c r="AT46" s="68"/>
      <c r="AU46" s="68"/>
      <c r="AV46" s="68"/>
      <c r="AW46" s="70"/>
      <c r="AX46" s="70"/>
      <c r="AY46" s="70"/>
      <c r="AZ46" s="70"/>
      <c r="BA46" s="70"/>
    </row>
    <row r="47" spans="1:56" s="63" customFormat="1">
      <c r="A47" s="2241"/>
      <c r="B47" s="2241"/>
      <c r="C47" s="65"/>
      <c r="D47" s="64"/>
      <c r="I47" s="68"/>
      <c r="J47" s="67"/>
      <c r="L47" s="69"/>
      <c r="M47" s="69"/>
      <c r="N47" s="69"/>
      <c r="O47" s="69"/>
      <c r="P47" s="69"/>
      <c r="Q47" s="69"/>
      <c r="R47" s="69"/>
      <c r="S47" s="68"/>
      <c r="T47" s="68"/>
      <c r="U47" s="68"/>
      <c r="V47" s="68"/>
      <c r="W47" s="68"/>
      <c r="X47" s="68"/>
      <c r="Y47" s="186" t="s">
        <v>483</v>
      </c>
      <c r="Z47" s="187">
        <f>SUMIF(Z7:Z12,"&gt;0",Z7:Z12)+SUMIF(Z28:Z39,"&gt;0",Z28:Z39)</f>
        <v>57.254043297492615</v>
      </c>
      <c r="AA47" s="187">
        <f>SUMIF(AA7:AA12,"&gt;0",AA7:AA12)+SUMIF(AA28:AA39,"&gt;0",AA28:AA39)</f>
        <v>65.132844806328933</v>
      </c>
      <c r="AB47" s="187">
        <f>SUMIF(AB7:AB12,"&gt;0",AB7:AB12)+SUMIF(AB28:AB39,"&gt;0",AB28:AB39)</f>
        <v>15.335688206016954</v>
      </c>
      <c r="AC47" s="187">
        <f>SUMIF(AC7:AC12,"&gt;0",AC7:AC12)+SUMIF(AC28:AC39,"&gt;0",AC28:AC39)</f>
        <v>19.473071615872573</v>
      </c>
      <c r="AD47" s="187">
        <f>SUMIF(AD7:AD12,"&gt;0",AD7:AD12)+SUMIF(AD28:AD39,"&gt;0",AD28:AD39)</f>
        <v>17.679195299457032</v>
      </c>
      <c r="AE47" s="219"/>
      <c r="AF47" s="68"/>
      <c r="AG47" s="70"/>
      <c r="AH47" s="70"/>
      <c r="AI47" s="70"/>
      <c r="AJ47" s="70"/>
      <c r="AK47" s="70"/>
      <c r="AL47" s="66"/>
      <c r="AM47" s="67"/>
      <c r="AN47" s="67"/>
      <c r="AO47" s="67"/>
      <c r="AP47" s="67"/>
      <c r="AQ47" s="68"/>
      <c r="AR47" s="68"/>
      <c r="AS47" s="68"/>
      <c r="AT47" s="68"/>
      <c r="AU47" s="68"/>
      <c r="AV47" s="68"/>
      <c r="AW47" s="70"/>
      <c r="AX47" s="70"/>
      <c r="AY47" s="70"/>
      <c r="AZ47" s="70"/>
      <c r="BA47" s="70"/>
    </row>
    <row r="48" spans="1:56" s="63" customFormat="1">
      <c r="A48" s="2241"/>
      <c r="B48" s="2241"/>
      <c r="C48" s="65"/>
      <c r="D48" s="64"/>
      <c r="E48" s="68"/>
      <c r="F48" s="68"/>
      <c r="G48" s="68"/>
      <c r="H48" s="68"/>
      <c r="I48" s="68"/>
      <c r="J48" s="67"/>
      <c r="L48" s="69"/>
      <c r="M48" s="69"/>
      <c r="N48" s="69"/>
      <c r="O48" s="69"/>
      <c r="P48" s="69"/>
      <c r="Q48" s="69"/>
      <c r="R48" s="69"/>
      <c r="S48" s="68"/>
      <c r="T48" s="68"/>
      <c r="U48" s="68"/>
      <c r="V48" s="68"/>
      <c r="W48" s="68"/>
      <c r="X48" s="68"/>
      <c r="Y48" s="188" t="s">
        <v>355</v>
      </c>
      <c r="Z48" s="189">
        <f>SUMIF(Z13:Z28,"&gt;0",Z13:Z28)</f>
        <v>19.337421833572815</v>
      </c>
      <c r="AA48" s="189">
        <f>SUMIF(AA13:AA28,"&gt;0",AA13:AA28)</f>
        <v>5.9905642404340211</v>
      </c>
      <c r="AB48" s="189">
        <f>SUMIF(AB13:AB28,"&gt;0",AB13:AB28)</f>
        <v>1.8467124365044365</v>
      </c>
      <c r="AC48" s="189">
        <f>SUMIF(AC13:AC28,"&gt;0",AC13:AC28)</f>
        <v>13.327860945094235</v>
      </c>
      <c r="AD48" s="189">
        <f>SUMIF(AD13:AD28,"&gt;0",AD13:AD28)</f>
        <v>12.100086787554742</v>
      </c>
      <c r="AE48" s="219"/>
      <c r="AF48" s="68"/>
      <c r="AG48" s="70"/>
      <c r="AH48" s="70"/>
      <c r="AI48" s="70"/>
      <c r="AJ48" s="70"/>
      <c r="AK48" s="70"/>
      <c r="AL48" s="66"/>
      <c r="AM48" s="67"/>
      <c r="AN48" s="67"/>
      <c r="AO48" s="67"/>
      <c r="AP48" s="67"/>
      <c r="AQ48" s="68"/>
      <c r="AR48" s="68"/>
      <c r="AS48" s="68"/>
      <c r="AT48" s="68"/>
      <c r="AU48" s="68"/>
      <c r="AV48" s="68"/>
      <c r="AW48" s="70"/>
      <c r="AX48" s="70"/>
      <c r="AY48" s="70"/>
      <c r="AZ48" s="70"/>
      <c r="BA48" s="70"/>
    </row>
    <row r="49" spans="1:53" s="63" customFormat="1">
      <c r="A49" s="2241"/>
      <c r="B49" s="2241"/>
      <c r="C49" s="65"/>
      <c r="D49" s="64"/>
      <c r="I49" s="68"/>
      <c r="J49" s="67"/>
      <c r="L49" s="69"/>
      <c r="M49" s="69"/>
      <c r="N49" s="69"/>
      <c r="O49" s="69"/>
      <c r="P49" s="69"/>
      <c r="Q49" s="69"/>
      <c r="R49" s="69"/>
      <c r="S49" s="68"/>
      <c r="T49" s="68"/>
      <c r="U49" s="68"/>
      <c r="V49" s="68"/>
      <c r="W49" s="68"/>
      <c r="X49" s="68"/>
      <c r="Y49" s="188" t="s">
        <v>836</v>
      </c>
      <c r="Z49" s="190">
        <f>Z47/(Z48+Z47)</f>
        <v>0.74752510869870303</v>
      </c>
      <c r="AA49" s="191">
        <f>AA47/(AA48+AA47)</f>
        <v>0.91577225669124929</v>
      </c>
      <c r="AB49" s="191">
        <f>AB47/(AB48+AB47)</f>
        <v>0.89252302545347673</v>
      </c>
      <c r="AC49" s="220">
        <f>AC47/(AC48+AC47)</f>
        <v>0.59367432860874136</v>
      </c>
      <c r="AD49" s="220">
        <f>AD47/(AD48+AD47)</f>
        <v>0.59367432860874136</v>
      </c>
      <c r="AE49" s="744"/>
      <c r="AF49" s="68"/>
      <c r="AG49" s="70"/>
      <c r="AH49" s="70"/>
      <c r="AI49" s="70"/>
      <c r="AJ49" s="70"/>
      <c r="AK49" s="70"/>
      <c r="AL49" s="66"/>
      <c r="AM49" s="67"/>
      <c r="AN49" s="67"/>
      <c r="AO49" s="67"/>
      <c r="AP49" s="67"/>
      <c r="AQ49" s="68"/>
      <c r="AR49" s="68"/>
      <c r="AS49" s="68"/>
      <c r="AT49" s="68"/>
      <c r="AU49" s="68"/>
      <c r="AV49" s="68"/>
      <c r="AW49" s="70"/>
      <c r="AX49" s="70"/>
      <c r="AY49" s="70"/>
      <c r="AZ49" s="70"/>
      <c r="BA49" s="70"/>
    </row>
    <row r="50" spans="1:53" s="63" customFormat="1">
      <c r="A50" s="2241"/>
      <c r="B50" s="2241"/>
      <c r="C50" s="65"/>
      <c r="D50" s="64"/>
      <c r="I50" s="68"/>
      <c r="J50" s="67"/>
      <c r="L50" s="69"/>
      <c r="M50" s="69"/>
      <c r="N50" s="69"/>
      <c r="O50" s="69"/>
      <c r="P50" s="69"/>
      <c r="Q50" s="69"/>
      <c r="R50" s="69"/>
      <c r="S50" s="68"/>
      <c r="T50" s="68"/>
      <c r="U50" s="68"/>
      <c r="V50" s="68"/>
      <c r="W50" s="68"/>
      <c r="X50" s="68"/>
      <c r="Y50" s="192" t="s">
        <v>356</v>
      </c>
      <c r="Z50" s="193">
        <f>Z48/(Z47+Z48)</f>
        <v>0.25247489130129686</v>
      </c>
      <c r="AA50" s="194">
        <f>AA48/(AA47+AA48)</f>
        <v>8.4227743308750602E-2</v>
      </c>
      <c r="AB50" s="194">
        <f>AB48/(AB47+AB48)</f>
        <v>0.10747697454652327</v>
      </c>
      <c r="AC50" s="194">
        <f>AC48/(AC47+AC48)</f>
        <v>0.40632567139125864</v>
      </c>
      <c r="AD50" s="194">
        <f>AD48/(AD47+AD48)</f>
        <v>0.40632567139125869</v>
      </c>
      <c r="AE50" s="744"/>
      <c r="AF50" s="68"/>
      <c r="AG50" s="70"/>
      <c r="AH50" s="70"/>
      <c r="AI50" s="70"/>
      <c r="AJ50" s="70"/>
      <c r="AK50" s="70"/>
      <c r="AL50" s="66"/>
      <c r="AM50" s="67"/>
      <c r="AN50" s="67"/>
      <c r="AO50" s="67"/>
      <c r="AP50" s="67"/>
      <c r="AQ50" s="68"/>
      <c r="AR50" s="68"/>
      <c r="AS50" s="68"/>
      <c r="AT50" s="68"/>
      <c r="AU50" s="68"/>
      <c r="AV50" s="68"/>
      <c r="AW50" s="70"/>
      <c r="AX50" s="70"/>
      <c r="AY50" s="70"/>
      <c r="AZ50" s="70"/>
      <c r="BA50" s="70"/>
    </row>
    <row r="51" spans="1:53" s="63" customFormat="1">
      <c r="A51" s="2241"/>
      <c r="B51" s="2241"/>
      <c r="C51" s="65"/>
      <c r="D51" s="64"/>
      <c r="I51" s="68"/>
      <c r="J51" s="67"/>
      <c r="L51" s="69"/>
      <c r="M51" s="69"/>
      <c r="N51" s="69"/>
      <c r="O51" s="69"/>
      <c r="P51" s="69"/>
      <c r="Q51" s="69"/>
      <c r="R51" s="69"/>
      <c r="S51" s="68"/>
      <c r="T51" s="68"/>
      <c r="U51" s="68"/>
      <c r="V51" s="68"/>
      <c r="W51" s="68"/>
      <c r="X51" s="68"/>
      <c r="Y51" s="218"/>
      <c r="Z51" s="219"/>
      <c r="AA51" s="219"/>
      <c r="AB51" s="219"/>
      <c r="AC51" s="219"/>
      <c r="AD51" s="219"/>
      <c r="AE51" s="219"/>
      <c r="AF51" s="68"/>
      <c r="AG51" s="70"/>
      <c r="AH51" s="70"/>
      <c r="AI51" s="70"/>
      <c r="AJ51" s="70"/>
      <c r="AK51" s="70"/>
      <c r="AL51" s="66"/>
      <c r="AM51" s="67"/>
      <c r="AN51" s="67"/>
      <c r="AO51" s="67"/>
      <c r="AP51" s="67"/>
      <c r="AQ51" s="68"/>
      <c r="AR51" s="68"/>
      <c r="AS51" s="68"/>
      <c r="AT51" s="68"/>
      <c r="AU51" s="68"/>
      <c r="AV51" s="68"/>
      <c r="AW51" s="70"/>
      <c r="AX51" s="70"/>
      <c r="AY51" s="70"/>
      <c r="AZ51" s="70"/>
      <c r="BA51" s="70"/>
    </row>
    <row r="52" spans="1:53" s="63" customFormat="1">
      <c r="A52" s="2241"/>
      <c r="B52" s="2241"/>
      <c r="C52" s="65"/>
      <c r="D52" s="64"/>
      <c r="I52" s="68"/>
      <c r="J52" s="67"/>
      <c r="L52" s="69"/>
      <c r="M52" s="69"/>
      <c r="N52" s="69"/>
      <c r="O52" s="69"/>
      <c r="P52" s="69"/>
      <c r="Q52" s="69"/>
      <c r="R52" s="69"/>
      <c r="S52" s="68"/>
      <c r="T52" s="68"/>
      <c r="U52" s="68"/>
      <c r="V52" s="68"/>
      <c r="W52" s="68"/>
      <c r="X52" s="68"/>
      <c r="Z52" s="68"/>
      <c r="AA52" s="68"/>
      <c r="AB52" s="68"/>
      <c r="AC52" s="68"/>
      <c r="AD52" s="68"/>
      <c r="AE52" s="68"/>
      <c r="AF52" s="68"/>
      <c r="AG52" s="70"/>
      <c r="AH52" s="70"/>
      <c r="AI52" s="70"/>
      <c r="AJ52" s="70"/>
      <c r="AK52" s="70"/>
      <c r="AL52" s="66"/>
      <c r="AM52" s="67"/>
      <c r="AN52" s="67"/>
      <c r="AO52" s="67"/>
      <c r="AP52" s="67"/>
      <c r="AQ52" s="68"/>
      <c r="AR52" s="68"/>
      <c r="AS52" s="68"/>
      <c r="AT52" s="68"/>
      <c r="AU52" s="68"/>
      <c r="AV52" s="68"/>
      <c r="AW52" s="70"/>
      <c r="AX52" s="70"/>
      <c r="AY52" s="70"/>
      <c r="AZ52" s="70"/>
      <c r="BA52" s="70"/>
    </row>
    <row r="53" spans="1:53" s="63" customFormat="1">
      <c r="A53" s="2241"/>
      <c r="B53" s="2241"/>
      <c r="C53" s="65"/>
      <c r="D53" s="64"/>
      <c r="I53" s="68"/>
      <c r="J53" s="67"/>
      <c r="L53" s="69"/>
      <c r="M53" s="69"/>
      <c r="N53" s="69"/>
      <c r="O53" s="69"/>
      <c r="P53" s="69"/>
      <c r="Q53" s="69"/>
      <c r="R53" s="69"/>
      <c r="S53" s="68"/>
      <c r="T53" s="68"/>
      <c r="U53" s="68"/>
      <c r="V53" s="68"/>
      <c r="W53" s="68"/>
      <c r="X53" s="68"/>
      <c r="Z53" s="68"/>
      <c r="AA53" s="68"/>
      <c r="AB53" s="68"/>
      <c r="AC53" s="68"/>
      <c r="AD53" s="68"/>
      <c r="AE53" s="68"/>
      <c r="AF53" s="68"/>
      <c r="AG53" s="70"/>
      <c r="AH53" s="70"/>
      <c r="AI53" s="70"/>
      <c r="AJ53" s="70"/>
      <c r="AK53" s="70"/>
      <c r="AL53" s="66"/>
      <c r="AM53" s="67"/>
      <c r="AN53" s="67"/>
      <c r="AO53" s="67"/>
      <c r="AP53" s="67"/>
      <c r="AQ53" s="68"/>
      <c r="AR53" s="68"/>
      <c r="AS53" s="68"/>
      <c r="AT53" s="68"/>
      <c r="AU53" s="68"/>
      <c r="AV53" s="68"/>
      <c r="AW53" s="70"/>
      <c r="AX53" s="70"/>
      <c r="AY53" s="70"/>
      <c r="AZ53" s="70"/>
      <c r="BA53" s="70"/>
    </row>
    <row r="54" spans="1:53" s="63" customFormat="1">
      <c r="A54" s="2241"/>
      <c r="B54" s="2241"/>
      <c r="C54" s="65"/>
      <c r="D54" s="64"/>
      <c r="I54" s="68"/>
      <c r="J54" s="67"/>
      <c r="L54" s="69"/>
      <c r="M54" s="69"/>
      <c r="N54" s="69"/>
      <c r="O54" s="69"/>
      <c r="P54" s="69"/>
      <c r="Q54" s="69"/>
      <c r="R54" s="69"/>
      <c r="S54" s="68"/>
      <c r="T54" s="68"/>
      <c r="U54" s="68"/>
      <c r="V54" s="68"/>
      <c r="W54" s="68"/>
      <c r="X54" s="68"/>
      <c r="Z54" s="68"/>
      <c r="AA54" s="68"/>
      <c r="AB54" s="68"/>
      <c r="AC54" s="68"/>
      <c r="AD54" s="68"/>
      <c r="AE54" s="68"/>
      <c r="AF54" s="68"/>
      <c r="AG54" s="70"/>
      <c r="AH54" s="70"/>
      <c r="AI54" s="70"/>
      <c r="AJ54" s="70"/>
      <c r="AK54" s="70"/>
      <c r="AL54" s="66"/>
      <c r="AM54" s="67"/>
      <c r="AN54" s="67"/>
      <c r="AO54" s="67"/>
      <c r="AP54" s="67"/>
      <c r="AQ54" s="68"/>
      <c r="AR54" s="68"/>
      <c r="AS54" s="68"/>
      <c r="AT54" s="68"/>
      <c r="AU54" s="68"/>
      <c r="AV54" s="68"/>
      <c r="AW54" s="70"/>
      <c r="AX54" s="70"/>
      <c r="AY54" s="70"/>
      <c r="AZ54" s="70"/>
      <c r="BA54" s="70"/>
    </row>
    <row r="55" spans="1:53" s="63" customFormat="1">
      <c r="A55" s="2241"/>
      <c r="B55" s="2241"/>
      <c r="C55" s="65"/>
      <c r="D55" s="64"/>
      <c r="I55" s="68"/>
      <c r="J55" s="67"/>
      <c r="L55" s="69"/>
      <c r="M55" s="69"/>
      <c r="N55" s="69"/>
      <c r="O55" s="69"/>
      <c r="P55" s="69"/>
      <c r="Q55" s="69"/>
      <c r="R55" s="69"/>
      <c r="S55" s="68"/>
      <c r="T55" s="68"/>
      <c r="U55" s="68"/>
      <c r="V55" s="68"/>
      <c r="W55" s="68"/>
      <c r="X55" s="68"/>
      <c r="Z55" s="68"/>
      <c r="AA55" s="68"/>
      <c r="AB55" s="68"/>
      <c r="AC55" s="68"/>
      <c r="AD55" s="68"/>
      <c r="AE55" s="68"/>
      <c r="AF55" s="68"/>
      <c r="AG55" s="70"/>
      <c r="AH55" s="70"/>
      <c r="AI55" s="70"/>
      <c r="AJ55" s="70"/>
      <c r="AK55" s="70"/>
      <c r="AL55" s="66"/>
      <c r="AM55" s="67"/>
      <c r="AN55" s="67"/>
      <c r="AO55" s="67"/>
      <c r="AP55" s="67"/>
      <c r="AQ55" s="68"/>
      <c r="AR55" s="68"/>
      <c r="AS55" s="68"/>
      <c r="AT55" s="68"/>
      <c r="AU55" s="68"/>
      <c r="AV55" s="68"/>
      <c r="AW55" s="70"/>
      <c r="AX55" s="70"/>
      <c r="AY55" s="70"/>
      <c r="AZ55" s="70"/>
      <c r="BA55" s="70"/>
    </row>
    <row r="56" spans="1:53" s="63" customFormat="1">
      <c r="A56" s="2241"/>
      <c r="B56" s="2241"/>
      <c r="C56" s="65"/>
      <c r="D56" s="64"/>
      <c r="I56" s="68"/>
      <c r="J56" s="67"/>
      <c r="L56" s="69"/>
      <c r="M56" s="69"/>
      <c r="N56" s="69"/>
      <c r="O56" s="69"/>
      <c r="P56" s="69"/>
      <c r="Q56" s="69"/>
      <c r="R56" s="69"/>
      <c r="S56" s="68"/>
      <c r="T56" s="68"/>
      <c r="U56" s="68"/>
      <c r="V56" s="68"/>
      <c r="W56" s="68"/>
      <c r="X56" s="68"/>
      <c r="Z56" s="68"/>
      <c r="AA56" s="68"/>
      <c r="AB56" s="68"/>
      <c r="AC56" s="68"/>
      <c r="AD56" s="68"/>
      <c r="AE56" s="68"/>
      <c r="AF56" s="68"/>
      <c r="AG56" s="70"/>
      <c r="AH56" s="70"/>
      <c r="AI56" s="70"/>
      <c r="AJ56" s="70"/>
      <c r="AK56" s="70"/>
      <c r="AL56" s="66"/>
      <c r="AM56" s="67"/>
      <c r="AN56" s="67"/>
      <c r="AO56" s="67"/>
      <c r="AP56" s="67"/>
      <c r="AQ56" s="68"/>
      <c r="AR56" s="68"/>
      <c r="AS56" s="68"/>
      <c r="AT56" s="68"/>
      <c r="AU56" s="68"/>
      <c r="AV56" s="68"/>
      <c r="AW56" s="70"/>
      <c r="AX56" s="70"/>
      <c r="AY56" s="70"/>
      <c r="AZ56" s="70"/>
      <c r="BA56" s="70"/>
    </row>
    <row r="57" spans="1:53" s="63" customFormat="1">
      <c r="A57" s="2241"/>
      <c r="B57" s="2241"/>
      <c r="C57" s="65"/>
      <c r="D57" s="64"/>
      <c r="I57" s="68"/>
      <c r="J57" s="67"/>
      <c r="L57" s="69"/>
      <c r="M57" s="69"/>
      <c r="N57" s="69"/>
      <c r="O57" s="69"/>
      <c r="P57" s="69"/>
      <c r="Q57" s="69"/>
      <c r="R57" s="69"/>
      <c r="S57" s="68"/>
      <c r="T57" s="68"/>
      <c r="U57" s="68"/>
      <c r="V57" s="68"/>
      <c r="W57" s="68"/>
      <c r="X57" s="68"/>
      <c r="Z57" s="68"/>
      <c r="AA57" s="68"/>
      <c r="AB57" s="68"/>
      <c r="AC57" s="68"/>
      <c r="AD57" s="68"/>
      <c r="AE57" s="68"/>
      <c r="AF57" s="68"/>
      <c r="AG57" s="70"/>
      <c r="AH57" s="70"/>
      <c r="AI57" s="70"/>
      <c r="AJ57" s="70"/>
      <c r="AK57" s="70"/>
      <c r="AL57" s="66"/>
      <c r="AM57" s="67"/>
      <c r="AN57" s="67"/>
      <c r="AO57" s="67"/>
      <c r="AP57" s="67"/>
      <c r="AQ57" s="68"/>
      <c r="AR57" s="68"/>
      <c r="AS57" s="68"/>
      <c r="AT57" s="68"/>
      <c r="AU57" s="68"/>
      <c r="AV57" s="68"/>
      <c r="AW57" s="70"/>
      <c r="AX57" s="70"/>
      <c r="AY57" s="70"/>
      <c r="AZ57" s="70"/>
      <c r="BA57" s="70"/>
    </row>
    <row r="58" spans="1:53" s="63" customFormat="1">
      <c r="A58" s="2241"/>
      <c r="B58" s="2241"/>
      <c r="C58" s="65"/>
      <c r="D58" s="64"/>
      <c r="I58" s="68"/>
      <c r="J58" s="67"/>
      <c r="L58" s="69"/>
      <c r="M58" s="69"/>
      <c r="N58" s="69"/>
      <c r="O58" s="69"/>
      <c r="P58" s="69"/>
      <c r="Q58" s="69"/>
      <c r="R58" s="69"/>
      <c r="S58" s="68"/>
      <c r="T58" s="68"/>
      <c r="U58" s="68"/>
      <c r="V58" s="68"/>
      <c r="W58" s="68"/>
      <c r="X58" s="68"/>
      <c r="Z58" s="68"/>
      <c r="AA58" s="68"/>
      <c r="AB58" s="68"/>
      <c r="AC58" s="68"/>
      <c r="AD58" s="68"/>
      <c r="AE58" s="68"/>
      <c r="AF58" s="68"/>
      <c r="AG58" s="70"/>
      <c r="AH58" s="70"/>
      <c r="AI58" s="70"/>
      <c r="AJ58" s="70"/>
      <c r="AK58" s="70"/>
      <c r="AL58" s="66"/>
      <c r="AM58" s="67"/>
      <c r="AN58" s="67"/>
      <c r="AO58" s="67"/>
      <c r="AP58" s="67"/>
      <c r="AQ58" s="68"/>
      <c r="AR58" s="68"/>
      <c r="AS58" s="68"/>
      <c r="AT58" s="68"/>
      <c r="AU58" s="68"/>
      <c r="AV58" s="68"/>
      <c r="AW58" s="70"/>
      <c r="AX58" s="70"/>
      <c r="AY58" s="70"/>
      <c r="AZ58" s="70"/>
      <c r="BA58" s="70"/>
    </row>
    <row r="59" spans="1:53" s="63" customFormat="1">
      <c r="A59" s="2241"/>
      <c r="B59" s="2241"/>
      <c r="C59" s="65"/>
      <c r="D59" s="64"/>
      <c r="I59" s="68"/>
      <c r="J59" s="67"/>
      <c r="L59" s="69"/>
      <c r="M59" s="69"/>
      <c r="N59" s="69"/>
      <c r="O59" s="69"/>
      <c r="P59" s="69"/>
      <c r="Q59" s="69"/>
      <c r="R59" s="69"/>
      <c r="S59" s="68"/>
      <c r="T59" s="68"/>
      <c r="U59" s="68"/>
      <c r="V59" s="68"/>
      <c r="W59" s="68"/>
      <c r="X59" s="68"/>
      <c r="Z59" s="68"/>
      <c r="AA59" s="68"/>
      <c r="AB59" s="68"/>
      <c r="AC59" s="68"/>
      <c r="AD59" s="68"/>
      <c r="AE59" s="68"/>
      <c r="AF59" s="68"/>
      <c r="AG59" s="70"/>
      <c r="AH59" s="70"/>
      <c r="AI59" s="70"/>
      <c r="AJ59" s="70"/>
      <c r="AK59" s="70"/>
      <c r="AL59" s="66"/>
      <c r="AM59" s="67"/>
      <c r="AN59" s="67"/>
      <c r="AO59" s="67"/>
      <c r="AP59" s="67"/>
      <c r="AQ59" s="68"/>
      <c r="AR59" s="68"/>
      <c r="AS59" s="68"/>
      <c r="AT59" s="68"/>
      <c r="AU59" s="68"/>
      <c r="AV59" s="68"/>
      <c r="AW59" s="70"/>
      <c r="AX59" s="70"/>
      <c r="AY59" s="70"/>
      <c r="AZ59" s="70"/>
      <c r="BA59" s="70"/>
    </row>
    <row r="60" spans="1:53" s="63" customFormat="1">
      <c r="A60" s="2241"/>
      <c r="B60" s="2241"/>
      <c r="C60" s="65"/>
      <c r="D60" s="64"/>
      <c r="I60" s="68"/>
      <c r="J60" s="67"/>
      <c r="L60" s="69"/>
      <c r="M60" s="69"/>
      <c r="N60" s="69"/>
      <c r="O60" s="69"/>
      <c r="P60" s="69"/>
      <c r="Q60" s="69"/>
      <c r="R60" s="69"/>
      <c r="S60" s="68"/>
      <c r="T60" s="68"/>
      <c r="U60" s="68"/>
      <c r="V60" s="68"/>
      <c r="W60" s="68"/>
      <c r="X60" s="68"/>
      <c r="Z60" s="68"/>
      <c r="AA60" s="68"/>
      <c r="AB60" s="68"/>
      <c r="AC60" s="68"/>
      <c r="AD60" s="68"/>
      <c r="AE60" s="68"/>
      <c r="AF60" s="68"/>
      <c r="AG60" s="70"/>
      <c r="AH60" s="70"/>
      <c r="AI60" s="70"/>
      <c r="AJ60" s="70"/>
      <c r="AK60" s="70"/>
      <c r="AL60" s="66"/>
      <c r="AM60" s="67"/>
      <c r="AN60" s="67"/>
      <c r="AO60" s="67"/>
      <c r="AP60" s="67"/>
      <c r="AQ60" s="68"/>
      <c r="AR60" s="68"/>
      <c r="AS60" s="68"/>
      <c r="AT60" s="68"/>
      <c r="AU60" s="68"/>
      <c r="AV60" s="68"/>
      <c r="AW60" s="70"/>
      <c r="AX60" s="70"/>
      <c r="AY60" s="70"/>
      <c r="AZ60" s="70"/>
      <c r="BA60" s="70"/>
    </row>
    <row r="61" spans="1:53" s="63" customFormat="1">
      <c r="A61" s="2241"/>
      <c r="B61" s="2241"/>
      <c r="C61" s="65"/>
      <c r="D61" s="64"/>
      <c r="I61" s="68"/>
      <c r="J61" s="67"/>
      <c r="L61" s="69"/>
      <c r="M61" s="69"/>
      <c r="N61" s="69"/>
      <c r="O61" s="69"/>
      <c r="P61" s="69"/>
      <c r="Q61" s="69"/>
      <c r="R61" s="69"/>
      <c r="S61" s="68"/>
      <c r="T61" s="68"/>
      <c r="U61" s="68"/>
      <c r="V61" s="68"/>
      <c r="W61" s="68"/>
      <c r="X61" s="68"/>
      <c r="Z61" s="68"/>
      <c r="AA61" s="68"/>
      <c r="AB61" s="68"/>
      <c r="AC61" s="68"/>
      <c r="AD61" s="68"/>
      <c r="AE61" s="68"/>
      <c r="AF61" s="68"/>
      <c r="AG61" s="70"/>
      <c r="AH61" s="70"/>
      <c r="AI61" s="70"/>
      <c r="AJ61" s="70"/>
      <c r="AK61" s="70"/>
      <c r="AL61" s="66"/>
      <c r="AM61" s="67"/>
      <c r="AN61" s="67"/>
      <c r="AO61" s="67"/>
      <c r="AP61" s="67"/>
      <c r="AQ61" s="68"/>
      <c r="AR61" s="68"/>
      <c r="AS61" s="68"/>
      <c r="AT61" s="68"/>
      <c r="AU61" s="68"/>
      <c r="AV61" s="68"/>
      <c r="AW61" s="70"/>
      <c r="AX61" s="70"/>
      <c r="AY61" s="70"/>
      <c r="AZ61" s="70"/>
      <c r="BA61" s="70"/>
    </row>
    <row r="62" spans="1:53" s="63" customFormat="1">
      <c r="A62" s="2241"/>
      <c r="B62" s="2241"/>
      <c r="C62" s="65"/>
      <c r="D62" s="64"/>
      <c r="I62" s="68"/>
      <c r="J62" s="67"/>
      <c r="L62" s="69"/>
      <c r="M62" s="69"/>
      <c r="N62" s="69"/>
      <c r="O62" s="69"/>
      <c r="P62" s="69"/>
      <c r="Q62" s="69"/>
      <c r="R62" s="69"/>
      <c r="S62" s="68"/>
      <c r="T62" s="68"/>
      <c r="U62" s="68"/>
      <c r="V62" s="68"/>
      <c r="W62" s="68"/>
      <c r="X62" s="68"/>
      <c r="Z62" s="68"/>
      <c r="AA62" s="68"/>
      <c r="AB62" s="68"/>
      <c r="AC62" s="68"/>
      <c r="AD62" s="68"/>
      <c r="AE62" s="68"/>
      <c r="AF62" s="68"/>
      <c r="AG62" s="70"/>
      <c r="AH62" s="70"/>
      <c r="AI62" s="70"/>
      <c r="AJ62" s="70"/>
      <c r="AK62" s="70"/>
      <c r="AL62" s="66"/>
      <c r="AM62" s="67"/>
      <c r="AN62" s="67"/>
      <c r="AO62" s="67"/>
      <c r="AP62" s="67"/>
      <c r="AQ62" s="68"/>
      <c r="AR62" s="68"/>
      <c r="AS62" s="68"/>
      <c r="AT62" s="68"/>
      <c r="AU62" s="68"/>
      <c r="AV62" s="68"/>
      <c r="AW62" s="70"/>
      <c r="AX62" s="70"/>
      <c r="AY62" s="70"/>
      <c r="AZ62" s="70"/>
      <c r="BA62" s="70"/>
    </row>
    <row r="63" spans="1:53" s="63" customFormat="1">
      <c r="A63" s="2241"/>
      <c r="B63" s="2241"/>
      <c r="C63" s="65"/>
      <c r="D63" s="64"/>
      <c r="I63" s="68"/>
      <c r="J63" s="67"/>
      <c r="L63" s="69"/>
      <c r="M63" s="69"/>
      <c r="N63" s="69"/>
      <c r="O63" s="69"/>
      <c r="P63" s="69"/>
      <c r="Q63" s="69"/>
      <c r="R63" s="69"/>
      <c r="S63" s="68"/>
      <c r="T63" s="68"/>
      <c r="U63" s="68"/>
      <c r="V63" s="68"/>
      <c r="W63" s="68"/>
      <c r="X63" s="68"/>
      <c r="Z63" s="68"/>
      <c r="AA63" s="68"/>
      <c r="AB63" s="68"/>
      <c r="AC63" s="68"/>
      <c r="AD63" s="68"/>
      <c r="AE63" s="68"/>
      <c r="AF63" s="68"/>
      <c r="AG63" s="70"/>
      <c r="AH63" s="70"/>
      <c r="AI63" s="70"/>
      <c r="AJ63" s="70"/>
      <c r="AK63" s="70"/>
      <c r="AL63" s="66"/>
      <c r="AM63" s="67"/>
      <c r="AN63" s="67"/>
      <c r="AO63" s="67"/>
      <c r="AP63" s="67"/>
      <c r="AQ63" s="68"/>
      <c r="AR63" s="68"/>
      <c r="AS63" s="68"/>
      <c r="AT63" s="68"/>
      <c r="AU63" s="68"/>
      <c r="AV63" s="68"/>
      <c r="AW63" s="70"/>
      <c r="AX63" s="70"/>
      <c r="AY63" s="70"/>
      <c r="AZ63" s="70"/>
      <c r="BA63" s="70"/>
    </row>
  </sheetData>
  <sheetProtection sheet="1" objects="1" scenarios="1"/>
  <mergeCells count="25">
    <mergeCell ref="AG40:AJ40"/>
    <mergeCell ref="Z40:AC40"/>
    <mergeCell ref="L5:P5"/>
    <mergeCell ref="AQ40:AU40"/>
    <mergeCell ref="A43:A63"/>
    <mergeCell ref="B43:B48"/>
    <mergeCell ref="B49:B63"/>
    <mergeCell ref="E5:H5"/>
    <mergeCell ref="B7:B12"/>
    <mergeCell ref="B13:B27"/>
    <mergeCell ref="A7:A12"/>
    <mergeCell ref="AX4:BA4"/>
    <mergeCell ref="AL4:AN4"/>
    <mergeCell ref="AG3:AJ3"/>
    <mergeCell ref="AG4:AJ4"/>
    <mergeCell ref="Z4:AD4"/>
    <mergeCell ref="AQ4:AU4"/>
    <mergeCell ref="Z3:AD3"/>
    <mergeCell ref="AL3:BA3"/>
    <mergeCell ref="D3:I3"/>
    <mergeCell ref="K4:P4"/>
    <mergeCell ref="K3:P3"/>
    <mergeCell ref="S4:W4"/>
    <mergeCell ref="S3:W3"/>
    <mergeCell ref="E4:I4"/>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00"/>
  </sheetPr>
  <dimension ref="A1:I35"/>
  <sheetViews>
    <sheetView showGridLines="0" workbookViewId="0"/>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1263" customFormat="1" ht="19.5">
      <c r="A1" s="1261" t="str">
        <f>"Calc-Drivers for Method M ("&amp;'Calc-Net capex'!B5&amp;") for "&amp;Inputs!B6&amp;" in "&amp;Inputs!C6&amp;"  Status: "&amp;Inputs!D6&amp;""</f>
        <v>Calc-Drivers for Method M (LR1) for WPD East Midlands in 2015/16  Status: Indicative</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457</v>
      </c>
    </row>
    <row r="16" spans="1:9">
      <c r="B16" s="876" t="s">
        <v>891</v>
      </c>
      <c r="C16" s="876" t="s">
        <v>879</v>
      </c>
      <c r="D16" s="876" t="s">
        <v>619</v>
      </c>
      <c r="E16" s="876" t="s">
        <v>373</v>
      </c>
      <c r="F16" s="876" t="s">
        <v>238</v>
      </c>
      <c r="G16" s="876" t="s">
        <v>244</v>
      </c>
      <c r="H16" s="876" t="s">
        <v>245</v>
      </c>
      <c r="I16" s="878" t="s">
        <v>473</v>
      </c>
    </row>
    <row r="17" spans="2:9" ht="15" customHeight="1">
      <c r="B17" s="879" t="s">
        <v>403</v>
      </c>
      <c r="C17" s="15">
        <f>'Calc-Net capex'!H6*SUM('FBPQ NL1'!D10:M13)/SUM('FBPQ NL1'!D10:M16)</f>
        <v>6.294445113993781E-2</v>
      </c>
      <c r="D17" s="15">
        <f>'Calc-Net capex'!H6*SUM('FBPQ NL1'!D14:M16)/SUM('FBPQ NL1'!D10:M16)</f>
        <v>7.9148932039334235E-2</v>
      </c>
      <c r="E17" s="15">
        <f>'Calc-Net capex'!H7</f>
        <v>6.2443379450552679E-2</v>
      </c>
      <c r="F17" s="15">
        <f>'Calc-Net capex'!H8</f>
        <v>0.28428522966927255</v>
      </c>
      <c r="G17" s="40">
        <f>'Calc-Net capex'!H9+'Calc-Net capex'!H10</f>
        <v>0.51117800770090283</v>
      </c>
      <c r="H17" s="40"/>
      <c r="I17" s="27" t="s">
        <v>374</v>
      </c>
    </row>
    <row r="18" spans="2:9" ht="15" customHeight="1">
      <c r="B18" s="879" t="s">
        <v>905</v>
      </c>
      <c r="C18" s="16">
        <v>1</v>
      </c>
      <c r="D18" s="16">
        <v>0</v>
      </c>
      <c r="E18" s="16">
        <v>0</v>
      </c>
      <c r="F18" s="16">
        <v>0</v>
      </c>
      <c r="G18" s="41">
        <v>0</v>
      </c>
      <c r="H18" s="41">
        <f t="shared" ref="H18:H27" si="0">SUM(C18:G18)</f>
        <v>1</v>
      </c>
      <c r="I18" s="877" t="s">
        <v>477</v>
      </c>
    </row>
    <row r="19" spans="2:9" ht="15" customHeight="1">
      <c r="B19" s="879" t="s">
        <v>472</v>
      </c>
      <c r="C19" s="16"/>
      <c r="D19" s="16">
        <f>'RRP 5.1'!$G$64/'RRP 5.1'!$G$65</f>
        <v>0.53646332525229745</v>
      </c>
      <c r="E19" s="16">
        <v>0</v>
      </c>
      <c r="F19" s="16">
        <f>'RRP 5.1'!$G$63/'RRP 5.1'!$G$65</f>
        <v>0.3647882956531544</v>
      </c>
      <c r="G19" s="41">
        <f>('RRP 5.1'!$G$61+'RRP 5.1'!$G$62)/'RRP 5.1'!$G$65</f>
        <v>9.8748379094548117E-2</v>
      </c>
      <c r="H19" s="41">
        <f t="shared" si="0"/>
        <v>1</v>
      </c>
      <c r="I19" s="877" t="s">
        <v>474</v>
      </c>
    </row>
    <row r="20" spans="2:9" ht="15" customHeight="1">
      <c r="B20" s="879" t="s">
        <v>906</v>
      </c>
      <c r="C20" s="16"/>
      <c r="D20" s="16">
        <f>0/'RRP 5.1'!$G$73</f>
        <v>0</v>
      </c>
      <c r="E20" s="16">
        <v>0</v>
      </c>
      <c r="F20" s="16">
        <f>('RRP 5.1'!$G$71+'RRP 5.1'!$G$72)/'RRP 5.1'!$G$73</f>
        <v>0.99025499431541331</v>
      </c>
      <c r="G20" s="41">
        <f>('RRP 5.1'!$G$68+'RRP 5.1'!$G$69+'RRP 5.1'!$G$70)/'RRP 5.1'!$G$73</f>
        <v>9.7450056845866488E-3</v>
      </c>
      <c r="H20" s="41">
        <f t="shared" si="0"/>
        <v>1</v>
      </c>
      <c r="I20" s="877" t="s">
        <v>474</v>
      </c>
    </row>
    <row r="21" spans="2:9" ht="15" customHeight="1">
      <c r="B21" s="879" t="s">
        <v>639</v>
      </c>
      <c r="C21" s="16"/>
      <c r="D21" s="16">
        <v>0</v>
      </c>
      <c r="E21" s="16">
        <v>0</v>
      </c>
      <c r="F21" s="16">
        <v>0</v>
      </c>
      <c r="G21" s="41">
        <v>1</v>
      </c>
      <c r="H21" s="41">
        <f t="shared" si="0"/>
        <v>1</v>
      </c>
      <c r="I21" s="877" t="s">
        <v>477</v>
      </c>
    </row>
    <row r="22" spans="2:9" ht="15" customHeight="1">
      <c r="B22" s="879" t="s">
        <v>478</v>
      </c>
      <c r="C22" s="1331">
        <f>'Calc-MEAV'!H6*(('Data-MEAV'!I21+'Data-MEAV'!I30)/'Calc-MEAV'!G6)</f>
        <v>0.23002810032828097</v>
      </c>
      <c r="D22" s="1331">
        <f>'Calc-MEAV'!H6*(('Calc-MEAV'!G6-'Data-MEAV'!I21-'Data-MEAV'!I30)/'Calc-MEAV'!G6)</f>
        <v>0.25336864011527199</v>
      </c>
      <c r="E22" s="1331">
        <f>'Calc-MEAV'!H7</f>
        <v>3.5106835271515605E-2</v>
      </c>
      <c r="F22" s="1331">
        <f>'Calc-MEAV'!H8</f>
        <v>0.11388332466663602</v>
      </c>
      <c r="G22" s="1331">
        <f>'Calc-MEAV'!H9+'Calc-MEAV'!H10</f>
        <v>0.36761309961829525</v>
      </c>
      <c r="H22" s="1331">
        <f t="shared" si="0"/>
        <v>0.99999999999999978</v>
      </c>
      <c r="I22" s="42" t="s">
        <v>375</v>
      </c>
    </row>
    <row r="23" spans="2:9" ht="15" customHeight="1">
      <c r="C23" s="1332"/>
      <c r="D23" s="1332"/>
      <c r="E23" s="1332"/>
      <c r="F23" s="1332"/>
      <c r="G23" s="1332"/>
      <c r="H23" s="1332"/>
    </row>
    <row r="24" spans="2:9" ht="15" customHeight="1">
      <c r="C24" s="1332"/>
      <c r="D24" s="1332"/>
      <c r="E24" s="1332"/>
      <c r="F24" s="1332"/>
      <c r="G24" s="1332"/>
      <c r="H24" s="1332"/>
    </row>
    <row r="25" spans="2:9" ht="15" customHeight="1">
      <c r="B25" s="879" t="s">
        <v>640</v>
      </c>
      <c r="C25" s="1331"/>
      <c r="D25" s="1331">
        <v>0</v>
      </c>
      <c r="E25" s="1331">
        <v>0</v>
      </c>
      <c r="F25" s="1331">
        <v>0</v>
      </c>
      <c r="G25" s="1331">
        <v>1</v>
      </c>
      <c r="H25" s="1331">
        <f t="shared" si="0"/>
        <v>1</v>
      </c>
      <c r="I25" s="877" t="s">
        <v>477</v>
      </c>
    </row>
    <row r="26" spans="2:9" ht="15" customHeight="1">
      <c r="B26" s="879" t="s">
        <v>418</v>
      </c>
      <c r="C26" s="1331"/>
      <c r="D26" s="1331">
        <v>1</v>
      </c>
      <c r="E26" s="1331">
        <v>0</v>
      </c>
      <c r="F26" s="1331">
        <v>0</v>
      </c>
      <c r="G26" s="1331">
        <v>0</v>
      </c>
      <c r="H26" s="1331">
        <f t="shared" si="0"/>
        <v>1</v>
      </c>
      <c r="I26" s="877" t="s">
        <v>477</v>
      </c>
    </row>
    <row r="27" spans="2:9" ht="15" customHeight="1">
      <c r="B27" s="1308" t="s">
        <v>419</v>
      </c>
      <c r="C27" s="1333"/>
      <c r="D27" s="1333">
        <v>0</v>
      </c>
      <c r="E27" s="1333">
        <v>0</v>
      </c>
      <c r="F27" s="1333">
        <v>1</v>
      </c>
      <c r="G27" s="1333">
        <v>0</v>
      </c>
      <c r="H27" s="1333">
        <f t="shared" si="0"/>
        <v>1</v>
      </c>
      <c r="I27" s="92" t="s">
        <v>477</v>
      </c>
    </row>
    <row r="29" spans="2:9">
      <c r="B29" s="7"/>
      <c r="C29" s="7"/>
      <c r="D29" s="7"/>
      <c r="E29" s="7"/>
      <c r="F29" s="7"/>
    </row>
    <row r="30" spans="2:9">
      <c r="B30" s="7"/>
      <c r="C30" s="7"/>
      <c r="D30" s="7"/>
      <c r="E30" s="7"/>
      <c r="F30" s="7"/>
    </row>
    <row r="31" spans="2:9" s="31" customFormat="1" ht="114.75">
      <c r="B31" s="1297" t="s">
        <v>891</v>
      </c>
      <c r="C31" s="1298" t="s">
        <v>986</v>
      </c>
      <c r="D31" s="1299" t="s">
        <v>987</v>
      </c>
      <c r="E31" s="1299" t="s">
        <v>988</v>
      </c>
      <c r="F31" s="1300" t="s">
        <v>473</v>
      </c>
    </row>
    <row r="32" spans="2:9" s="31" customFormat="1" ht="25.5">
      <c r="B32" s="1298" t="s">
        <v>989</v>
      </c>
      <c r="C32" s="1301">
        <f>Inputs!B35</f>
        <v>193532633.35908782</v>
      </c>
      <c r="D32" s="1302">
        <f>SUM(Inputs!C30:G30)</f>
        <v>2194237521.3028383</v>
      </c>
      <c r="E32" s="1303">
        <f>D32/(C32+D32)</f>
        <v>0.91894838245581079</v>
      </c>
      <c r="F32" s="1304" t="s">
        <v>990</v>
      </c>
    </row>
    <row r="33" spans="2:6">
      <c r="B33" s="181"/>
      <c r="C33" s="182"/>
      <c r="D33" s="182"/>
      <c r="E33" s="182"/>
      <c r="F33" s="183"/>
    </row>
    <row r="34" spans="2:6">
      <c r="B34" s="7"/>
      <c r="C34" s="7"/>
      <c r="D34" s="7"/>
      <c r="E34" s="7"/>
      <c r="F34" s="7"/>
    </row>
    <row r="35" spans="2:6">
      <c r="B35" s="7"/>
      <c r="C35" s="7"/>
      <c r="D35" s="7"/>
      <c r="E35" s="7"/>
      <c r="F35" s="7"/>
    </row>
  </sheetData>
  <sheetProtection sheet="1" objects="1" scenarios="1"/>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00"/>
    <pageSetUpPr fitToPage="1"/>
  </sheetPr>
  <dimension ref="A1:AW83"/>
  <sheetViews>
    <sheetView showGridLines="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1263" customFormat="1" ht="19.5">
      <c r="A1" s="1261" t="str">
        <f>"DNO Final Allocation for Method M ("&amp;'Calc-Net capex'!B5&amp;") for "&amp;Inputs!B6&amp;" in "&amp;Inputs!C6&amp;"  Status: "&amp;Inputs!D6&amp;""</f>
        <v>DNO Final Allocation for Method M (LR1) for WPD East Midlands in 2015/16  Status: Indicative</v>
      </c>
    </row>
    <row r="3" spans="1:49" s="208" customFormat="1">
      <c r="A3" s="208" t="s">
        <v>655</v>
      </c>
    </row>
    <row r="4" spans="1:49">
      <c r="A4" s="230"/>
    </row>
    <row r="5" spans="1:49">
      <c r="A5" s="43"/>
      <c r="B5" s="43"/>
      <c r="C5" s="43"/>
      <c r="D5" s="43"/>
      <c r="E5" s="43"/>
      <c r="F5" s="43"/>
      <c r="G5" s="43"/>
      <c r="H5" s="43"/>
      <c r="I5" s="43"/>
      <c r="J5" s="43"/>
      <c r="K5" s="43"/>
      <c r="L5" s="43"/>
      <c r="M5" s="43"/>
      <c r="N5" s="43"/>
      <c r="O5" s="120"/>
      <c r="P5" s="120"/>
      <c r="Q5" s="120"/>
      <c r="R5" s="120"/>
      <c r="S5" s="120"/>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row>
    <row r="6" spans="1:49">
      <c r="A6" s="43"/>
      <c r="B6" s="128" t="s">
        <v>448</v>
      </c>
      <c r="C6" s="128"/>
      <c r="D6" s="128"/>
      <c r="E6" s="128"/>
      <c r="F6" s="128"/>
      <c r="G6" s="128"/>
      <c r="H6" s="128"/>
      <c r="I6" s="128"/>
      <c r="J6" s="128"/>
      <c r="K6" s="128"/>
      <c r="L6" s="128" t="s">
        <v>449</v>
      </c>
      <c r="M6" s="128"/>
      <c r="N6" s="128"/>
      <c r="O6" s="128"/>
      <c r="P6" s="128"/>
      <c r="Q6" s="128"/>
      <c r="R6" s="128"/>
      <c r="S6" s="128"/>
      <c r="T6" s="128"/>
      <c r="U6" s="43"/>
      <c r="V6" s="43"/>
      <c r="W6" s="43"/>
      <c r="X6" s="43"/>
      <c r="Y6" s="43"/>
      <c r="Z6" s="43"/>
      <c r="AA6" s="43"/>
      <c r="AB6" s="43"/>
      <c r="AC6" s="43"/>
    </row>
    <row r="7" spans="1:49">
      <c r="A7" s="43"/>
      <c r="B7" s="128"/>
      <c r="C7" s="128"/>
      <c r="D7" s="128"/>
      <c r="E7" s="128"/>
      <c r="F7" s="128"/>
      <c r="G7" s="128"/>
      <c r="H7" s="128"/>
      <c r="I7" s="128"/>
      <c r="J7" s="128"/>
      <c r="K7" s="128"/>
      <c r="L7" s="128"/>
      <c r="M7" s="128"/>
      <c r="N7" s="128"/>
      <c r="O7" s="128"/>
      <c r="P7" s="128"/>
      <c r="Q7" s="128"/>
      <c r="R7" s="128"/>
      <c r="S7" s="128"/>
      <c r="T7" s="128"/>
      <c r="U7" s="43"/>
      <c r="V7" s="43"/>
      <c r="W7" s="43"/>
      <c r="X7" s="43"/>
      <c r="Y7" s="43"/>
      <c r="Z7" s="43"/>
      <c r="AA7" s="43"/>
      <c r="AB7" s="43"/>
      <c r="AC7" s="43"/>
    </row>
    <row r="8" spans="1:49">
      <c r="A8" s="43"/>
      <c r="B8" s="128"/>
      <c r="C8" s="128"/>
      <c r="D8" s="944" t="s">
        <v>32</v>
      </c>
      <c r="E8" s="944" t="s">
        <v>33</v>
      </c>
      <c r="F8" s="944"/>
      <c r="G8" s="944" t="s">
        <v>29</v>
      </c>
      <c r="H8" s="944" t="s">
        <v>34</v>
      </c>
      <c r="I8" s="944" t="s">
        <v>35</v>
      </c>
      <c r="J8" s="128"/>
      <c r="K8" s="128"/>
      <c r="L8" s="128"/>
      <c r="M8" s="128"/>
      <c r="N8" s="128"/>
      <c r="O8" s="942" t="s">
        <v>32</v>
      </c>
      <c r="P8" s="942" t="s">
        <v>33</v>
      </c>
      <c r="Q8" s="942" t="s">
        <v>29</v>
      </c>
      <c r="R8" s="942" t="s">
        <v>34</v>
      </c>
      <c r="S8" s="942" t="s">
        <v>35</v>
      </c>
      <c r="T8" s="128"/>
      <c r="U8" s="43"/>
      <c r="V8" s="43"/>
      <c r="W8" s="43"/>
      <c r="X8" s="43"/>
      <c r="Y8" s="43"/>
      <c r="Z8" s="43"/>
      <c r="AA8" s="43"/>
      <c r="AB8" s="43"/>
      <c r="AC8" s="43"/>
    </row>
    <row r="9" spans="1:49">
      <c r="A9" s="43"/>
      <c r="B9" s="128"/>
      <c r="C9" s="128"/>
      <c r="D9" s="129"/>
      <c r="E9" s="129"/>
      <c r="F9" s="129"/>
      <c r="G9" s="129"/>
      <c r="H9" s="129"/>
      <c r="I9" s="129"/>
      <c r="J9" s="129"/>
      <c r="K9" s="128"/>
      <c r="L9" s="128" t="s">
        <v>596</v>
      </c>
      <c r="M9" s="128"/>
      <c r="N9" s="128"/>
      <c r="O9" s="943">
        <f>'Allowed revenue -DPCR4'!D3</f>
        <v>947.9</v>
      </c>
      <c r="P9" s="943">
        <f>'Allowed revenue -DPCR4'!E3</f>
        <v>989.2</v>
      </c>
      <c r="Q9" s="943">
        <f>'Allowed revenue -DPCR4'!F3</f>
        <v>1030.2</v>
      </c>
      <c r="R9" s="943">
        <f>'Allowed revenue -DPCR4'!G3</f>
        <v>1064.8</v>
      </c>
      <c r="S9" s="943">
        <f>'Allowed revenue -DPCR4'!H3</f>
        <v>1093.2</v>
      </c>
      <c r="T9" s="128"/>
      <c r="U9" s="43"/>
      <c r="V9" s="43"/>
      <c r="W9" s="43"/>
      <c r="X9" s="43"/>
      <c r="Y9" s="43"/>
      <c r="Z9" s="43"/>
      <c r="AA9" s="43"/>
      <c r="AB9" s="43"/>
      <c r="AC9" s="43"/>
    </row>
    <row r="10" spans="1:49">
      <c r="A10" s="43"/>
      <c r="B10" s="128" t="s">
        <v>597</v>
      </c>
      <c r="C10" s="128"/>
      <c r="D10" s="950">
        <f>O35</f>
        <v>241.23880850362539</v>
      </c>
      <c r="E10" s="950">
        <f>P35</f>
        <v>243.40995778015801</v>
      </c>
      <c r="F10" s="950"/>
      <c r="G10" s="950">
        <f>Q35</f>
        <v>246.0635846736979</v>
      </c>
      <c r="H10" s="950">
        <f>R35</f>
        <v>249.19968918424502</v>
      </c>
      <c r="I10" s="950">
        <f>S35</f>
        <v>251.85331607778491</v>
      </c>
      <c r="J10" s="129"/>
      <c r="K10" s="128"/>
      <c r="L10" s="128" t="s">
        <v>598</v>
      </c>
      <c r="M10" s="128"/>
      <c r="N10" s="128"/>
      <c r="O10" s="943">
        <f>'Allowed revenue -DPCR4'!D4</f>
        <v>117.8</v>
      </c>
      <c r="P10" s="943">
        <f>'Allowed revenue -DPCR4'!E4</f>
        <v>117.5</v>
      </c>
      <c r="Q10" s="943">
        <f>'Allowed revenue -DPCR4'!F4</f>
        <v>117</v>
      </c>
      <c r="R10" s="943">
        <f>'Allowed revenue -DPCR4'!G4</f>
        <v>116.6</v>
      </c>
      <c r="S10" s="943">
        <f>'Allowed revenue -DPCR4'!H4</f>
        <v>116.4</v>
      </c>
      <c r="T10" s="129"/>
      <c r="U10" s="43"/>
      <c r="V10" s="43"/>
      <c r="W10" s="43"/>
      <c r="X10" s="43"/>
      <c r="Y10" s="43"/>
      <c r="Z10" s="43"/>
      <c r="AA10" s="43"/>
      <c r="AB10" s="43"/>
      <c r="AC10" s="43"/>
    </row>
    <row r="11" spans="1:49">
      <c r="A11" s="43"/>
      <c r="B11" s="128"/>
      <c r="C11" s="128"/>
      <c r="D11" s="949"/>
      <c r="E11" s="949"/>
      <c r="F11" s="949"/>
      <c r="G11" s="949"/>
      <c r="H11" s="949"/>
      <c r="I11" s="949"/>
      <c r="J11" s="128"/>
      <c r="K11" s="128"/>
      <c r="L11" s="128" t="s">
        <v>437</v>
      </c>
      <c r="M11" s="128"/>
      <c r="N11" s="128"/>
      <c r="O11" s="943">
        <f>'Allowed revenue -DPCR4'!D5</f>
        <v>-76.5</v>
      </c>
      <c r="P11" s="943">
        <f>'Allowed revenue -DPCR4'!E5</f>
        <v>-76.5</v>
      </c>
      <c r="Q11" s="943">
        <f>'Allowed revenue -DPCR4'!F5</f>
        <v>-82.4</v>
      </c>
      <c r="R11" s="943">
        <f>'Allowed revenue -DPCR4'!G5</f>
        <v>-88.2</v>
      </c>
      <c r="S11" s="943">
        <f>'Allowed revenue -DPCR4'!H5</f>
        <v>-94.1</v>
      </c>
      <c r="T11" s="129"/>
      <c r="U11" s="43"/>
      <c r="V11" s="43"/>
      <c r="W11" s="43"/>
      <c r="X11" s="43"/>
      <c r="Y11" s="43"/>
      <c r="Z11" s="43"/>
      <c r="AA11" s="43"/>
      <c r="AB11" s="43"/>
      <c r="AC11" s="43"/>
    </row>
    <row r="12" spans="1:49">
      <c r="A12" s="43"/>
      <c r="B12" s="941" t="s">
        <v>893</v>
      </c>
      <c r="C12" s="128"/>
      <c r="D12" s="949">
        <f>O16+(1-0.577)*O18</f>
        <v>80.698999999999998</v>
      </c>
      <c r="E12" s="949">
        <f>P16+(1-0.577)*P18</f>
        <v>83.24130000000001</v>
      </c>
      <c r="F12" s="949"/>
      <c r="G12" s="949">
        <f>Q16+(1-0.577)*Q18</f>
        <v>83.74130000000001</v>
      </c>
      <c r="H12" s="949">
        <f>R16+(1-0.577)*R18</f>
        <v>82.441300000000012</v>
      </c>
      <c r="I12" s="949">
        <f>S16+(1-0.577)*S18</f>
        <v>81.74130000000001</v>
      </c>
      <c r="J12" s="128"/>
      <c r="K12" s="128"/>
      <c r="L12" s="128" t="s">
        <v>361</v>
      </c>
      <c r="M12" s="128"/>
      <c r="N12" s="128"/>
      <c r="O12" s="943">
        <f>'Allowed revenue -DPCR4'!D6</f>
        <v>989.2</v>
      </c>
      <c r="P12" s="943">
        <f>'Allowed revenue -DPCR4'!E6</f>
        <v>1030.2</v>
      </c>
      <c r="Q12" s="943">
        <f>'Allowed revenue -DPCR4'!F6</f>
        <v>1064.8</v>
      </c>
      <c r="R12" s="943">
        <f>'Allowed revenue -DPCR4'!G6</f>
        <v>1093.2</v>
      </c>
      <c r="S12" s="943">
        <f>'Allowed revenue -DPCR4'!H6</f>
        <v>1115.5999999999999</v>
      </c>
      <c r="T12" s="128"/>
      <c r="U12" s="43"/>
      <c r="V12" s="43"/>
      <c r="W12" s="43"/>
      <c r="X12" s="43"/>
      <c r="Y12" s="43"/>
      <c r="Z12" s="43"/>
      <c r="AA12" s="43"/>
      <c r="AB12" s="43"/>
      <c r="AC12" s="43"/>
    </row>
    <row r="13" spans="1:49">
      <c r="A13" s="43"/>
      <c r="B13" s="128" t="s">
        <v>362</v>
      </c>
      <c r="C13" s="128"/>
      <c r="D13" s="950" t="str">
        <f>O22</f>
        <v/>
      </c>
      <c r="E13" s="950" t="str">
        <f>P22</f>
        <v/>
      </c>
      <c r="F13" s="950" t="str">
        <f>Q22</f>
        <v/>
      </c>
      <c r="G13" s="950" t="str">
        <f>Q22</f>
        <v/>
      </c>
      <c r="H13" s="950" t="str">
        <f>R22</f>
        <v/>
      </c>
      <c r="I13" s="950" t="str">
        <f>S22</f>
        <v/>
      </c>
      <c r="J13" s="128"/>
      <c r="K13" s="128"/>
      <c r="L13" s="128" t="s">
        <v>363</v>
      </c>
      <c r="M13" s="128"/>
      <c r="N13" s="128"/>
      <c r="O13" s="943">
        <f>'Allowed revenue -DPCR4'!D7</f>
        <v>947.9</v>
      </c>
      <c r="P13" s="943"/>
      <c r="Q13" s="943">
        <f>'Allowed revenue -DPCR4'!F7</f>
        <v>0</v>
      </c>
      <c r="R13" s="943"/>
      <c r="S13" s="943">
        <f>'Allowed revenue -DPCR4'!H7</f>
        <v>851.7</v>
      </c>
      <c r="T13" s="131"/>
      <c r="U13" s="43"/>
      <c r="V13" s="43"/>
      <c r="W13" s="43"/>
      <c r="X13" s="43"/>
      <c r="Y13" s="43"/>
      <c r="Z13" s="43"/>
      <c r="AA13" s="43"/>
      <c r="AB13" s="43"/>
      <c r="AC13" s="43"/>
    </row>
    <row r="14" spans="1:49">
      <c r="A14" s="43"/>
      <c r="B14" s="128" t="s">
        <v>364</v>
      </c>
      <c r="C14" s="128"/>
      <c r="D14" s="950">
        <f>O23</f>
        <v>1.5</v>
      </c>
      <c r="E14" s="950"/>
      <c r="F14" s="950"/>
      <c r="G14" s="950"/>
      <c r="H14" s="950"/>
      <c r="I14" s="950"/>
      <c r="J14" s="129"/>
      <c r="K14" s="128"/>
      <c r="L14" s="128" t="s">
        <v>365</v>
      </c>
      <c r="M14" s="128"/>
      <c r="N14" s="128"/>
      <c r="O14" s="943"/>
      <c r="P14" s="943">
        <f>'Allowed revenue -DPCR4'!E8</f>
        <v>0</v>
      </c>
      <c r="Q14" s="943"/>
      <c r="R14" s="943"/>
      <c r="S14" s="943">
        <f>'Allowed revenue -DPCR4'!H8</f>
        <v>96.2</v>
      </c>
      <c r="T14" s="131"/>
      <c r="U14" s="43"/>
      <c r="V14" s="43"/>
      <c r="W14" s="43"/>
      <c r="X14" s="43"/>
      <c r="Y14" s="43"/>
      <c r="Z14" s="43"/>
      <c r="AA14" s="43"/>
      <c r="AB14" s="43"/>
      <c r="AC14" s="43"/>
    </row>
    <row r="15" spans="1:49">
      <c r="A15" s="43"/>
      <c r="B15" s="128" t="s">
        <v>367</v>
      </c>
      <c r="C15" s="128"/>
      <c r="D15" s="949">
        <f>SUM(D12:D14)</f>
        <v>82.198999999999998</v>
      </c>
      <c r="E15" s="949">
        <f>SUM(E12:E14)</f>
        <v>83.24130000000001</v>
      </c>
      <c r="F15" s="949"/>
      <c r="G15" s="949">
        <f>SUM(G12:G14)</f>
        <v>83.74130000000001</v>
      </c>
      <c r="H15" s="949">
        <f>SUM(H12:H14)</f>
        <v>82.441300000000012</v>
      </c>
      <c r="I15" s="949">
        <f>SUM(I12:I14)</f>
        <v>81.74130000000001</v>
      </c>
      <c r="J15" s="128"/>
      <c r="K15" s="128"/>
      <c r="L15" s="128"/>
      <c r="M15" s="128"/>
      <c r="N15" s="128"/>
      <c r="O15" s="944"/>
      <c r="P15" s="944"/>
      <c r="Q15" s="944"/>
      <c r="R15" s="944"/>
      <c r="S15" s="944"/>
      <c r="T15" s="128"/>
      <c r="U15" s="43"/>
      <c r="V15" s="43"/>
      <c r="W15" s="43"/>
      <c r="X15" s="43"/>
      <c r="Y15" s="43"/>
      <c r="Z15" s="43"/>
      <c r="AA15" s="43"/>
      <c r="AB15" s="43"/>
      <c r="AC15" s="43"/>
    </row>
    <row r="16" spans="1:49">
      <c r="A16" s="43"/>
      <c r="B16" s="128"/>
      <c r="C16" s="128"/>
      <c r="D16" s="949"/>
      <c r="E16" s="949"/>
      <c r="F16" s="949"/>
      <c r="G16" s="949"/>
      <c r="H16" s="949"/>
      <c r="I16" s="949"/>
      <c r="J16" s="128"/>
      <c r="K16" s="128"/>
      <c r="L16" s="128" t="s">
        <v>331</v>
      </c>
      <c r="M16" s="128"/>
      <c r="N16" s="128"/>
      <c r="O16" s="945">
        <f>'Allowed revenue -DPCR4'!D10</f>
        <v>75.2</v>
      </c>
      <c r="P16" s="945">
        <f>'Allowed revenue -DPCR4'!E10</f>
        <v>77.7</v>
      </c>
      <c r="Q16" s="945">
        <f>'Allowed revenue -DPCR4'!F10</f>
        <v>78.2</v>
      </c>
      <c r="R16" s="945">
        <f>'Allowed revenue -DPCR4'!G10</f>
        <v>76.900000000000006</v>
      </c>
      <c r="S16" s="945">
        <f>'Allowed revenue -DPCR4'!H10</f>
        <v>76.2</v>
      </c>
      <c r="T16" s="129"/>
      <c r="U16" s="43"/>
      <c r="V16" s="43"/>
      <c r="W16" s="43"/>
      <c r="X16" s="43"/>
      <c r="Y16" s="43"/>
      <c r="Z16" s="43"/>
      <c r="AA16" s="43"/>
      <c r="AB16" s="43"/>
      <c r="AC16" s="43"/>
    </row>
    <row r="17" spans="1:29">
      <c r="A17" s="43"/>
      <c r="B17" s="128" t="s">
        <v>332</v>
      </c>
      <c r="C17" s="128"/>
      <c r="D17" s="949"/>
      <c r="E17" s="949"/>
      <c r="F17" s="949"/>
      <c r="G17" s="949"/>
      <c r="H17" s="949"/>
      <c r="I17" s="949"/>
      <c r="J17" s="128"/>
      <c r="K17" s="128"/>
      <c r="L17" s="128" t="s">
        <v>333</v>
      </c>
      <c r="M17" s="128"/>
      <c r="N17" s="128"/>
      <c r="O17" s="945">
        <f>'Allowed revenue -DPCR4'!D11</f>
        <v>110.3</v>
      </c>
      <c r="P17" s="945">
        <f>'Allowed revenue -DPCR4'!E11</f>
        <v>109.9</v>
      </c>
      <c r="Q17" s="945">
        <f>'Allowed revenue -DPCR4'!F11</f>
        <v>109.4</v>
      </c>
      <c r="R17" s="945">
        <f>'Allowed revenue -DPCR4'!G11</f>
        <v>109</v>
      </c>
      <c r="S17" s="945">
        <f>'Allowed revenue -DPCR4'!H11</f>
        <v>108.8</v>
      </c>
      <c r="T17" s="129"/>
      <c r="U17" s="43"/>
      <c r="V17" s="43"/>
      <c r="W17" s="43"/>
      <c r="X17" s="43"/>
      <c r="Y17" s="43"/>
      <c r="Z17" s="43"/>
      <c r="AA17" s="43"/>
      <c r="AB17" s="43"/>
      <c r="AC17" s="43"/>
    </row>
    <row r="18" spans="1:29">
      <c r="A18" s="43"/>
      <c r="B18" s="128" t="s">
        <v>437</v>
      </c>
      <c r="C18" s="133"/>
      <c r="D18" s="949">
        <f>-O11</f>
        <v>76.5</v>
      </c>
      <c r="E18" s="949">
        <f>-P11</f>
        <v>76.5</v>
      </c>
      <c r="F18" s="949"/>
      <c r="G18" s="949">
        <f>-Q11</f>
        <v>82.4</v>
      </c>
      <c r="H18" s="949">
        <f>-R11</f>
        <v>88.2</v>
      </c>
      <c r="I18" s="949">
        <f>-S11</f>
        <v>94.1</v>
      </c>
      <c r="J18" s="134"/>
      <c r="K18" s="128"/>
      <c r="L18" s="128" t="s">
        <v>334</v>
      </c>
      <c r="M18" s="128"/>
      <c r="N18" s="128"/>
      <c r="O18" s="945">
        <f>'Allowed revenue -DPCR4'!D12</f>
        <v>13</v>
      </c>
      <c r="P18" s="945">
        <f>'Allowed revenue -DPCR4'!E12</f>
        <v>13.1</v>
      </c>
      <c r="Q18" s="945">
        <f>'Allowed revenue -DPCR4'!F12</f>
        <v>13.1</v>
      </c>
      <c r="R18" s="945">
        <f>'Allowed revenue -DPCR4'!G12</f>
        <v>13.1</v>
      </c>
      <c r="S18" s="945">
        <f>'Allowed revenue -DPCR4'!H12</f>
        <v>13.1</v>
      </c>
      <c r="T18" s="129"/>
      <c r="U18" s="43"/>
      <c r="V18" s="43"/>
      <c r="W18" s="43"/>
      <c r="X18" s="43"/>
      <c r="Y18" s="43"/>
      <c r="Z18" s="43"/>
      <c r="AA18" s="43"/>
      <c r="AB18" s="43"/>
      <c r="AC18" s="43"/>
    </row>
    <row r="19" spans="1:29">
      <c r="A19" s="43"/>
      <c r="B19" s="128" t="s">
        <v>335</v>
      </c>
      <c r="C19" s="128"/>
      <c r="D19" s="949">
        <f t="shared" ref="D19:E21" si="0">O19</f>
        <v>27.2</v>
      </c>
      <c r="E19" s="949">
        <f t="shared" si="0"/>
        <v>26.3</v>
      </c>
      <c r="F19" s="949"/>
      <c r="G19" s="949">
        <f t="shared" ref="G19:I21" si="1">Q19</f>
        <v>26.4</v>
      </c>
      <c r="H19" s="949">
        <f t="shared" si="1"/>
        <v>26.8</v>
      </c>
      <c r="I19" s="949">
        <f t="shared" si="1"/>
        <v>26.8</v>
      </c>
      <c r="J19" s="128"/>
      <c r="K19" s="128"/>
      <c r="L19" s="128" t="s">
        <v>335</v>
      </c>
      <c r="M19" s="128"/>
      <c r="N19" s="128"/>
      <c r="O19" s="945">
        <f>'Allowed revenue -DPCR4'!D13</f>
        <v>27.2</v>
      </c>
      <c r="P19" s="945">
        <f>'Allowed revenue -DPCR4'!E13</f>
        <v>26.3</v>
      </c>
      <c r="Q19" s="945">
        <f>'Allowed revenue -DPCR4'!F13</f>
        <v>26.4</v>
      </c>
      <c r="R19" s="945">
        <f>'Allowed revenue -DPCR4'!G13</f>
        <v>26.8</v>
      </c>
      <c r="S19" s="945">
        <f>'Allowed revenue -DPCR4'!H13</f>
        <v>26.8</v>
      </c>
      <c r="T19" s="129"/>
      <c r="U19" s="43"/>
      <c r="V19" s="43"/>
      <c r="W19" s="43"/>
      <c r="X19" s="43"/>
      <c r="Y19" s="43"/>
      <c r="Z19" s="43"/>
      <c r="AA19" s="43"/>
      <c r="AB19" s="43"/>
      <c r="AC19" s="43"/>
    </row>
    <row r="20" spans="1:29">
      <c r="A20" s="43"/>
      <c r="B20" s="128" t="s">
        <v>336</v>
      </c>
      <c r="C20" s="128"/>
      <c r="D20" s="950">
        <f t="shared" si="0"/>
        <v>-0.8</v>
      </c>
      <c r="E20" s="950">
        <f t="shared" si="0"/>
        <v>0.6</v>
      </c>
      <c r="F20" s="950"/>
      <c r="G20" s="950">
        <f t="shared" si="1"/>
        <v>-0.6</v>
      </c>
      <c r="H20" s="950">
        <f t="shared" si="1"/>
        <v>-0.6</v>
      </c>
      <c r="I20" s="950">
        <f t="shared" si="1"/>
        <v>-0.2</v>
      </c>
      <c r="J20" s="129"/>
      <c r="K20" s="128"/>
      <c r="L20" s="128" t="s">
        <v>337</v>
      </c>
      <c r="M20" s="128"/>
      <c r="N20" s="128"/>
      <c r="O20" s="945">
        <f>'Allowed revenue -DPCR4'!D14</f>
        <v>-0.8</v>
      </c>
      <c r="P20" s="945">
        <f>'Allowed revenue -DPCR4'!E14</f>
        <v>0.6</v>
      </c>
      <c r="Q20" s="945">
        <f>'Allowed revenue -DPCR4'!F14</f>
        <v>-0.6</v>
      </c>
      <c r="R20" s="945">
        <f>'Allowed revenue -DPCR4'!G14</f>
        <v>-0.6</v>
      </c>
      <c r="S20" s="945">
        <f>'Allowed revenue -DPCR4'!H14</f>
        <v>-0.2</v>
      </c>
      <c r="T20" s="129"/>
      <c r="U20" s="43"/>
      <c r="V20" s="43"/>
      <c r="W20" s="43"/>
      <c r="X20" s="43"/>
      <c r="Y20" s="43"/>
      <c r="Z20" s="43"/>
      <c r="AA20" s="43"/>
      <c r="AB20" s="43"/>
      <c r="AC20" s="43"/>
    </row>
    <row r="21" spans="1:29">
      <c r="A21" s="43"/>
      <c r="B21" s="128" t="s">
        <v>338</v>
      </c>
      <c r="C21" s="128"/>
      <c r="D21" s="950">
        <f t="shared" si="0"/>
        <v>1.4</v>
      </c>
      <c r="E21" s="950">
        <f t="shared" si="0"/>
        <v>1.4</v>
      </c>
      <c r="F21" s="950"/>
      <c r="G21" s="950">
        <f t="shared" si="1"/>
        <v>1.5</v>
      </c>
      <c r="H21" s="950">
        <f t="shared" si="1"/>
        <v>1.5</v>
      </c>
      <c r="I21" s="950">
        <f t="shared" si="1"/>
        <v>1.6</v>
      </c>
      <c r="J21" s="134"/>
      <c r="K21" s="128"/>
      <c r="L21" s="128" t="s">
        <v>339</v>
      </c>
      <c r="M21" s="128"/>
      <c r="N21" s="128"/>
      <c r="O21" s="945">
        <f>'Allowed revenue -DPCR4'!D15</f>
        <v>1.4</v>
      </c>
      <c r="P21" s="945">
        <f>'Allowed revenue -DPCR4'!E15</f>
        <v>1.4</v>
      </c>
      <c r="Q21" s="945">
        <f>'Allowed revenue -DPCR4'!F15</f>
        <v>1.5</v>
      </c>
      <c r="R21" s="945">
        <f>'Allowed revenue -DPCR4'!G15</f>
        <v>1.5</v>
      </c>
      <c r="S21" s="945">
        <f>'Allowed revenue -DPCR4'!H15</f>
        <v>1.6</v>
      </c>
      <c r="T21" s="129"/>
      <c r="U21" s="43"/>
      <c r="V21" s="43"/>
      <c r="W21" s="43"/>
      <c r="X21" s="43"/>
      <c r="Y21" s="43"/>
      <c r="Z21" s="43"/>
      <c r="AA21" s="43"/>
      <c r="AB21" s="43"/>
      <c r="AC21" s="43"/>
    </row>
    <row r="22" spans="1:29">
      <c r="A22" s="43"/>
      <c r="B22" s="128" t="s">
        <v>341</v>
      </c>
      <c r="C22" s="134"/>
      <c r="D22" s="949">
        <f>D10-D15-D18-D19-D20-D21</f>
        <v>54.739808503625405</v>
      </c>
      <c r="E22" s="949">
        <f>E10-E15-E18-E19-E20-E21</f>
        <v>55.368657780158017</v>
      </c>
      <c r="F22" s="949"/>
      <c r="G22" s="949">
        <f>G10-G15-G18-G19-G20-G21</f>
        <v>52.622284673697877</v>
      </c>
      <c r="H22" s="949">
        <f>H10-H15-H18-H19-H20-H21</f>
        <v>50.858389184245006</v>
      </c>
      <c r="I22" s="949">
        <f>I10-I15-I18-I19-I20-I21</f>
        <v>47.812016077784925</v>
      </c>
      <c r="J22" s="134"/>
      <c r="K22" s="128"/>
      <c r="L22" s="128" t="s">
        <v>383</v>
      </c>
      <c r="M22" s="128"/>
      <c r="N22" s="128"/>
      <c r="O22" s="946" t="str">
        <f>IF(ISNUMBER('Allowed revenue -DPCR4'!D16+'Allowed revenue -DPCR4'!D17),'Allowed revenue -DPCR4'!D16+'Allowed revenue -DPCR4'!D17,"")</f>
        <v/>
      </c>
      <c r="P22" s="946" t="str">
        <f>IF(ISNUMBER('Allowed revenue -DPCR4'!E16+'Allowed revenue -DPCR4'!E17),'Allowed revenue -DPCR4'!E16+'Allowed revenue -DPCR4'!E17,"")</f>
        <v/>
      </c>
      <c r="Q22" s="946" t="str">
        <f>IF(ISNUMBER('Allowed revenue -DPCR4'!F16+'Allowed revenue -DPCR4'!F17),'Allowed revenue -DPCR4'!F16+'Allowed revenue -DPCR4'!F17,"")</f>
        <v/>
      </c>
      <c r="R22" s="946" t="str">
        <f>IF(ISNUMBER('Allowed revenue -DPCR4'!G16+'Allowed revenue -DPCR4'!G17),'Allowed revenue -DPCR4'!G16+'Allowed revenue -DPCR4'!G17,"")</f>
        <v/>
      </c>
      <c r="S22" s="946" t="str">
        <f>IF(ISNUMBER('Allowed revenue -DPCR4'!H16+'Allowed revenue -DPCR4'!H17),'Allowed revenue -DPCR4'!H16+'Allowed revenue -DPCR4'!H17,"")</f>
        <v/>
      </c>
      <c r="T22" s="129"/>
      <c r="U22" s="43"/>
      <c r="V22" s="43"/>
      <c r="W22" s="43"/>
      <c r="X22" s="43"/>
      <c r="Y22" s="43"/>
      <c r="Z22" s="43"/>
      <c r="AA22" s="43"/>
      <c r="AB22" s="43"/>
      <c r="AC22" s="43"/>
    </row>
    <row r="23" spans="1:29">
      <c r="A23" s="43"/>
      <c r="B23" s="128" t="s">
        <v>462</v>
      </c>
      <c r="C23" s="128"/>
      <c r="D23" s="949">
        <f>SUM(D18:D22)</f>
        <v>159.03980850362541</v>
      </c>
      <c r="E23" s="949">
        <f>SUM(E18:E22)</f>
        <v>160.16865778015801</v>
      </c>
      <c r="F23" s="949"/>
      <c r="G23" s="949">
        <f>SUM(G18:G22)</f>
        <v>162.32228467369788</v>
      </c>
      <c r="H23" s="949">
        <f>SUM(H18:H22)</f>
        <v>166.758389184245</v>
      </c>
      <c r="I23" s="949">
        <f>SUM(I18:I22)</f>
        <v>170.11201607778492</v>
      </c>
      <c r="J23" s="128"/>
      <c r="K23" s="128"/>
      <c r="L23" s="128" t="s">
        <v>364</v>
      </c>
      <c r="M23" s="128"/>
      <c r="N23" s="128"/>
      <c r="O23" s="945">
        <f>'Allowed revenue -DPCR4'!D18</f>
        <v>1.5</v>
      </c>
      <c r="P23" s="945" t="str">
        <f>'Allowed revenue -DPCR4'!E18</f>
        <v>-</v>
      </c>
      <c r="Q23" s="945" t="str">
        <f>'Allowed revenue -DPCR4'!F18</f>
        <v>-</v>
      </c>
      <c r="R23" s="945" t="str">
        <f>'Allowed revenue -DPCR4'!G18</f>
        <v>-</v>
      </c>
      <c r="S23" s="945" t="str">
        <f>'Allowed revenue -DPCR4'!H18</f>
        <v>-</v>
      </c>
      <c r="T23" s="129"/>
      <c r="U23" s="43"/>
      <c r="V23" s="43"/>
      <c r="W23" s="43"/>
      <c r="X23" s="43"/>
      <c r="Y23" s="43"/>
      <c r="Z23" s="43"/>
      <c r="AA23" s="43"/>
      <c r="AB23" s="43"/>
      <c r="AC23" s="43"/>
    </row>
    <row r="24" spans="1:29">
      <c r="A24" s="43"/>
      <c r="B24" s="142" t="s">
        <v>463</v>
      </c>
      <c r="C24" s="128"/>
      <c r="D24" s="949">
        <f>D23-D18</f>
        <v>82.539808503625409</v>
      </c>
      <c r="E24" s="949">
        <f>E23-E18</f>
        <v>83.668657780158014</v>
      </c>
      <c r="F24" s="949"/>
      <c r="G24" s="949">
        <f>G23-G18</f>
        <v>79.922284673697874</v>
      </c>
      <c r="H24" s="949">
        <f>H23-H18</f>
        <v>78.558389184245002</v>
      </c>
      <c r="I24" s="949">
        <f>I23-I18</f>
        <v>76.012016077784921</v>
      </c>
      <c r="J24" s="143"/>
      <c r="K24" s="143"/>
      <c r="L24" s="143" t="s">
        <v>651</v>
      </c>
      <c r="M24" s="143"/>
      <c r="N24" s="143"/>
      <c r="O24" s="944">
        <f>'Allowed revenue -DPCR4'!D19</f>
        <v>227.7</v>
      </c>
      <c r="P24" s="944">
        <f>'Allowed revenue -DPCR4'!E19</f>
        <v>229</v>
      </c>
      <c r="Q24" s="944">
        <f>'Allowed revenue -DPCR4'!F19</f>
        <v>228.1</v>
      </c>
      <c r="R24" s="944">
        <f>'Allowed revenue -DPCR4'!G19</f>
        <v>226.8</v>
      </c>
      <c r="S24" s="944">
        <f>'Allowed revenue -DPCR4'!H19</f>
        <v>226.3</v>
      </c>
      <c r="T24" s="128"/>
      <c r="U24" s="43"/>
      <c r="V24" s="43"/>
      <c r="W24" s="43"/>
      <c r="X24" s="43"/>
      <c r="Y24" s="43"/>
      <c r="Z24" s="43"/>
      <c r="AA24" s="43"/>
      <c r="AB24" s="43"/>
      <c r="AC24" s="43"/>
    </row>
    <row r="25" spans="1:29">
      <c r="A25" s="43"/>
      <c r="B25" s="128"/>
      <c r="C25" s="128"/>
      <c r="D25" s="949"/>
      <c r="E25" s="949"/>
      <c r="F25" s="949"/>
      <c r="G25" s="949"/>
      <c r="H25" s="949"/>
      <c r="I25" s="949"/>
      <c r="J25" s="143"/>
      <c r="K25" s="143"/>
      <c r="L25" s="143" t="s">
        <v>428</v>
      </c>
      <c r="M25" s="143"/>
      <c r="N25" s="143"/>
      <c r="O25" s="944">
        <f>'Allowed revenue -DPCR4'!D20</f>
        <v>221.6</v>
      </c>
      <c r="P25" s="944">
        <f>'Allowed revenue -DPCR4'!E20</f>
        <v>211.2</v>
      </c>
      <c r="Q25" s="944">
        <f>'Allowed revenue -DPCR4'!F20</f>
        <v>199.3</v>
      </c>
      <c r="R25" s="944">
        <f>'Allowed revenue -DPCR4'!G20</f>
        <v>187.7</v>
      </c>
      <c r="S25" s="944">
        <f>'Allowed revenue -DPCR4'!H20</f>
        <v>177.5</v>
      </c>
      <c r="T25" s="131"/>
      <c r="U25" s="43"/>
      <c r="V25" s="43"/>
      <c r="W25" s="43"/>
      <c r="X25" s="43"/>
      <c r="Y25" s="43"/>
      <c r="Z25" s="43"/>
      <c r="AA25" s="43"/>
      <c r="AB25" s="43"/>
      <c r="AC25" s="43"/>
    </row>
    <row r="26" spans="1:29">
      <c r="A26" s="43"/>
      <c r="B26" s="128" t="s">
        <v>429</v>
      </c>
      <c r="C26" s="128"/>
      <c r="D26" s="949"/>
      <c r="E26" s="949"/>
      <c r="F26" s="949"/>
      <c r="G26" s="949"/>
      <c r="H26" s="949"/>
      <c r="I26" s="949"/>
      <c r="J26" s="143"/>
      <c r="K26" s="128"/>
      <c r="L26" s="128" t="s">
        <v>365</v>
      </c>
      <c r="M26" s="128"/>
      <c r="N26" s="128"/>
      <c r="O26" s="944"/>
      <c r="P26" s="944"/>
      <c r="Q26" s="944"/>
      <c r="R26" s="944"/>
      <c r="S26" s="944">
        <f>'Allowed revenue -DPCR4'!H21</f>
        <v>96.2</v>
      </c>
      <c r="T26" s="131"/>
      <c r="U26" s="43"/>
      <c r="V26" s="43"/>
      <c r="W26" s="43"/>
      <c r="X26" s="43"/>
      <c r="Y26" s="43"/>
      <c r="Z26" s="43"/>
      <c r="AA26" s="43"/>
      <c r="AB26" s="43"/>
      <c r="AC26" s="43"/>
    </row>
    <row r="27" spans="1:29">
      <c r="A27" s="43"/>
      <c r="B27" s="128"/>
      <c r="C27" s="128"/>
      <c r="D27" s="949"/>
      <c r="E27" s="949"/>
      <c r="F27" s="949"/>
      <c r="G27" s="949"/>
      <c r="H27" s="949"/>
      <c r="I27" s="949"/>
      <c r="J27" s="128"/>
      <c r="K27" s="128"/>
      <c r="L27" s="128" t="s">
        <v>430</v>
      </c>
      <c r="M27" s="128"/>
      <c r="N27" s="128"/>
      <c r="O27" s="944"/>
      <c r="P27" s="944"/>
      <c r="Q27" s="944"/>
      <c r="R27" s="944"/>
      <c r="S27" s="944">
        <f>'Allowed revenue -DPCR4'!H22</f>
        <v>1093.5</v>
      </c>
      <c r="T27" s="131"/>
      <c r="U27" s="43"/>
      <c r="V27" s="43"/>
      <c r="W27" s="43"/>
      <c r="X27" s="43"/>
      <c r="Y27" s="43"/>
      <c r="Z27" s="43"/>
      <c r="AA27" s="43"/>
      <c r="AB27" s="43"/>
      <c r="AC27" s="43"/>
    </row>
    <row r="28" spans="1:29">
      <c r="A28" s="43"/>
      <c r="B28" s="128" t="s">
        <v>511</v>
      </c>
      <c r="C28" s="128"/>
      <c r="D28" s="950">
        <f>D15</f>
        <v>82.198999999999998</v>
      </c>
      <c r="E28" s="950">
        <f>E15</f>
        <v>83.24130000000001</v>
      </c>
      <c r="F28" s="950"/>
      <c r="G28" s="950">
        <f>G15</f>
        <v>83.74130000000001</v>
      </c>
      <c r="H28" s="950">
        <f>H15</f>
        <v>82.441300000000012</v>
      </c>
      <c r="I28" s="950">
        <f>I15</f>
        <v>81.74130000000001</v>
      </c>
      <c r="J28" s="130"/>
      <c r="K28" s="128"/>
      <c r="L28" s="128"/>
      <c r="M28" s="128"/>
      <c r="N28" s="128"/>
      <c r="O28" s="128"/>
      <c r="P28" s="128"/>
      <c r="Q28" s="128"/>
      <c r="R28" s="128"/>
      <c r="S28" s="128"/>
      <c r="T28" s="128"/>
      <c r="U28" s="43"/>
      <c r="V28" s="43"/>
      <c r="W28" s="43"/>
      <c r="X28" s="43"/>
      <c r="Y28" s="43"/>
      <c r="Z28" s="43"/>
      <c r="AA28" s="43"/>
      <c r="AB28" s="43"/>
      <c r="AC28" s="43"/>
    </row>
    <row r="29" spans="1:29">
      <c r="A29" s="43"/>
      <c r="B29" s="128" t="s">
        <v>437</v>
      </c>
      <c r="C29" s="128"/>
      <c r="D29" s="950">
        <f>D18</f>
        <v>76.5</v>
      </c>
      <c r="E29" s="950">
        <f>E18</f>
        <v>76.5</v>
      </c>
      <c r="F29" s="950"/>
      <c r="G29" s="950">
        <f>G18</f>
        <v>82.4</v>
      </c>
      <c r="H29" s="950">
        <f>H18</f>
        <v>88.2</v>
      </c>
      <c r="I29" s="950">
        <f>I18</f>
        <v>94.1</v>
      </c>
      <c r="J29" s="129"/>
      <c r="K29" s="128"/>
      <c r="L29" s="128"/>
      <c r="M29" s="133"/>
      <c r="N29" s="128"/>
      <c r="O29" s="947">
        <f>1/(1+Inputs!B25)</f>
        <v>0.94746316736936853</v>
      </c>
      <c r="P29" s="947">
        <f>O29/(1+Inputs!B25)</f>
        <v>0.89768645352159604</v>
      </c>
      <c r="Q29" s="947">
        <f>P29/(1+Inputs!B25)</f>
        <v>0.85052485055814675</v>
      </c>
      <c r="R29" s="947">
        <f>Q29/(1+Inputs!B25)</f>
        <v>0.8058409688361805</v>
      </c>
      <c r="S29" s="947">
        <f>R29/(1+Inputs!B25)</f>
        <v>0.76350463672952817</v>
      </c>
      <c r="T29" s="143"/>
      <c r="U29" s="43"/>
      <c r="V29" s="43"/>
      <c r="W29" s="43"/>
      <c r="X29" s="43"/>
      <c r="Y29" s="43"/>
      <c r="Z29" s="43"/>
      <c r="AA29" s="43"/>
      <c r="AB29" s="43"/>
      <c r="AC29" s="43"/>
    </row>
    <row r="30" spans="1:29">
      <c r="A30" s="43"/>
      <c r="B30" s="128" t="s">
        <v>341</v>
      </c>
      <c r="C30" s="134"/>
      <c r="D30" s="949">
        <f>D22</f>
        <v>54.739808503625405</v>
      </c>
      <c r="E30" s="949">
        <f>E22</f>
        <v>55.368657780158017</v>
      </c>
      <c r="F30" s="949"/>
      <c r="G30" s="949">
        <f>G22</f>
        <v>52.622284673697877</v>
      </c>
      <c r="H30" s="949">
        <f>H22</f>
        <v>50.858389184245006</v>
      </c>
      <c r="I30" s="949">
        <f>I22</f>
        <v>47.812016077784925</v>
      </c>
      <c r="J30" s="134"/>
      <c r="K30" s="128"/>
      <c r="L30" s="128"/>
      <c r="M30" s="128"/>
      <c r="N30" s="128"/>
      <c r="O30" s="947">
        <v>1</v>
      </c>
      <c r="P30" s="947">
        <f>O29</f>
        <v>0.94746316736936853</v>
      </c>
      <c r="Q30" s="947">
        <f>P29</f>
        <v>0.89768645352159604</v>
      </c>
      <c r="R30" s="947">
        <f>Q29</f>
        <v>0.85052485055814675</v>
      </c>
      <c r="S30" s="947">
        <f>R29</f>
        <v>0.8058409688361805</v>
      </c>
      <c r="T30" s="143"/>
      <c r="U30" s="43"/>
      <c r="V30" s="43"/>
      <c r="W30" s="43"/>
      <c r="X30" s="43"/>
      <c r="Y30" s="43"/>
      <c r="Z30" s="43"/>
      <c r="AA30" s="43"/>
      <c r="AB30" s="43"/>
      <c r="AC30" s="43"/>
    </row>
    <row r="31" spans="1:29">
      <c r="A31" s="43"/>
      <c r="B31" s="128"/>
      <c r="C31" s="134"/>
      <c r="D31" s="134"/>
      <c r="E31" s="134"/>
      <c r="F31" s="134"/>
      <c r="G31" s="134"/>
      <c r="H31" s="134"/>
      <c r="I31" s="134"/>
      <c r="J31" s="134"/>
      <c r="K31" s="128"/>
      <c r="L31" s="128"/>
      <c r="M31" s="128"/>
      <c r="N31" s="128"/>
      <c r="O31" s="947">
        <f>1/(1+Inputs!B25)^0.5</f>
        <v>0.97337719686120061</v>
      </c>
      <c r="P31" s="947">
        <f>1/(1+Inputs!B25)^1.5</f>
        <v>0.92223904198323059</v>
      </c>
      <c r="Q31" s="947">
        <f>1/(1+Inputs!B25)^2.5</f>
        <v>0.87378752378912361</v>
      </c>
      <c r="R31" s="947">
        <f>1/(1+Inputs!B25)^3.5</f>
        <v>0.82788149489708041</v>
      </c>
      <c r="S31" s="947">
        <f>1/(1+Inputs!B25)^4.5</f>
        <v>0.78438722336167555</v>
      </c>
      <c r="T31" s="143"/>
      <c r="U31" s="43"/>
      <c r="V31" s="43"/>
      <c r="W31" s="43"/>
      <c r="X31" s="43"/>
      <c r="Y31" s="43"/>
      <c r="Z31" s="43"/>
      <c r="AA31" s="43"/>
      <c r="AB31" s="43"/>
      <c r="AC31" s="43"/>
    </row>
    <row r="32" spans="1:29">
      <c r="A32" s="43"/>
      <c r="B32" s="128"/>
      <c r="C32" s="128"/>
      <c r="D32" s="128"/>
      <c r="E32" s="128"/>
      <c r="F32" s="128"/>
      <c r="G32" s="128"/>
      <c r="H32" s="128"/>
      <c r="I32" s="128"/>
      <c r="J32" s="128"/>
      <c r="K32" s="128"/>
      <c r="L32" s="128"/>
      <c r="M32" s="128"/>
      <c r="N32" s="128"/>
      <c r="O32" s="944"/>
      <c r="P32" s="944"/>
      <c r="Q32" s="944"/>
      <c r="R32" s="944"/>
      <c r="S32" s="944"/>
      <c r="T32" s="128"/>
      <c r="U32" s="43"/>
      <c r="V32" s="43"/>
      <c r="W32" s="43"/>
      <c r="X32" s="43"/>
      <c r="Y32" s="43"/>
      <c r="Z32" s="43"/>
      <c r="AA32" s="43"/>
      <c r="AB32" s="43"/>
      <c r="AC32" s="43"/>
    </row>
    <row r="33" spans="1:49">
      <c r="A33" s="43"/>
      <c r="B33" s="128"/>
      <c r="C33" s="129"/>
      <c r="D33" s="128"/>
      <c r="E33" s="128"/>
      <c r="F33" s="128"/>
      <c r="G33" s="128"/>
      <c r="H33" s="128"/>
      <c r="I33" s="128"/>
      <c r="J33" s="128"/>
      <c r="K33" s="128"/>
      <c r="L33" s="128" t="s">
        <v>434</v>
      </c>
      <c r="M33" s="128"/>
      <c r="N33" s="128"/>
      <c r="O33" s="945">
        <f>'Allowed revenue -DPCR4'!D24</f>
        <v>1</v>
      </c>
      <c r="P33" s="945">
        <f>'Allowed revenue -DPCR4'!E24</f>
        <v>1.0089999999999999</v>
      </c>
      <c r="Q33" s="945">
        <f>'Allowed revenue -DPCR4'!F24</f>
        <v>1.02</v>
      </c>
      <c r="R33" s="945">
        <f>'Allowed revenue -DPCR4'!G24</f>
        <v>1.0329999999999999</v>
      </c>
      <c r="S33" s="945">
        <f>'Allowed revenue -DPCR4'!H24</f>
        <v>1.044</v>
      </c>
      <c r="T33" s="129"/>
      <c r="U33" s="43"/>
      <c r="V33" s="43"/>
      <c r="W33" s="43"/>
      <c r="X33" s="43"/>
      <c r="Y33" s="43"/>
      <c r="Z33" s="43"/>
      <c r="AA33" s="43"/>
      <c r="AB33" s="43"/>
      <c r="AC33" s="43"/>
    </row>
    <row r="34" spans="1:49">
      <c r="A34" s="43"/>
      <c r="B34" s="128"/>
      <c r="C34" s="129"/>
      <c r="D34" s="128"/>
      <c r="E34" s="128"/>
      <c r="F34" s="128"/>
      <c r="G34" s="128"/>
      <c r="H34" s="128"/>
      <c r="I34" s="128"/>
      <c r="J34" s="128"/>
      <c r="K34" s="128"/>
      <c r="L34" s="128" t="s">
        <v>435</v>
      </c>
      <c r="M34" s="128"/>
      <c r="N34" s="128"/>
      <c r="O34" s="948">
        <f>O33*O31</f>
        <v>0.97337719686120061</v>
      </c>
      <c r="P34" s="948">
        <f>P33*P31</f>
        <v>0.9305391933610796</v>
      </c>
      <c r="Q34" s="948">
        <f>Q33*Q31</f>
        <v>0.89126327426490615</v>
      </c>
      <c r="R34" s="948">
        <f>R33*R31</f>
        <v>0.85520158422868398</v>
      </c>
      <c r="S34" s="948">
        <f>S33*S31</f>
        <v>0.81890026118958925</v>
      </c>
      <c r="T34" s="151"/>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row>
    <row r="35" spans="1:49">
      <c r="A35" s="43"/>
      <c r="B35" s="128"/>
      <c r="C35" s="128"/>
      <c r="D35" s="128"/>
      <c r="E35" s="128"/>
      <c r="F35" s="128"/>
      <c r="G35" s="128"/>
      <c r="H35" s="128"/>
      <c r="I35" s="128"/>
      <c r="J35" s="128"/>
      <c r="K35" s="128"/>
      <c r="L35" s="128" t="s">
        <v>436</v>
      </c>
      <c r="M35" s="128"/>
      <c r="N35" s="128"/>
      <c r="O35" s="949">
        <f>($S$27-$N$41)/SUM($O$34:$U$34)*O33</f>
        <v>241.23880850362539</v>
      </c>
      <c r="P35" s="949">
        <f>($S$27-$N$41)/SUM($O$34:$U$34)*P33</f>
        <v>243.40995778015801</v>
      </c>
      <c r="Q35" s="949">
        <f>($S$27-$N$41)/SUM($O$34:$U$34)*Q33</f>
        <v>246.0635846736979</v>
      </c>
      <c r="R35" s="949">
        <f>($S$27-$N$41)/SUM($O$34:$U$34)*R33</f>
        <v>249.19968918424502</v>
      </c>
      <c r="S35" s="949">
        <f>($S$27-$N$41)/SUM($O$34:$U$34)*S33</f>
        <v>251.85331607778491</v>
      </c>
      <c r="T35" s="131"/>
      <c r="U35" s="43"/>
      <c r="V35" s="43"/>
      <c r="W35" s="43"/>
      <c r="X35" s="43"/>
      <c r="Y35" s="43"/>
      <c r="Z35" s="43"/>
      <c r="AA35" s="43"/>
      <c r="AB35" s="43"/>
      <c r="AC35" s="43"/>
      <c r="AD35" s="43"/>
      <c r="AE35" s="43"/>
      <c r="AF35" s="43"/>
      <c r="AG35" s="43"/>
      <c r="AH35" s="43"/>
      <c r="AI35" s="43"/>
      <c r="AJ35" s="43"/>
      <c r="AK35" s="43"/>
      <c r="AL35" s="43"/>
      <c r="AM35" s="43"/>
      <c r="AN35" s="43"/>
      <c r="AO35" s="185"/>
      <c r="AP35" s="185"/>
      <c r="AQ35" s="185"/>
      <c r="AR35" s="185"/>
      <c r="AS35" s="185"/>
      <c r="AT35" s="43"/>
      <c r="AU35" s="43"/>
    </row>
    <row r="36" spans="1:49">
      <c r="A36" s="43"/>
      <c r="B36" s="128"/>
      <c r="C36" s="128"/>
      <c r="D36" s="128"/>
      <c r="E36" s="128"/>
      <c r="F36" s="128"/>
      <c r="G36" s="128"/>
      <c r="H36" s="128"/>
      <c r="I36" s="128"/>
      <c r="J36" s="128"/>
      <c r="K36" s="128"/>
      <c r="L36" s="128" t="s">
        <v>358</v>
      </c>
      <c r="M36" s="128"/>
      <c r="N36" s="128"/>
      <c r="O36" s="944">
        <f>'Allowed revenue -DPCR4'!D27</f>
        <v>3.5</v>
      </c>
      <c r="P36" s="944">
        <f>'Allowed revenue -DPCR4'!E27</f>
        <v>3.5</v>
      </c>
      <c r="Q36" s="944">
        <f>'Allowed revenue -DPCR4'!F27</f>
        <v>3.5</v>
      </c>
      <c r="R36" s="944">
        <f>'Allowed revenue -DPCR4'!G27</f>
        <v>3.5</v>
      </c>
      <c r="S36" s="944">
        <f>'Allowed revenue -DPCR4'!H27</f>
        <v>3.5</v>
      </c>
      <c r="T36" s="128"/>
      <c r="U36" s="43"/>
      <c r="V36" s="43"/>
      <c r="W36" s="43"/>
      <c r="X36" s="43"/>
      <c r="Y36" s="43"/>
      <c r="Z36" s="43"/>
      <c r="AA36" s="43"/>
      <c r="AB36" s="43"/>
      <c r="AC36" s="43"/>
      <c r="AD36" s="43"/>
      <c r="AE36" s="43"/>
      <c r="AF36" s="43"/>
      <c r="AG36" s="43"/>
      <c r="AH36" s="43"/>
      <c r="AI36" s="43"/>
      <c r="AJ36" s="43"/>
      <c r="AK36" s="43"/>
      <c r="AL36" s="43"/>
      <c r="AM36" s="43"/>
      <c r="AN36" s="43"/>
      <c r="AO36" s="55"/>
      <c r="AP36" s="55"/>
      <c r="AQ36" s="55"/>
      <c r="AR36" s="55"/>
      <c r="AS36" s="55"/>
      <c r="AT36" s="43"/>
      <c r="AU36" s="43"/>
    </row>
    <row r="37" spans="1:49">
      <c r="A37" s="43"/>
      <c r="B37" s="128"/>
      <c r="C37" s="128"/>
      <c r="D37" s="128"/>
      <c r="E37" s="128"/>
      <c r="F37" s="128"/>
      <c r="G37" s="128"/>
      <c r="H37" s="128"/>
      <c r="I37" s="128"/>
      <c r="J37" s="128"/>
      <c r="K37" s="128"/>
      <c r="L37" s="128" t="s">
        <v>359</v>
      </c>
      <c r="M37" s="128"/>
      <c r="N37" s="128"/>
      <c r="O37" s="949">
        <f>O36+O35</f>
        <v>244.73880850362539</v>
      </c>
      <c r="P37" s="949">
        <f>P36+P35</f>
        <v>246.90995778015801</v>
      </c>
      <c r="Q37" s="949">
        <f>Q36+Q35</f>
        <v>249.5635846736979</v>
      </c>
      <c r="R37" s="949">
        <f>R36+R35</f>
        <v>252.69968918424502</v>
      </c>
      <c r="S37" s="949">
        <f>S36+S35</f>
        <v>255.35331607778491</v>
      </c>
      <c r="T37" s="131"/>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132"/>
      <c r="AS37" s="43"/>
      <c r="AT37" s="43"/>
      <c r="AU37" s="43"/>
    </row>
    <row r="38" spans="1:49">
      <c r="A38" s="43"/>
      <c r="B38" s="128"/>
      <c r="C38" s="128"/>
      <c r="D38" s="128"/>
      <c r="E38" s="128"/>
      <c r="F38" s="128"/>
      <c r="G38" s="128"/>
      <c r="H38" s="128"/>
      <c r="I38" s="128"/>
      <c r="J38" s="128"/>
      <c r="K38" s="128"/>
      <c r="L38" s="128" t="s">
        <v>347</v>
      </c>
      <c r="M38" s="128"/>
      <c r="N38" s="128"/>
      <c r="O38" s="949">
        <f>O37*O31</f>
        <v>238.22317538440905</v>
      </c>
      <c r="P38" s="949">
        <f>P37*P31</f>
        <v>227.71000291929283</v>
      </c>
      <c r="Q38" s="949">
        <f>Q37*Q31</f>
        <v>218.06554667996778</v>
      </c>
      <c r="R38" s="949">
        <f>R37*R31</f>
        <v>209.20539644188034</v>
      </c>
      <c r="S38" s="949">
        <f>S37*S31</f>
        <v>200.29587857445</v>
      </c>
      <c r="T38" s="131"/>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row>
    <row r="39" spans="1:49">
      <c r="A39" s="43"/>
      <c r="B39" s="128"/>
      <c r="C39" s="128"/>
      <c r="D39" s="128"/>
      <c r="E39" s="128"/>
      <c r="F39" s="128"/>
      <c r="G39" s="128"/>
      <c r="H39" s="128"/>
      <c r="I39" s="128"/>
      <c r="J39" s="128"/>
      <c r="K39" s="128"/>
      <c r="L39" s="128" t="s">
        <v>430</v>
      </c>
      <c r="M39" s="128"/>
      <c r="N39" s="128"/>
      <c r="O39" s="944"/>
      <c r="P39" s="944"/>
      <c r="Q39" s="944"/>
      <c r="R39" s="944"/>
      <c r="S39" s="949">
        <f>SUM(O38:S38)</f>
        <v>1093.5</v>
      </c>
      <c r="T39" s="131"/>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row>
    <row r="40" spans="1:49">
      <c r="A40" s="43"/>
      <c r="B40" s="128"/>
      <c r="C40" s="128"/>
      <c r="D40" s="128"/>
      <c r="E40" s="128"/>
      <c r="F40" s="128"/>
      <c r="G40" s="128"/>
      <c r="H40" s="128"/>
      <c r="I40" s="128"/>
      <c r="J40" s="128"/>
      <c r="K40" s="128"/>
      <c r="L40" s="128"/>
      <c r="M40" s="128"/>
      <c r="N40" s="128"/>
      <c r="O40" s="944"/>
      <c r="P40" s="944"/>
      <c r="Q40" s="944"/>
      <c r="R40" s="944"/>
      <c r="S40" s="944"/>
      <c r="T40" s="128"/>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row>
    <row r="41" spans="1:49">
      <c r="A41" s="43"/>
      <c r="B41" s="128"/>
      <c r="C41" s="128"/>
      <c r="D41" s="128"/>
      <c r="E41" s="128"/>
      <c r="F41" s="128"/>
      <c r="G41" s="128"/>
      <c r="H41" s="128"/>
      <c r="I41" s="128"/>
      <c r="J41" s="128"/>
      <c r="K41" s="128"/>
      <c r="L41" s="128" t="s">
        <v>385</v>
      </c>
      <c r="M41" s="128"/>
      <c r="N41" s="131">
        <f>SUM(O41:S41)</f>
        <v>15.335853683123087</v>
      </c>
      <c r="O41" s="949">
        <f>O36*O31</f>
        <v>3.4068201890142022</v>
      </c>
      <c r="P41" s="949">
        <f>P36*P31</f>
        <v>3.2278366469413071</v>
      </c>
      <c r="Q41" s="949">
        <f>Q36*Q31</f>
        <v>3.0582563332619328</v>
      </c>
      <c r="R41" s="949">
        <f>R36*R31</f>
        <v>2.8975852321397815</v>
      </c>
      <c r="S41" s="949">
        <f>S36*S31</f>
        <v>2.7453552817658644</v>
      </c>
      <c r="T41" s="131"/>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row>
    <row r="42" spans="1:49" s="210" customFormat="1">
      <c r="A42" s="209"/>
      <c r="N42" s="211"/>
      <c r="O42" s="211"/>
      <c r="P42" s="211"/>
      <c r="Q42" s="211"/>
      <c r="R42" s="211"/>
      <c r="S42" s="211"/>
      <c r="T42" s="211"/>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row>
    <row r="43" spans="1:49" s="213" customFormat="1">
      <c r="A43" s="208" t="s">
        <v>493</v>
      </c>
      <c r="N43" s="214"/>
      <c r="O43" s="214"/>
      <c r="P43" s="214"/>
      <c r="Q43" s="214"/>
      <c r="R43" s="214"/>
      <c r="S43" s="214"/>
      <c r="T43" s="214"/>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row>
    <row r="44" spans="1:49">
      <c r="A44" s="43"/>
      <c r="B44" s="17"/>
      <c r="C44" s="17"/>
      <c r="D44" s="17"/>
      <c r="E44" s="17"/>
      <c r="F44" s="17"/>
      <c r="G44" s="17"/>
      <c r="H44" s="17"/>
      <c r="I44" s="17"/>
      <c r="J44" s="17"/>
      <c r="K44" s="17"/>
      <c r="L44" s="17"/>
      <c r="M44" s="17"/>
      <c r="N44" s="152"/>
      <c r="O44" s="152"/>
      <c r="P44" s="152"/>
      <c r="Q44" s="152"/>
      <c r="R44" s="152"/>
      <c r="S44" s="152"/>
      <c r="T44" s="152"/>
      <c r="U44" s="152"/>
      <c r="V44" s="152"/>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row>
    <row r="45" spans="1:49" ht="25.5">
      <c r="A45" s="43"/>
      <c r="B45" s="153" t="s">
        <v>644</v>
      </c>
      <c r="C45" s="927" t="s">
        <v>770</v>
      </c>
      <c r="D45" s="154" t="s">
        <v>771</v>
      </c>
      <c r="E45" s="2257" t="s">
        <v>772</v>
      </c>
      <c r="F45" s="2257"/>
      <c r="G45" s="2257"/>
      <c r="H45" s="2257"/>
      <c r="I45" s="2257"/>
      <c r="J45" s="155"/>
      <c r="K45" s="2258" t="s">
        <v>14</v>
      </c>
      <c r="L45" s="2258"/>
      <c r="M45" s="2258"/>
      <c r="N45" s="2258"/>
      <c r="O45" s="156"/>
      <c r="P45" s="2259"/>
      <c r="Q45" s="2260"/>
      <c r="R45" s="2261"/>
      <c r="S45" s="2261"/>
      <c r="T45" s="2261"/>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row>
    <row r="46" spans="1:49">
      <c r="A46" s="43"/>
      <c r="B46" s="903"/>
      <c r="C46" s="928"/>
      <c r="D46" s="163"/>
      <c r="E46" s="904" t="s">
        <v>244</v>
      </c>
      <c r="F46" s="904"/>
      <c r="G46" s="904" t="s">
        <v>238</v>
      </c>
      <c r="H46" s="904" t="s">
        <v>405</v>
      </c>
      <c r="I46" s="904" t="s">
        <v>619</v>
      </c>
      <c r="J46" s="165" t="s">
        <v>879</v>
      </c>
      <c r="K46" s="905" t="s">
        <v>244</v>
      </c>
      <c r="L46" s="905" t="s">
        <v>238</v>
      </c>
      <c r="M46" s="905" t="s">
        <v>405</v>
      </c>
      <c r="N46" s="905" t="s">
        <v>619</v>
      </c>
      <c r="O46" s="906" t="s">
        <v>879</v>
      </c>
      <c r="P46" s="892"/>
      <c r="Q46" s="893"/>
      <c r="R46" s="893"/>
      <c r="S46" s="893"/>
      <c r="T46" s="89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49">
      <c r="A47" s="43"/>
      <c r="B47" s="157" t="s">
        <v>341</v>
      </c>
      <c r="C47" s="929">
        <f>SUM(D24:I24)</f>
        <v>400.70115621951118</v>
      </c>
      <c r="D47" s="216" t="s">
        <v>403</v>
      </c>
      <c r="E47" s="147">
        <f>VLOOKUP($D47,'Calc-Drivers'!$B$17:$G$27,E$53,FALSE)</f>
        <v>0.51117800770090283</v>
      </c>
      <c r="F47" s="147"/>
      <c r="G47" s="147">
        <f>VLOOKUP($D47,'Calc-Drivers'!$B$17:$G$27,G$53,FALSE)</f>
        <v>0.28428522966927255</v>
      </c>
      <c r="H47" s="147">
        <f>VLOOKUP($D47,'Calc-Drivers'!$B$17:$G$27,H$53,FALSE)</f>
        <v>6.2443379450552679E-2</v>
      </c>
      <c r="I47" s="147">
        <f>VLOOKUP($D47,'Calc-Drivers'!$B$17:$G$27,I$53,FALSE)</f>
        <v>7.9148932039334235E-2</v>
      </c>
      <c r="J47" s="745">
        <f>VLOOKUP($D47,'Calc-Drivers'!$B$17:$G$27,J$53,FALSE)</f>
        <v>6.294445113993781E-2</v>
      </c>
      <c r="K47" s="901">
        <f>$C47*E47</f>
        <v>204.82961871973794</v>
      </c>
      <c r="L47" s="901">
        <f t="shared" ref="L47:N49" si="2">$C47*G47</f>
        <v>113.9134202246068</v>
      </c>
      <c r="M47" s="901">
        <f t="shared" si="2"/>
        <v>25.021134344090122</v>
      </c>
      <c r="N47" s="901">
        <f t="shared" si="2"/>
        <v>31.715068581700741</v>
      </c>
      <c r="O47" s="161">
        <f>$C47 * J47</f>
        <v>25.221914349375609</v>
      </c>
      <c r="P47" s="894"/>
      <c r="Q47" s="895"/>
      <c r="R47" s="895"/>
      <c r="S47" s="895"/>
      <c r="T47" s="895"/>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row>
    <row r="48" spans="1:49">
      <c r="A48" s="43"/>
      <c r="B48" s="157" t="s">
        <v>437</v>
      </c>
      <c r="C48" s="929">
        <f>SUM(D18:I18)</f>
        <v>417.70000000000005</v>
      </c>
      <c r="D48" s="160" t="s">
        <v>403</v>
      </c>
      <c r="E48" s="147">
        <f>VLOOKUP($D48,'Calc-Drivers'!$B$17:$G$27,E$53,FALSE)</f>
        <v>0.51117800770090283</v>
      </c>
      <c r="F48" s="147"/>
      <c r="G48" s="147">
        <f>VLOOKUP($D48,'Calc-Drivers'!$B$17:$G$27,G$53,FALSE)</f>
        <v>0.28428522966927255</v>
      </c>
      <c r="H48" s="147">
        <f>VLOOKUP($D48,'Calc-Drivers'!$B$17:$G$27,H$53,FALSE)</f>
        <v>6.2443379450552679E-2</v>
      </c>
      <c r="I48" s="147">
        <f>VLOOKUP($D48,'Calc-Drivers'!$B$17:$G$27,I$53,FALSE)</f>
        <v>7.9148932039334235E-2</v>
      </c>
      <c r="J48" s="745">
        <f>VLOOKUP($D48,'Calc-Drivers'!$B$17:$G$27,J$53,FALSE)</f>
        <v>6.294445113993781E-2</v>
      </c>
      <c r="K48" s="901">
        <f>$C48*E48</f>
        <v>213.51905381666714</v>
      </c>
      <c r="L48" s="901">
        <f t="shared" si="2"/>
        <v>118.74594043285516</v>
      </c>
      <c r="M48" s="901">
        <f t="shared" si="2"/>
        <v>26.082599596495857</v>
      </c>
      <c r="N48" s="901">
        <f t="shared" si="2"/>
        <v>33.060508912829917</v>
      </c>
      <c r="O48" s="161">
        <f>$C48 * J48</f>
        <v>26.291897241152025</v>
      </c>
      <c r="P48" s="894"/>
      <c r="Q48" s="895"/>
      <c r="R48" s="895"/>
      <c r="S48" s="895"/>
      <c r="T48" s="895"/>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row>
    <row r="49" spans="1:49">
      <c r="A49" s="43"/>
      <c r="B49" s="162" t="s">
        <v>773</v>
      </c>
      <c r="C49" s="929">
        <f>SUM(D15:I15)</f>
        <v>413.36420000000004</v>
      </c>
      <c r="D49" s="160" t="s">
        <v>774</v>
      </c>
      <c r="E49" s="147">
        <f>'Calc DNO Opex Allocation'!AQ42</f>
        <v>0.25306683145955849</v>
      </c>
      <c r="F49" s="147"/>
      <c r="G49" s="147">
        <f>'Calc DNO Opex Allocation'!AR42</f>
        <v>0.19040479200835012</v>
      </c>
      <c r="H49" s="147">
        <f>'Calc DNO Opex Allocation'!AS42</f>
        <v>7.9091216844305284E-2</v>
      </c>
      <c r="I49" s="147">
        <f>'Calc DNO Opex Allocation'!AT42</f>
        <v>0.25024497223459857</v>
      </c>
      <c r="J49" s="745">
        <f>'Calc DNO Opex Allocation'!AU42</f>
        <v>0.22719218745318762</v>
      </c>
      <c r="K49" s="901">
        <f>$C49*E49</f>
        <v>104.60876833281525</v>
      </c>
      <c r="L49" s="901">
        <f t="shared" si="2"/>
        <v>78.70652452469804</v>
      </c>
      <c r="M49" s="901">
        <f t="shared" si="2"/>
        <v>32.693477577872784</v>
      </c>
      <c r="N49" s="901">
        <f>$C49*I49</f>
        <v>103.44231275177707</v>
      </c>
      <c r="O49" s="161">
        <f>$C49 * J49</f>
        <v>93.913116812836947</v>
      </c>
      <c r="P49" s="894"/>
      <c r="Q49" s="895"/>
      <c r="R49" s="895"/>
      <c r="S49" s="895"/>
      <c r="T49" s="895"/>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c r="A50" s="43"/>
      <c r="B50" s="158"/>
      <c r="C50" s="929"/>
      <c r="D50" s="158"/>
      <c r="E50" s="138"/>
      <c r="F50" s="138"/>
      <c r="G50" s="138"/>
      <c r="H50" s="138"/>
      <c r="I50" s="138"/>
      <c r="J50" s="159"/>
      <c r="K50" s="900"/>
      <c r="L50" s="900"/>
      <c r="M50" s="901"/>
      <c r="N50" s="900"/>
      <c r="O50" s="161"/>
      <c r="P50" s="896"/>
      <c r="Q50" s="897"/>
      <c r="R50" s="897"/>
      <c r="S50" s="895"/>
      <c r="T50" s="89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c r="A51" s="43"/>
      <c r="B51" s="162" t="s">
        <v>245</v>
      </c>
      <c r="C51" s="929">
        <f>SUM(C47:C49)</f>
        <v>1231.7653562195112</v>
      </c>
      <c r="D51" s="158"/>
      <c r="E51" s="138"/>
      <c r="F51" s="138"/>
      <c r="G51" s="138"/>
      <c r="H51" s="138"/>
      <c r="I51" s="138"/>
      <c r="J51" s="159"/>
      <c r="K51" s="901">
        <f>SUM(K47:K50)</f>
        <v>522.95744086922025</v>
      </c>
      <c r="L51" s="901">
        <f>SUM(L47:L50)</f>
        <v>311.36588518216001</v>
      </c>
      <c r="M51" s="901">
        <f>SUM(M47:M50)</f>
        <v>83.797211518458766</v>
      </c>
      <c r="N51" s="901">
        <f>SUM(N47:N50)</f>
        <v>168.21789024630772</v>
      </c>
      <c r="O51" s="161">
        <f>SUM($O$47:$O$50)</f>
        <v>145.42692840336457</v>
      </c>
      <c r="P51" s="898"/>
      <c r="Q51" s="899"/>
      <c r="R51" s="899"/>
      <c r="S51" s="899"/>
      <c r="T51" s="899"/>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c r="A52" s="43"/>
      <c r="B52" s="163"/>
      <c r="C52" s="163"/>
      <c r="D52" s="163"/>
      <c r="E52" s="164"/>
      <c r="F52" s="164"/>
      <c r="G52" s="164"/>
      <c r="H52" s="164"/>
      <c r="I52" s="164"/>
      <c r="J52" s="165"/>
      <c r="K52" s="902">
        <f>K51/SUM($K$51:$O$51)</f>
        <v>0.42455930281580728</v>
      </c>
      <c r="L52" s="902">
        <f>L51/SUM($K$51:$O$51)</f>
        <v>0.25278019357338694</v>
      </c>
      <c r="M52" s="902">
        <f>M51/SUM($K$51:$O$51)</f>
        <v>6.8030174006229613E-2</v>
      </c>
      <c r="N52" s="902">
        <f>N51/SUM($K$51:$O$51)</f>
        <v>0.13656650546058205</v>
      </c>
      <c r="O52" s="166">
        <f>O51/SUM($K$50:$O$51)</f>
        <v>0.11806382414399404</v>
      </c>
      <c r="P52" s="896"/>
      <c r="Q52" s="897"/>
      <c r="R52" s="897"/>
      <c r="S52" s="897"/>
      <c r="T52" s="897"/>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c r="A53" s="43"/>
      <c r="B53" s="43"/>
      <c r="C53" s="43"/>
      <c r="D53" s="43"/>
      <c r="E53" s="43">
        <v>6</v>
      </c>
      <c r="F53" s="43"/>
      <c r="G53" s="43">
        <v>5</v>
      </c>
      <c r="H53" s="43">
        <v>4</v>
      </c>
      <c r="I53" s="43">
        <v>3</v>
      </c>
      <c r="J53" s="43">
        <v>2</v>
      </c>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c r="A55" s="43"/>
      <c r="B55" s="43"/>
      <c r="C55" s="43"/>
      <c r="D55" s="217" t="s">
        <v>408</v>
      </c>
      <c r="E55" s="43"/>
      <c r="F55" s="43"/>
      <c r="G55" s="43"/>
      <c r="H55" s="43"/>
      <c r="I55" s="43"/>
      <c r="J55" s="43"/>
      <c r="K55" s="484"/>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c r="A56" s="43"/>
      <c r="B56" s="43"/>
      <c r="C56" s="43"/>
      <c r="D56" s="822" t="s">
        <v>886</v>
      </c>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s="213" customFormat="1">
      <c r="A58" s="208" t="s">
        <v>895</v>
      </c>
      <c r="N58" s="214"/>
      <c r="O58" s="214"/>
      <c r="P58" s="214"/>
      <c r="Q58" s="214"/>
      <c r="R58" s="214"/>
      <c r="S58" s="214"/>
      <c r="T58" s="214"/>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row>
    <row r="60" spans="1:49" ht="13.5" thickBot="1">
      <c r="B60" s="2265" t="s">
        <v>494</v>
      </c>
      <c r="C60" s="2265"/>
      <c r="D60" s="2265"/>
      <c r="E60" s="2265"/>
      <c r="F60" s="2265"/>
      <c r="G60" s="2265"/>
    </row>
    <row r="61" spans="1:49">
      <c r="B61" s="121" t="s">
        <v>875</v>
      </c>
      <c r="C61" s="122"/>
      <c r="D61" s="122"/>
      <c r="E61" s="122"/>
      <c r="F61" s="122">
        <f>'Summary of revenue'!J11</f>
        <v>276.42685499999999</v>
      </c>
      <c r="G61" s="123">
        <f>F61/$F$66</f>
        <v>0.94327570891569268</v>
      </c>
      <c r="K61" s="932"/>
      <c r="L61" s="932"/>
      <c r="M61" s="135"/>
      <c r="N61" s="823"/>
      <c r="O61" s="823"/>
      <c r="P61" s="934" t="s">
        <v>14</v>
      </c>
      <c r="Q61" s="934" t="s">
        <v>992</v>
      </c>
      <c r="R61" s="934" t="s">
        <v>993</v>
      </c>
    </row>
    <row r="62" spans="1:49">
      <c r="B62" s="124" t="s">
        <v>454</v>
      </c>
      <c r="C62" s="125"/>
      <c r="D62" s="125"/>
      <c r="E62" s="125"/>
      <c r="F62" s="125">
        <f>'Summary of revenue'!J12</f>
        <v>-4.5983270000000003</v>
      </c>
      <c r="G62" s="930">
        <f>F62/$F$66</f>
        <v>-1.5691276307980895E-2</v>
      </c>
      <c r="K62" s="932"/>
      <c r="L62" s="932"/>
      <c r="M62" s="137"/>
      <c r="N62" s="138"/>
      <c r="O62" s="138"/>
      <c r="P62" s="139"/>
      <c r="Q62" s="139"/>
      <c r="R62" s="139"/>
    </row>
    <row r="63" spans="1:49">
      <c r="B63" s="124" t="s">
        <v>446</v>
      </c>
      <c r="C63" s="125"/>
      <c r="D63" s="125"/>
      <c r="E63" s="125"/>
      <c r="F63" s="125">
        <f>'Summary of revenue'!J13</f>
        <v>26.407907999999999</v>
      </c>
      <c r="G63" s="930">
        <f>F63/$F$66</f>
        <v>9.0114030851598664E-2</v>
      </c>
      <c r="K63" s="932"/>
      <c r="L63" s="932"/>
      <c r="M63" s="137" t="s">
        <v>450</v>
      </c>
      <c r="N63" s="138"/>
      <c r="O63" s="138"/>
      <c r="P63" s="952">
        <f>F66</f>
        <v>293.04990300000003</v>
      </c>
      <c r="Q63" s="952">
        <f>'DNO Final Allocation'!G68</f>
        <v>3.5000004555058126</v>
      </c>
      <c r="R63" s="952">
        <f>P63-Q63</f>
        <v>289.54990254449422</v>
      </c>
    </row>
    <row r="64" spans="1:49">
      <c r="B64" s="951" t="s">
        <v>894</v>
      </c>
      <c r="C64" s="125"/>
      <c r="D64" s="125"/>
      <c r="E64" s="125"/>
      <c r="F64" s="125">
        <f>'Summary of revenue'!J21</f>
        <v>-11.856533000000001</v>
      </c>
      <c r="G64" s="930">
        <f>F64/$F$66</f>
        <v>-4.0459092047541133E-2</v>
      </c>
      <c r="K64" s="932"/>
      <c r="L64" s="932"/>
      <c r="M64" s="137"/>
      <c r="N64" s="138"/>
      <c r="O64" s="138"/>
      <c r="P64" s="952"/>
      <c r="Q64" s="952"/>
      <c r="R64" s="952"/>
    </row>
    <row r="65" spans="2:19" ht="14.25">
      <c r="B65" s="124" t="s">
        <v>447</v>
      </c>
      <c r="C65" s="125"/>
      <c r="D65" s="125"/>
      <c r="E65" s="125"/>
      <c r="F65" s="125">
        <f>'Summary of revenue'!J46+'Summary of revenue'!J47</f>
        <v>6.67</v>
      </c>
      <c r="G65" s="930">
        <f>F65/$F$66</f>
        <v>2.2760628588230584E-2</v>
      </c>
      <c r="K65" s="932"/>
      <c r="L65" s="932"/>
      <c r="M65" s="137" t="s">
        <v>985</v>
      </c>
      <c r="N65" s="138"/>
      <c r="O65" s="933"/>
      <c r="P65" s="952">
        <f>-F63</f>
        <v>-26.407907999999999</v>
      </c>
      <c r="Q65" s="952">
        <f>Q$63*P65/P$63</f>
        <v>-0.31539914902806021</v>
      </c>
      <c r="R65" s="952">
        <f>P65-Q65</f>
        <v>-26.092508850971939</v>
      </c>
    </row>
    <row r="66" spans="2:19" ht="13.5" thickBot="1">
      <c r="B66" s="126" t="s">
        <v>245</v>
      </c>
      <c r="C66" s="127"/>
      <c r="D66" s="127"/>
      <c r="E66" s="127"/>
      <c r="F66" s="127">
        <f>SUM(F61:F65)</f>
        <v>293.04990300000003</v>
      </c>
      <c r="G66" s="931">
        <f>SUM(G61:G65)</f>
        <v>0.99999999999999989</v>
      </c>
      <c r="K66" s="932"/>
      <c r="L66" s="932"/>
      <c r="M66" s="137" t="s">
        <v>984</v>
      </c>
      <c r="N66" s="138"/>
      <c r="O66" s="138"/>
      <c r="P66" s="952">
        <f>-'Calc DNO Opex Allocation'!I37</f>
        <v>-4.4000000000000004</v>
      </c>
      <c r="Q66" s="952">
        <f>Q$63*P66/P$63</f>
        <v>-5.2550783489682902E-2</v>
      </c>
      <c r="R66" s="952">
        <f>P66-Q66</f>
        <v>-4.3474492165103173</v>
      </c>
    </row>
    <row r="67" spans="2:19" ht="15" thickBot="1">
      <c r="K67" s="932"/>
      <c r="L67" s="932"/>
      <c r="M67" s="137"/>
      <c r="N67" s="138"/>
      <c r="O67" s="933"/>
      <c r="P67" s="952"/>
      <c r="Q67" s="952"/>
      <c r="R67" s="952"/>
    </row>
    <row r="68" spans="2:19" ht="19.5" thickBot="1">
      <c r="B68" s="1287" t="s">
        <v>983</v>
      </c>
      <c r="C68" s="1288"/>
      <c r="D68" s="1288"/>
      <c r="E68" s="1288"/>
      <c r="F68" s="1288"/>
      <c r="G68" s="1289">
        <f>(('Summary of revenue'!J11+'Summary of revenue'!J63)/'Summary of revenue'!J62)-'Summary of revenue'!J61</f>
        <v>3.5000004555058126</v>
      </c>
      <c r="K68" s="932"/>
      <c r="L68" s="932"/>
      <c r="M68" s="137" t="s">
        <v>991</v>
      </c>
      <c r="N68" s="138"/>
      <c r="O68" s="933"/>
      <c r="P68" s="952">
        <f>-SUM(P65:P67)</f>
        <v>30.807907999999998</v>
      </c>
      <c r="Q68" s="952">
        <f>-SUM(Q65:Q67)</f>
        <v>0.36794993251774311</v>
      </c>
      <c r="R68" s="952">
        <f>P68-Q68</f>
        <v>30.439958067482255</v>
      </c>
    </row>
    <row r="69" spans="2:19" ht="13.5" thickBot="1">
      <c r="K69" s="932"/>
      <c r="L69" s="932"/>
      <c r="M69" s="149" t="s">
        <v>366</v>
      </c>
      <c r="N69" s="150"/>
      <c r="O69" s="150"/>
      <c r="P69" s="953">
        <f>SUM(P63:P67)</f>
        <v>262.24199500000003</v>
      </c>
      <c r="Q69" s="953">
        <f>SUM(Q63:Q67)</f>
        <v>3.1320505229880693</v>
      </c>
      <c r="R69" s="952">
        <f>P69-Q69</f>
        <v>259.10994447701194</v>
      </c>
    </row>
    <row r="70" spans="2:19">
      <c r="B70" s="43"/>
      <c r="C70" s="43"/>
      <c r="D70" s="43"/>
      <c r="E70" s="43"/>
      <c r="F70" s="43"/>
      <c r="G70" s="43"/>
      <c r="H70" s="43"/>
      <c r="I70" s="43"/>
      <c r="J70" s="43"/>
      <c r="K70" s="43"/>
      <c r="L70" s="43"/>
      <c r="M70" s="43"/>
      <c r="N70" s="43"/>
      <c r="O70" s="43"/>
      <c r="P70" s="43"/>
      <c r="Q70" s="43"/>
      <c r="R70" s="43"/>
    </row>
    <row r="71" spans="2:19" s="75" customFormat="1" ht="39" customHeight="1" thickBot="1">
      <c r="D71" s="2262"/>
      <c r="E71" s="2263"/>
      <c r="F71" s="2263"/>
      <c r="G71" s="2263"/>
      <c r="H71" s="2263"/>
      <c r="I71" s="2263"/>
      <c r="J71" s="2263"/>
      <c r="K71" s="2264"/>
      <c r="L71" s="2262" t="s">
        <v>766</v>
      </c>
      <c r="M71" s="2263"/>
      <c r="N71" s="2263"/>
      <c r="O71" s="2263"/>
      <c r="P71" s="2263"/>
      <c r="Q71" s="2263"/>
      <c r="R71" s="2264"/>
    </row>
    <row r="72" spans="2:19">
      <c r="B72" s="926" t="s">
        <v>889</v>
      </c>
      <c r="C72" s="136"/>
      <c r="D72" s="2253" t="s">
        <v>14</v>
      </c>
      <c r="E72" s="2254"/>
      <c r="F72" s="2254"/>
      <c r="G72" s="2254"/>
      <c r="H72" s="2254"/>
      <c r="I72" s="2254"/>
      <c r="J72" s="2254"/>
      <c r="K72" s="823"/>
      <c r="L72" s="2253" t="s">
        <v>340</v>
      </c>
      <c r="M72" s="2255"/>
      <c r="N72" s="2255"/>
      <c r="O72" s="2255"/>
      <c r="P72" s="2255"/>
      <c r="Q72" s="2254"/>
      <c r="R72" s="2256"/>
    </row>
    <row r="73" spans="2:19">
      <c r="B73" s="137"/>
      <c r="C73" s="138"/>
      <c r="D73" s="140" t="s">
        <v>245</v>
      </c>
      <c r="E73" s="140"/>
      <c r="F73" s="140" t="s">
        <v>244</v>
      </c>
      <c r="G73" s="140" t="s">
        <v>238</v>
      </c>
      <c r="H73" s="140" t="s">
        <v>405</v>
      </c>
      <c r="I73" s="140" t="s">
        <v>239</v>
      </c>
      <c r="J73" s="140" t="s">
        <v>384</v>
      </c>
      <c r="K73" s="907"/>
      <c r="L73" s="908" t="s">
        <v>244</v>
      </c>
      <c r="M73" s="141" t="s">
        <v>238</v>
      </c>
      <c r="N73" s="141" t="s">
        <v>405</v>
      </c>
      <c r="O73" s="141" t="s">
        <v>619</v>
      </c>
      <c r="P73" s="140" t="s">
        <v>384</v>
      </c>
      <c r="Q73" s="140"/>
      <c r="R73" s="140" t="s">
        <v>245</v>
      </c>
      <c r="S73" s="910" t="s">
        <v>879</v>
      </c>
    </row>
    <row r="74" spans="2:19">
      <c r="B74" s="137"/>
      <c r="C74" s="138"/>
      <c r="D74" s="137"/>
      <c r="E74" s="138"/>
      <c r="F74" s="138"/>
      <c r="G74" s="138"/>
      <c r="H74" s="138"/>
      <c r="I74" s="138"/>
      <c r="J74" s="138"/>
      <c r="K74" s="138"/>
      <c r="L74" s="912"/>
      <c r="M74" s="900"/>
      <c r="N74" s="900"/>
      <c r="O74" s="900"/>
      <c r="P74" s="159"/>
      <c r="Q74" s="159"/>
      <c r="R74" s="159"/>
      <c r="S74" s="139"/>
    </row>
    <row r="75" spans="2:19">
      <c r="B75" s="137" t="s">
        <v>652</v>
      </c>
      <c r="C75" s="138"/>
      <c r="D75" s="144">
        <f>SUM(F75:J75)</f>
        <v>289.54990254449422</v>
      </c>
      <c r="E75" s="138"/>
      <c r="F75" s="145">
        <f>$R$69*K52</f>
        <v>110.00753737980273</v>
      </c>
      <c r="G75" s="145">
        <f>$R$69*L52</f>
        <v>65.497861921688624</v>
      </c>
      <c r="H75" s="145">
        <f>$R$69*M52</f>
        <v>17.627294609515616</v>
      </c>
      <c r="I75" s="145">
        <f>$R$69*(N52+O52)</f>
        <v>65.977250566004969</v>
      </c>
      <c r="J75" s="935">
        <f>R68</f>
        <v>30.439958067482255</v>
      </c>
      <c r="K75" s="138"/>
      <c r="L75" s="913">
        <f>F75*100000000/'Calc-Units'!E23</f>
        <v>0.37462227273210119</v>
      </c>
      <c r="M75" s="914">
        <f>G75*100000000/'Calc-Units'!D23</f>
        <v>0.22833731517354613</v>
      </c>
      <c r="N75" s="914">
        <f>H75*100000000/'Calc-Units'!C23</f>
        <v>9.1399432798483962E-2</v>
      </c>
      <c r="O75" s="914">
        <f>I75*100000000/'Calc-Units'!C23</f>
        <v>0.34209919405789158</v>
      </c>
      <c r="P75" s="914">
        <f>J75*100000000/'Calc-Units'!E23</f>
        <v>0.1036609540102634</v>
      </c>
      <c r="Q75" s="159"/>
      <c r="R75" s="914"/>
      <c r="S75" s="911"/>
    </row>
    <row r="76" spans="2:19">
      <c r="B76" s="137"/>
      <c r="C76" s="138"/>
      <c r="D76" s="137"/>
      <c r="E76" s="138"/>
      <c r="F76" s="138"/>
      <c r="G76" s="138"/>
      <c r="H76" s="138"/>
      <c r="I76" s="138"/>
      <c r="J76" s="138"/>
      <c r="K76" s="138"/>
      <c r="L76" s="912"/>
      <c r="M76" s="900"/>
      <c r="N76" s="900"/>
      <c r="O76" s="900"/>
      <c r="P76" s="900"/>
      <c r="Q76" s="159"/>
      <c r="R76" s="159"/>
      <c r="S76" s="139"/>
    </row>
    <row r="77" spans="2:19">
      <c r="B77" s="137" t="s">
        <v>431</v>
      </c>
      <c r="C77" s="138"/>
      <c r="D77" s="137"/>
      <c r="E77" s="138"/>
      <c r="F77" s="138"/>
      <c r="G77" s="138"/>
      <c r="H77" s="138"/>
      <c r="I77" s="138"/>
      <c r="J77" s="138"/>
      <c r="K77" s="138"/>
      <c r="L77" s="913">
        <f>L75</f>
        <v>0.37462227273210119</v>
      </c>
      <c r="M77" s="914">
        <f>M75</f>
        <v>0.22833731517354613</v>
      </c>
      <c r="N77" s="914">
        <f>N75</f>
        <v>9.1399432798483962E-2</v>
      </c>
      <c r="O77" s="914">
        <f>O75</f>
        <v>0.34209919405789158</v>
      </c>
      <c r="P77" s="914">
        <f>P75</f>
        <v>0.1036609540102634</v>
      </c>
      <c r="Q77" s="159"/>
      <c r="R77" s="915">
        <f>SUM(L77:P77)</f>
        <v>1.1401191687722863</v>
      </c>
      <c r="S77" s="146"/>
    </row>
    <row r="78" spans="2:19">
      <c r="B78" s="137" t="s">
        <v>432</v>
      </c>
      <c r="C78" s="138"/>
      <c r="D78" s="137"/>
      <c r="E78" s="138"/>
      <c r="F78" s="138"/>
      <c r="G78" s="138"/>
      <c r="H78" s="138"/>
      <c r="I78" s="138"/>
      <c r="J78" s="138"/>
      <c r="K78" s="138"/>
      <c r="L78" s="913"/>
      <c r="M78" s="914"/>
      <c r="N78" s="914"/>
      <c r="O78" s="900"/>
      <c r="P78" s="914"/>
      <c r="Q78" s="159"/>
      <c r="R78" s="915"/>
      <c r="S78" s="146"/>
    </row>
    <row r="79" spans="2:19">
      <c r="B79" s="137" t="s">
        <v>433</v>
      </c>
      <c r="C79" s="138"/>
      <c r="D79" s="137"/>
      <c r="E79" s="138"/>
      <c r="F79" s="138"/>
      <c r="G79" s="138"/>
      <c r="H79" s="138"/>
      <c r="I79" s="138"/>
      <c r="J79" s="138"/>
      <c r="K79" s="138"/>
      <c r="L79" s="913"/>
      <c r="M79" s="900"/>
      <c r="N79" s="900"/>
      <c r="O79" s="900"/>
      <c r="P79" s="914"/>
      <c r="Q79" s="159"/>
      <c r="R79" s="915"/>
      <c r="S79" s="146"/>
    </row>
    <row r="80" spans="2:19">
      <c r="B80" s="137"/>
      <c r="C80" s="138"/>
      <c r="D80" s="137"/>
      <c r="E80" s="138"/>
      <c r="F80" s="138"/>
      <c r="G80" s="138"/>
      <c r="H80" s="138"/>
      <c r="I80" s="138"/>
      <c r="J80" s="138"/>
      <c r="K80" s="138"/>
      <c r="L80" s="912"/>
      <c r="M80" s="900"/>
      <c r="N80" s="900"/>
      <c r="O80" s="900"/>
      <c r="P80" s="900"/>
      <c r="Q80" s="159"/>
      <c r="R80" s="159"/>
      <c r="S80" s="139"/>
    </row>
    <row r="81" spans="2:20">
      <c r="B81" s="137" t="s">
        <v>431</v>
      </c>
      <c r="C81" s="138"/>
      <c r="D81" s="137"/>
      <c r="E81" s="138"/>
      <c r="F81" s="138"/>
      <c r="G81" s="138"/>
      <c r="H81" s="138"/>
      <c r="I81" s="138"/>
      <c r="J81" s="138"/>
      <c r="K81" s="138"/>
      <c r="L81" s="916">
        <f>L77/$R77</f>
        <v>0.32858168075141253</v>
      </c>
      <c r="M81" s="917">
        <f>M77/$R77</f>
        <v>0.20027495495881054</v>
      </c>
      <c r="N81" s="917">
        <f>N77/$R77</f>
        <v>8.0166560919158608E-2</v>
      </c>
      <c r="O81" s="917">
        <f>$O77/$R77*$N52/($N52+$O52)</f>
        <v>0.16092957631594221</v>
      </c>
      <c r="P81" s="917">
        <f>P77/$R77</f>
        <v>9.0921157059299818E-2</v>
      </c>
      <c r="Q81" s="918"/>
      <c r="R81" s="919">
        <f>SUM(L81:P81) + S81</f>
        <v>1</v>
      </c>
      <c r="S81" s="215">
        <f>$O77/$R77*$O52/($N52+$O52)</f>
        <v>0.13912606999537624</v>
      </c>
      <c r="T81" s="484"/>
    </row>
    <row r="82" spans="2:20">
      <c r="B82" s="137" t="s">
        <v>432</v>
      </c>
      <c r="C82" s="138"/>
      <c r="D82" s="137"/>
      <c r="E82" s="138"/>
      <c r="F82" s="138"/>
      <c r="G82" s="138"/>
      <c r="H82" s="138"/>
      <c r="I82" s="138"/>
      <c r="J82" s="138"/>
      <c r="K82" s="138"/>
      <c r="L82" s="920"/>
      <c r="M82" s="921"/>
      <c r="N82" s="921"/>
      <c r="O82" s="921"/>
      <c r="P82" s="921"/>
      <c r="Q82" s="922"/>
      <c r="R82" s="922"/>
      <c r="S82" s="148"/>
    </row>
    <row r="83" spans="2:20" ht="13.5" thickBot="1">
      <c r="B83" s="149" t="s">
        <v>433</v>
      </c>
      <c r="C83" s="150"/>
      <c r="D83" s="149"/>
      <c r="E83" s="150"/>
      <c r="F83" s="150"/>
      <c r="G83" s="150"/>
      <c r="H83" s="150"/>
      <c r="I83" s="150"/>
      <c r="J83" s="150"/>
      <c r="K83" s="150"/>
      <c r="L83" s="923"/>
      <c r="M83" s="924"/>
      <c r="N83" s="924"/>
      <c r="O83" s="924"/>
      <c r="P83" s="924"/>
      <c r="Q83" s="925"/>
      <c r="R83" s="925"/>
      <c r="S83" s="909"/>
    </row>
  </sheetData>
  <sheetProtection sheet="1" objects="1" scenarios="1"/>
  <mergeCells count="8">
    <mergeCell ref="D72:J72"/>
    <mergeCell ref="L72:R72"/>
    <mergeCell ref="E45:I45"/>
    <mergeCell ref="K45:N45"/>
    <mergeCell ref="P45:T45"/>
    <mergeCell ref="D71:K71"/>
    <mergeCell ref="L71:R71"/>
    <mergeCell ref="B60:G60"/>
  </mergeCells>
  <phoneticPr fontId="0" type="noConversion"/>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00"/>
    <pageSetUpPr fitToPage="1"/>
  </sheetPr>
  <dimension ref="A1:G40"/>
  <sheetViews>
    <sheetView showGridLines="0" workbookViewId="0"/>
  </sheetViews>
  <sheetFormatPr defaultColWidth="8.85546875" defaultRowHeight="12.75"/>
  <cols>
    <col min="1" max="1" width="44" customWidth="1"/>
    <col min="2" max="7" width="13.42578125" customWidth="1"/>
    <col min="8" max="8" width="9.140625" customWidth="1"/>
  </cols>
  <sheetData>
    <row r="1" spans="1:7" s="1263" customFormat="1" ht="19.5">
      <c r="A1" s="1261" t="str">
        <f>"Allocation Summary for Method M ("&amp;'Calc-Net capex'!B5&amp;") for "&amp;Inputs!B6&amp;" in "&amp;Inputs!C6&amp;"  Status: "&amp;Inputs!D6&amp;""</f>
        <v>Allocation Summary for Method M (LR1) for WPD East Midlands in 2015/16  Status: Indicative</v>
      </c>
    </row>
    <row r="3" spans="1:7" ht="12.75" customHeight="1">
      <c r="A3" s="176" t="s">
        <v>891</v>
      </c>
      <c r="B3" s="2266" t="s">
        <v>342</v>
      </c>
      <c r="C3" s="2266"/>
      <c r="D3" s="2266"/>
      <c r="E3" s="2266"/>
      <c r="F3" s="2266"/>
      <c r="G3" s="2266"/>
    </row>
    <row r="4" spans="1:7">
      <c r="A4" s="180"/>
      <c r="B4" s="837" t="s">
        <v>879</v>
      </c>
      <c r="C4" s="827" t="s">
        <v>619</v>
      </c>
      <c r="D4" s="828" t="s">
        <v>373</v>
      </c>
      <c r="E4" s="827" t="s">
        <v>238</v>
      </c>
      <c r="F4" s="827" t="s">
        <v>244</v>
      </c>
      <c r="G4" s="829" t="s">
        <v>445</v>
      </c>
    </row>
    <row r="5" spans="1:7">
      <c r="A5" s="936" t="s">
        <v>482</v>
      </c>
      <c r="B5" s="203">
        <f>'DNO Final Allocation'!J49</f>
        <v>0.22719218745318762</v>
      </c>
      <c r="C5" s="830">
        <f>'DNO Final Allocation'!I49</f>
        <v>0.25024497223459857</v>
      </c>
      <c r="D5" s="830">
        <f>'DNO Final Allocation'!H49</f>
        <v>7.9091216844305284E-2</v>
      </c>
      <c r="E5" s="830">
        <f>'DNO Final Allocation'!G49</f>
        <v>0.19040479200835012</v>
      </c>
      <c r="F5" s="830">
        <f>'DNO Final Allocation'!E49</f>
        <v>0.25306683145955849</v>
      </c>
      <c r="G5" s="831" t="s">
        <v>476</v>
      </c>
    </row>
    <row r="6" spans="1:7">
      <c r="A6" s="937" t="s">
        <v>437</v>
      </c>
      <c r="B6" s="204">
        <f>'DNO Final Allocation'!J47</f>
        <v>6.294445113993781E-2</v>
      </c>
      <c r="C6" s="832">
        <f>'DNO Final Allocation'!I48</f>
        <v>7.9148932039334235E-2</v>
      </c>
      <c r="D6" s="832">
        <f>'DNO Final Allocation'!H48</f>
        <v>6.2443379450552679E-2</v>
      </c>
      <c r="E6" s="832">
        <f>'DNO Final Allocation'!G48</f>
        <v>0.28428522966927255</v>
      </c>
      <c r="F6" s="832">
        <f>'DNO Final Allocation'!E48</f>
        <v>0.51117800770090283</v>
      </c>
      <c r="G6" s="833" t="s">
        <v>476</v>
      </c>
    </row>
    <row r="7" spans="1:7">
      <c r="A7" s="938" t="s">
        <v>341</v>
      </c>
      <c r="B7" s="205">
        <f>'DNO Final Allocation'!J48</f>
        <v>6.294445113993781E-2</v>
      </c>
      <c r="C7" s="834">
        <f>'DNO Final Allocation'!I47</f>
        <v>7.9148932039334235E-2</v>
      </c>
      <c r="D7" s="834">
        <f>'DNO Final Allocation'!H47</f>
        <v>6.2443379450552679E-2</v>
      </c>
      <c r="E7" s="834">
        <f>'DNO Final Allocation'!G47</f>
        <v>0.28428522966927255</v>
      </c>
      <c r="F7" s="834">
        <f>'DNO Final Allocation'!E47</f>
        <v>0.51117800770090283</v>
      </c>
      <c r="G7" s="835" t="s">
        <v>476</v>
      </c>
    </row>
    <row r="8" spans="1:7">
      <c r="A8" s="939" t="s">
        <v>444</v>
      </c>
      <c r="B8" s="206">
        <f>'DNO Final Allocation'!O52</f>
        <v>0.11806382414399404</v>
      </c>
      <c r="C8" s="482">
        <f>'DNO Final Allocation'!N52</f>
        <v>0.13656650546058205</v>
      </c>
      <c r="D8" s="825">
        <f>'DNO Final Allocation'!M52</f>
        <v>6.8030174006229613E-2</v>
      </c>
      <c r="E8" s="825">
        <f>'DNO Final Allocation'!L52</f>
        <v>0.25278019357338694</v>
      </c>
      <c r="F8" s="825">
        <f>'DNO Final Allocation'!K52</f>
        <v>0.42455930281580728</v>
      </c>
      <c r="G8" s="482" t="s">
        <v>476</v>
      </c>
    </row>
    <row r="9" spans="1:7" ht="41.25" customHeight="1">
      <c r="A9" s="940" t="s">
        <v>892</v>
      </c>
      <c r="B9" s="202">
        <f>'DNO Final Allocation'!S81</f>
        <v>0.13912606999537624</v>
      </c>
      <c r="C9" s="826">
        <f>'DNO Final Allocation'!O81</f>
        <v>0.16092957631594221</v>
      </c>
      <c r="D9" s="826">
        <f>'DNO Final Allocation'!N81</f>
        <v>8.0166560919158608E-2</v>
      </c>
      <c r="E9" s="826">
        <f>'DNO Final Allocation'!M81</f>
        <v>0.20027495495881054</v>
      </c>
      <c r="F9" s="826">
        <f>'DNO Final Allocation'!L81</f>
        <v>0.32858168075141253</v>
      </c>
      <c r="G9" s="826">
        <f>'DNO Final Allocation'!P81</f>
        <v>9.0921157059299818E-2</v>
      </c>
    </row>
    <row r="10" spans="1:7">
      <c r="A10" s="940" t="s">
        <v>441</v>
      </c>
      <c r="B10" s="221">
        <f>'Calc DNO Opex Allocation'!AD49</f>
        <v>0.59367432860874136</v>
      </c>
      <c r="C10" s="836">
        <f>'Calc DNO Opex Allocation'!AC49</f>
        <v>0.59367432860874136</v>
      </c>
      <c r="D10" s="836">
        <f>'Calc DNO Opex Allocation'!AB49</f>
        <v>0.89252302545347673</v>
      </c>
      <c r="E10" s="836">
        <f>'Calc DNO Opex Allocation'!AA49</f>
        <v>0.91577225669124929</v>
      </c>
      <c r="F10" s="836">
        <f>'Calc DNO Opex Allocation'!Z49</f>
        <v>0.74752510869870303</v>
      </c>
      <c r="G10" s="836" t="s">
        <v>476</v>
      </c>
    </row>
    <row r="12" spans="1:7" ht="12" customHeight="1"/>
    <row r="22" ht="12" customHeight="1"/>
    <row r="31" ht="12" customHeight="1"/>
    <row r="40" ht="12" customHeight="1"/>
  </sheetData>
  <sheetProtection sheet="1" objects="1" scenarios="1"/>
  <mergeCells count="1">
    <mergeCell ref="B3:G3"/>
  </mergeCells>
  <phoneticPr fontId="2"/>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FFF00"/>
  </sheetPr>
  <dimension ref="A1:F7"/>
  <sheetViews>
    <sheetView showGridLines="0" tabSelected="1" workbookViewId="0">
      <selection activeCell="C6" sqref="C6:F6"/>
    </sheetView>
  </sheetViews>
  <sheetFormatPr defaultColWidth="17.7109375" defaultRowHeight="12.75"/>
  <sheetData>
    <row r="1" spans="1:6" s="1263" customFormat="1" ht="19.5">
      <c r="A1" s="1261" t="str">
        <f>"Results for Method M ("&amp;'Calc-Net capex'!B5&amp;") for "&amp;Inputs!B6&amp;" in "&amp;Inputs!C6&amp;"  Status: "&amp;Inputs!D6&amp;""</f>
        <v>Results for Method M (LR1) for WPD East Midlands in 2015/16  Status: Indicative</v>
      </c>
    </row>
    <row r="3" spans="1:6" s="1263" customFormat="1" ht="17.25">
      <c r="A3" s="1264" t="s">
        <v>925</v>
      </c>
    </row>
    <row r="4" spans="1:6" s="1263" customFormat="1" ht="17.25">
      <c r="A4" s="1264"/>
    </row>
    <row r="5" spans="1:6" s="1263" customFormat="1" ht="25.5">
      <c r="A5" s="1277"/>
      <c r="B5" s="1278" t="s">
        <v>348</v>
      </c>
      <c r="C5" s="1278" t="s">
        <v>349</v>
      </c>
      <c r="D5" s="1278" t="s">
        <v>350</v>
      </c>
      <c r="E5" s="1278" t="s">
        <v>351</v>
      </c>
      <c r="F5" s="1278" t="s">
        <v>352</v>
      </c>
    </row>
    <row r="6" spans="1:6" s="1263" customFormat="1" ht="15">
      <c r="A6" s="1279" t="s">
        <v>353</v>
      </c>
      <c r="B6" s="1280"/>
      <c r="C6" s="1280">
        <f>'Allocation Summary'!C9*(1-'Allocation Summary'!C10*Inputs!B12)+'Allocation Summary'!B9</f>
        <v>0.29059721025222551</v>
      </c>
      <c r="D6" s="1280">
        <f>'Allocation Summary'!C9 +'Allocation Summary'!D9+('Allocation Summary'!E9*(1-Inputs!B13*'Allocation Summary'!E10))+'Allocation Summary'!B9</f>
        <v>0.47962372608553505</v>
      </c>
      <c r="E6" s="1280">
        <f>('Allocation Summary'!D9 + 'Allocation Summary'!E9  *(1-Inputs!B13* 'Allocation Summary'!E10))/(1-'Allocation Summary'!C9-'Allocation Summary'!B9)</f>
        <v>0.25654622232167351</v>
      </c>
      <c r="F6" s="1280">
        <f>'Allocation Summary'!E9*(1-Inputs!B13*'Allocation Summary'!E10)/(1-'Allocation Summary'!B9-'Allocation Summary'!C9-'Allocation Summary'!D9)</f>
        <v>0.16038251130437403</v>
      </c>
    </row>
    <row r="7" spans="1:6" s="1263" customFormat="1" ht="15"/>
  </sheetData>
  <sheetProtection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29" t="s">
        <v>200</v>
      </c>
      <c r="D1" s="229" t="s">
        <v>196</v>
      </c>
      <c r="E1" s="229" t="s">
        <v>197</v>
      </c>
      <c r="F1" s="229" t="s">
        <v>198</v>
      </c>
      <c r="G1" s="229" t="s">
        <v>199</v>
      </c>
      <c r="H1" s="229" t="s">
        <v>35</v>
      </c>
      <c r="J1" s="230"/>
    </row>
    <row r="2" spans="1:10">
      <c r="C2" s="229" t="s">
        <v>201</v>
      </c>
      <c r="D2" s="229" t="s">
        <v>201</v>
      </c>
      <c r="E2" s="229" t="s">
        <v>201</v>
      </c>
      <c r="F2" s="229" t="s">
        <v>201</v>
      </c>
      <c r="G2" s="229" t="s">
        <v>201</v>
      </c>
      <c r="H2" s="229" t="s">
        <v>201</v>
      </c>
    </row>
    <row r="3" spans="1:10">
      <c r="A3">
        <v>1</v>
      </c>
      <c r="B3" t="s">
        <v>596</v>
      </c>
      <c r="C3" s="883"/>
      <c r="D3" s="884">
        <v>947.9</v>
      </c>
      <c r="E3" s="884">
        <v>989.2</v>
      </c>
      <c r="F3" s="884">
        <v>1030.2</v>
      </c>
      <c r="G3" s="884">
        <v>1064.8</v>
      </c>
      <c r="H3" s="884">
        <v>1093.2</v>
      </c>
      <c r="I3" t="s">
        <v>853</v>
      </c>
    </row>
    <row r="4" spans="1:10">
      <c r="A4">
        <v>2</v>
      </c>
      <c r="B4" t="s">
        <v>598</v>
      </c>
      <c r="C4" s="883"/>
      <c r="D4" s="884">
        <v>117.8</v>
      </c>
      <c r="E4" s="884">
        <v>117.5</v>
      </c>
      <c r="F4" s="884">
        <v>117</v>
      </c>
      <c r="G4" s="884">
        <v>116.6</v>
      </c>
      <c r="H4" s="884">
        <v>116.4</v>
      </c>
      <c r="I4" t="s">
        <v>853</v>
      </c>
    </row>
    <row r="5" spans="1:10">
      <c r="A5">
        <v>3</v>
      </c>
      <c r="B5" t="s">
        <v>437</v>
      </c>
      <c r="C5" s="883"/>
      <c r="D5" s="884">
        <v>-76.5</v>
      </c>
      <c r="E5" s="884">
        <v>-76.5</v>
      </c>
      <c r="F5" s="884">
        <v>-82.4</v>
      </c>
      <c r="G5" s="884">
        <v>-88.2</v>
      </c>
      <c r="H5" s="884">
        <v>-94.1</v>
      </c>
      <c r="I5" t="s">
        <v>853</v>
      </c>
    </row>
    <row r="6" spans="1:10">
      <c r="A6">
        <v>4</v>
      </c>
      <c r="B6" t="s">
        <v>361</v>
      </c>
      <c r="C6" s="883"/>
      <c r="D6" s="884">
        <v>989.2</v>
      </c>
      <c r="E6" s="884">
        <v>1030.2</v>
      </c>
      <c r="F6" s="884">
        <v>1064.8</v>
      </c>
      <c r="G6" s="884">
        <v>1093.2</v>
      </c>
      <c r="H6" s="884">
        <v>1115.5999999999999</v>
      </c>
      <c r="I6" t="s">
        <v>853</v>
      </c>
    </row>
    <row r="7" spans="1:10">
      <c r="A7">
        <v>5</v>
      </c>
      <c r="B7" t="s">
        <v>149</v>
      </c>
      <c r="C7" s="883"/>
      <c r="D7" s="884">
        <v>947.9</v>
      </c>
      <c r="E7" s="884"/>
      <c r="F7" s="884"/>
      <c r="G7" s="884"/>
      <c r="H7" s="884">
        <v>851.7</v>
      </c>
    </row>
    <row r="8" spans="1:10">
      <c r="A8">
        <v>6</v>
      </c>
      <c r="B8" t="s">
        <v>195</v>
      </c>
      <c r="C8" s="883"/>
      <c r="D8" s="884"/>
      <c r="E8" s="884"/>
      <c r="F8" s="884"/>
      <c r="G8" s="884"/>
      <c r="H8" s="884">
        <v>96.2</v>
      </c>
    </row>
    <row r="9" spans="1:10">
      <c r="A9" s="483" t="s">
        <v>247</v>
      </c>
      <c r="D9" s="167"/>
      <c r="E9" s="167"/>
      <c r="F9" s="167"/>
      <c r="G9" s="167"/>
      <c r="H9" s="167"/>
    </row>
    <row r="10" spans="1:10">
      <c r="A10">
        <v>7</v>
      </c>
      <c r="B10" t="s">
        <v>150</v>
      </c>
      <c r="C10" s="883"/>
      <c r="D10" s="884">
        <v>75.2</v>
      </c>
      <c r="E10" s="884">
        <v>77.7</v>
      </c>
      <c r="F10" s="884">
        <v>78.2</v>
      </c>
      <c r="G10" s="884">
        <v>76.900000000000006</v>
      </c>
      <c r="H10" s="884">
        <v>76.2</v>
      </c>
      <c r="I10" t="s">
        <v>853</v>
      </c>
    </row>
    <row r="11" spans="1:10">
      <c r="A11">
        <v>8</v>
      </c>
      <c r="B11" t="s">
        <v>151</v>
      </c>
      <c r="C11" s="883"/>
      <c r="D11" s="884">
        <v>110.3</v>
      </c>
      <c r="E11" s="884">
        <v>109.9</v>
      </c>
      <c r="F11" s="884">
        <v>109.4</v>
      </c>
      <c r="G11" s="884">
        <v>109</v>
      </c>
      <c r="H11" s="884">
        <v>108.8</v>
      </c>
      <c r="I11" t="s">
        <v>853</v>
      </c>
    </row>
    <row r="12" spans="1:10">
      <c r="A12">
        <v>9</v>
      </c>
      <c r="B12" t="s">
        <v>152</v>
      </c>
      <c r="C12" s="883"/>
      <c r="D12" s="884">
        <v>13</v>
      </c>
      <c r="E12" s="884">
        <v>13.1</v>
      </c>
      <c r="F12" s="884">
        <v>13.1</v>
      </c>
      <c r="G12" s="884">
        <v>13.1</v>
      </c>
      <c r="H12" s="884">
        <v>13.1</v>
      </c>
      <c r="I12" t="s">
        <v>853</v>
      </c>
    </row>
    <row r="13" spans="1:10">
      <c r="A13">
        <v>10</v>
      </c>
      <c r="B13" t="s">
        <v>335</v>
      </c>
      <c r="C13" s="883"/>
      <c r="D13" s="884">
        <v>27.2</v>
      </c>
      <c r="E13" s="884">
        <v>26.3</v>
      </c>
      <c r="F13" s="884">
        <v>26.4</v>
      </c>
      <c r="G13" s="884">
        <v>26.8</v>
      </c>
      <c r="H13" s="884">
        <v>26.8</v>
      </c>
      <c r="I13" t="s">
        <v>853</v>
      </c>
    </row>
    <row r="14" spans="1:10">
      <c r="A14">
        <v>11</v>
      </c>
      <c r="B14" t="s">
        <v>153</v>
      </c>
      <c r="C14" s="883"/>
      <c r="D14" s="884">
        <v>-0.8</v>
      </c>
      <c r="E14" s="884">
        <v>0.6</v>
      </c>
      <c r="F14" s="884">
        <v>-0.6</v>
      </c>
      <c r="G14" s="884">
        <v>-0.6</v>
      </c>
      <c r="H14" s="884">
        <v>-0.2</v>
      </c>
      <c r="I14" t="s">
        <v>853</v>
      </c>
    </row>
    <row r="15" spans="1:10">
      <c r="A15">
        <v>12</v>
      </c>
      <c r="B15" t="s">
        <v>154</v>
      </c>
      <c r="C15" s="883"/>
      <c r="D15" s="884">
        <v>1.4</v>
      </c>
      <c r="E15" s="884">
        <v>1.4</v>
      </c>
      <c r="F15" s="884">
        <v>1.5</v>
      </c>
      <c r="G15" s="884">
        <v>1.5</v>
      </c>
      <c r="H15" s="884">
        <v>1.6</v>
      </c>
      <c r="I15" t="s">
        <v>853</v>
      </c>
    </row>
    <row r="16" spans="1:10">
      <c r="A16">
        <v>13</v>
      </c>
      <c r="B16" t="s">
        <v>179</v>
      </c>
      <c r="C16" s="883"/>
      <c r="D16" s="885" t="s">
        <v>1020</v>
      </c>
      <c r="E16" s="885" t="s">
        <v>1020</v>
      </c>
      <c r="F16" s="885" t="s">
        <v>1020</v>
      </c>
      <c r="G16" s="885" t="s">
        <v>1020</v>
      </c>
      <c r="H16" s="885" t="s">
        <v>1020</v>
      </c>
      <c r="I16" t="s">
        <v>853</v>
      </c>
    </row>
    <row r="17" spans="1:9">
      <c r="A17">
        <v>14</v>
      </c>
      <c r="B17" t="s">
        <v>180</v>
      </c>
      <c r="C17" s="883"/>
      <c r="D17" s="885" t="s">
        <v>1020</v>
      </c>
      <c r="E17" s="885" t="s">
        <v>1020</v>
      </c>
      <c r="F17" s="885" t="s">
        <v>1020</v>
      </c>
      <c r="G17" s="885" t="s">
        <v>1020</v>
      </c>
      <c r="H17" s="885" t="s">
        <v>1020</v>
      </c>
      <c r="I17" t="s">
        <v>853</v>
      </c>
    </row>
    <row r="18" spans="1:9">
      <c r="A18">
        <v>15</v>
      </c>
      <c r="B18" t="s">
        <v>364</v>
      </c>
      <c r="C18" s="883"/>
      <c r="D18" s="885">
        <v>1.5</v>
      </c>
      <c r="E18" s="885" t="s">
        <v>1020</v>
      </c>
      <c r="F18" s="885" t="s">
        <v>1020</v>
      </c>
      <c r="G18" s="885" t="s">
        <v>1020</v>
      </c>
      <c r="H18" s="885" t="s">
        <v>1020</v>
      </c>
      <c r="I18" t="s">
        <v>853</v>
      </c>
    </row>
    <row r="19" spans="1:9">
      <c r="A19">
        <v>16</v>
      </c>
      <c r="B19" t="s">
        <v>651</v>
      </c>
      <c r="C19" s="886"/>
      <c r="D19" s="887">
        <v>227.7</v>
      </c>
      <c r="E19" s="887">
        <v>229</v>
      </c>
      <c r="F19" s="887">
        <v>228.1</v>
      </c>
      <c r="G19" s="887">
        <v>226.8</v>
      </c>
      <c r="H19" s="887">
        <v>226.3</v>
      </c>
      <c r="I19" t="s">
        <v>853</v>
      </c>
    </row>
    <row r="20" spans="1:9">
      <c r="A20">
        <v>17</v>
      </c>
      <c r="B20" t="s">
        <v>181</v>
      </c>
      <c r="C20" s="883"/>
      <c r="D20" s="884">
        <v>221.6</v>
      </c>
      <c r="E20" s="884">
        <v>211.2</v>
      </c>
      <c r="F20" s="884">
        <v>199.3</v>
      </c>
      <c r="G20" s="884">
        <v>187.7</v>
      </c>
      <c r="H20" s="884">
        <v>177.5</v>
      </c>
      <c r="I20" t="s">
        <v>853</v>
      </c>
    </row>
    <row r="21" spans="1:9">
      <c r="A21">
        <v>18</v>
      </c>
      <c r="B21" t="s">
        <v>365</v>
      </c>
      <c r="C21" s="883"/>
      <c r="D21" s="884"/>
      <c r="E21" s="884"/>
      <c r="F21" s="884"/>
      <c r="G21" s="884"/>
      <c r="H21" s="884">
        <v>96.2</v>
      </c>
    </row>
    <row r="22" spans="1:9">
      <c r="A22">
        <v>19</v>
      </c>
      <c r="B22" s="484" t="s">
        <v>182</v>
      </c>
      <c r="C22" s="883"/>
      <c r="D22" s="884"/>
      <c r="E22" s="884"/>
      <c r="F22" s="884"/>
      <c r="G22" s="884"/>
      <c r="H22" s="887">
        <v>1093.5</v>
      </c>
    </row>
    <row r="23" spans="1:9">
      <c r="A23" s="483" t="s">
        <v>775</v>
      </c>
      <c r="D23" s="167"/>
      <c r="E23" s="167"/>
      <c r="F23" s="167"/>
      <c r="G23" s="167"/>
      <c r="H23" s="167"/>
    </row>
    <row r="24" spans="1:9">
      <c r="A24">
        <v>20</v>
      </c>
      <c r="B24" t="s">
        <v>434</v>
      </c>
      <c r="C24" s="883"/>
      <c r="D24" s="888">
        <v>1</v>
      </c>
      <c r="E24" s="888">
        <v>1.0089999999999999</v>
      </c>
      <c r="F24" s="888">
        <v>1.02</v>
      </c>
      <c r="G24" s="888">
        <v>1.0329999999999999</v>
      </c>
      <c r="H24" s="888">
        <v>1.044</v>
      </c>
      <c r="I24" t="s">
        <v>853</v>
      </c>
    </row>
    <row r="25" spans="1:9">
      <c r="A25">
        <v>21</v>
      </c>
      <c r="B25" t="s">
        <v>435</v>
      </c>
      <c r="C25" s="883"/>
      <c r="D25" s="888">
        <v>0.97299999999999998</v>
      </c>
      <c r="E25" s="888">
        <v>0.93100000000000005</v>
      </c>
      <c r="F25" s="888">
        <v>0.89100000000000001</v>
      </c>
      <c r="G25" s="888">
        <v>0.85499999999999998</v>
      </c>
      <c r="H25" s="888">
        <v>0.81899999999999995</v>
      </c>
      <c r="I25" t="s">
        <v>853</v>
      </c>
    </row>
    <row r="26" spans="1:9">
      <c r="A26">
        <v>22</v>
      </c>
      <c r="B26" t="s">
        <v>436</v>
      </c>
      <c r="C26" s="883">
        <v>256.2</v>
      </c>
      <c r="D26" s="884">
        <v>241.2</v>
      </c>
      <c r="E26" s="884">
        <v>243.4</v>
      </c>
      <c r="F26" s="884">
        <v>246.1</v>
      </c>
      <c r="G26" s="884">
        <v>249.1</v>
      </c>
      <c r="H26" s="884">
        <v>251.8</v>
      </c>
      <c r="I26" t="s">
        <v>853</v>
      </c>
    </row>
    <row r="27" spans="1:9">
      <c r="A27">
        <v>23</v>
      </c>
      <c r="B27" t="s">
        <v>183</v>
      </c>
      <c r="C27" s="883"/>
      <c r="D27" s="884">
        <v>3.5</v>
      </c>
      <c r="E27" s="884">
        <v>3.5</v>
      </c>
      <c r="F27" s="884">
        <v>3.5</v>
      </c>
      <c r="G27" s="884">
        <v>3.5</v>
      </c>
      <c r="H27" s="884">
        <v>3.5</v>
      </c>
      <c r="I27" t="s">
        <v>853</v>
      </c>
    </row>
    <row r="28" spans="1:9">
      <c r="A28">
        <v>24</v>
      </c>
      <c r="B28" t="s">
        <v>359</v>
      </c>
      <c r="C28" s="883"/>
      <c r="D28" s="884">
        <v>244.7</v>
      </c>
      <c r="E28" s="884">
        <v>246.9</v>
      </c>
      <c r="F28" s="884">
        <v>249.6</v>
      </c>
      <c r="G28" s="884">
        <v>252.6</v>
      </c>
      <c r="H28" s="884">
        <v>255.3</v>
      </c>
      <c r="I28" t="s">
        <v>853</v>
      </c>
    </row>
    <row r="29" spans="1:9">
      <c r="A29">
        <v>25</v>
      </c>
      <c r="B29" t="s">
        <v>184</v>
      </c>
      <c r="C29" s="883"/>
      <c r="D29" s="884">
        <v>238.2</v>
      </c>
      <c r="E29" s="884">
        <v>227.7</v>
      </c>
      <c r="F29" s="884">
        <v>218.1</v>
      </c>
      <c r="G29" s="884">
        <v>209.2</v>
      </c>
      <c r="H29" s="884">
        <v>200.3</v>
      </c>
      <c r="I29" t="s">
        <v>853</v>
      </c>
    </row>
    <row r="30" spans="1:9">
      <c r="A30">
        <v>26</v>
      </c>
      <c r="B30" t="s">
        <v>182</v>
      </c>
      <c r="C30" s="883"/>
      <c r="D30" s="884"/>
      <c r="E30" s="884"/>
      <c r="F30" s="884"/>
      <c r="G30" s="884"/>
      <c r="H30" s="887">
        <v>1093.5</v>
      </c>
    </row>
    <row r="32" spans="1:9">
      <c r="A32" t="s">
        <v>131</v>
      </c>
    </row>
    <row r="33" spans="1:1">
      <c r="A33" s="485" t="s">
        <v>225</v>
      </c>
    </row>
  </sheetData>
  <phoneticPr fontId="0" type="noConversion"/>
  <hyperlinks>
    <hyperlink ref="A33" r:id="rId1"/>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1342" t="s">
        <v>852</v>
      </c>
      <c r="B1" s="1342"/>
      <c r="F1" t="s">
        <v>853</v>
      </c>
      <c r="G1" s="230" t="s">
        <v>1021</v>
      </c>
      <c r="I1" t="s">
        <v>853</v>
      </c>
      <c r="K1" t="s">
        <v>853</v>
      </c>
      <c r="L1" t="s">
        <v>853</v>
      </c>
      <c r="N1" t="s">
        <v>853</v>
      </c>
      <c r="P1" t="s">
        <v>853</v>
      </c>
      <c r="Q1" t="s">
        <v>853</v>
      </c>
      <c r="S1" t="s">
        <v>853</v>
      </c>
      <c r="U1" t="s">
        <v>853</v>
      </c>
      <c r="V1" t="s">
        <v>853</v>
      </c>
      <c r="X1" t="s">
        <v>853</v>
      </c>
      <c r="Z1" t="s">
        <v>853</v>
      </c>
      <c r="AA1" t="s">
        <v>853</v>
      </c>
      <c r="AC1" t="s">
        <v>853</v>
      </c>
      <c r="AE1" t="s">
        <v>853</v>
      </c>
    </row>
    <row r="2" spans="1:31">
      <c r="A2" s="1342"/>
      <c r="B2" s="1342"/>
    </row>
    <row r="3" spans="1:31">
      <c r="A3" s="1342" t="s">
        <v>686</v>
      </c>
      <c r="B3" s="1342"/>
    </row>
    <row r="4" spans="1:31">
      <c r="A4" s="1342"/>
      <c r="B4" s="1342"/>
    </row>
    <row r="5" spans="1:31">
      <c r="A5" s="1342"/>
      <c r="B5" s="1342" t="s">
        <v>687</v>
      </c>
    </row>
    <row r="6" spans="1:31" ht="13.5" thickBot="1"/>
    <row r="7" spans="1:31" ht="13.5" customHeight="1" thickBot="1">
      <c r="B7" s="1886" t="s">
        <v>635</v>
      </c>
      <c r="C7" s="1887"/>
      <c r="D7" s="1887"/>
      <c r="E7" s="1888"/>
      <c r="F7" s="1883" t="s">
        <v>688</v>
      </c>
      <c r="G7" s="1880" t="s">
        <v>32</v>
      </c>
      <c r="H7" s="1880"/>
      <c r="I7" s="1880"/>
      <c r="J7" s="1880"/>
      <c r="K7" s="1881"/>
      <c r="L7" s="1880" t="s">
        <v>33</v>
      </c>
      <c r="M7" s="1880"/>
      <c r="N7" s="1880"/>
      <c r="O7" s="1880"/>
      <c r="P7" s="1881"/>
      <c r="Q7" s="1879" t="s">
        <v>29</v>
      </c>
      <c r="R7" s="1880"/>
      <c r="S7" s="1880"/>
      <c r="T7" s="1880"/>
      <c r="U7" s="1881"/>
      <c r="V7" s="1879" t="s">
        <v>34</v>
      </c>
      <c r="W7" s="1880"/>
      <c r="X7" s="1880"/>
      <c r="Y7" s="1880"/>
      <c r="Z7" s="1881"/>
      <c r="AA7" s="1879" t="s">
        <v>35</v>
      </c>
      <c r="AB7" s="1880"/>
      <c r="AC7" s="1880"/>
      <c r="AD7" s="1880"/>
      <c r="AE7" s="1881"/>
    </row>
    <row r="8" spans="1:31" ht="38.25">
      <c r="B8" s="1877"/>
      <c r="C8" s="1882"/>
      <c r="D8" s="1882"/>
      <c r="E8" s="1878"/>
      <c r="F8" s="1884"/>
      <c r="G8" s="1882" t="s">
        <v>855</v>
      </c>
      <c r="H8" s="1882"/>
      <c r="I8" s="1877" t="s">
        <v>692</v>
      </c>
      <c r="J8" s="1882"/>
      <c r="K8" s="1335" t="s">
        <v>693</v>
      </c>
      <c r="L8" s="1882" t="s">
        <v>855</v>
      </c>
      <c r="M8" s="1882"/>
      <c r="N8" s="1877" t="s">
        <v>692</v>
      </c>
      <c r="O8" s="1878"/>
      <c r="P8" s="1334" t="s">
        <v>693</v>
      </c>
      <c r="Q8" s="1882" t="s">
        <v>855</v>
      </c>
      <c r="R8" s="1882"/>
      <c r="S8" s="1877" t="s">
        <v>692</v>
      </c>
      <c r="T8" s="1882"/>
      <c r="U8" s="1335" t="s">
        <v>693</v>
      </c>
      <c r="V8" s="1882" t="s">
        <v>855</v>
      </c>
      <c r="W8" s="1882"/>
      <c r="X8" s="1877" t="s">
        <v>692</v>
      </c>
      <c r="Y8" s="1878"/>
      <c r="Z8" s="1334" t="s">
        <v>693</v>
      </c>
      <c r="AA8" s="1882" t="s">
        <v>855</v>
      </c>
      <c r="AB8" s="1882"/>
      <c r="AC8" s="1877" t="s">
        <v>692</v>
      </c>
      <c r="AD8" s="1878"/>
      <c r="AE8" s="1334" t="s">
        <v>540</v>
      </c>
    </row>
    <row r="9" spans="1:31" ht="16.5" customHeight="1" thickBot="1">
      <c r="B9" s="1889"/>
      <c r="C9" s="1890"/>
      <c r="D9" s="1890"/>
      <c r="E9" s="1891"/>
      <c r="F9" s="1885"/>
      <c r="G9" s="1343" t="s">
        <v>541</v>
      </c>
      <c r="H9" s="1344" t="s">
        <v>542</v>
      </c>
      <c r="I9" s="1345" t="s">
        <v>541</v>
      </c>
      <c r="J9" s="1346" t="s">
        <v>542</v>
      </c>
      <c r="K9" s="1347" t="s">
        <v>32</v>
      </c>
      <c r="L9" s="1343" t="s">
        <v>541</v>
      </c>
      <c r="M9" s="1344" t="s">
        <v>542</v>
      </c>
      <c r="N9" s="1345" t="s">
        <v>541</v>
      </c>
      <c r="O9" s="1348" t="s">
        <v>542</v>
      </c>
      <c r="P9" s="1349" t="s">
        <v>33</v>
      </c>
      <c r="Q9" s="1343" t="s">
        <v>541</v>
      </c>
      <c r="R9" s="1344" t="s">
        <v>542</v>
      </c>
      <c r="S9" s="1345" t="s">
        <v>541</v>
      </c>
      <c r="T9" s="1346" t="s">
        <v>542</v>
      </c>
      <c r="U9" s="1347" t="s">
        <v>29</v>
      </c>
      <c r="V9" s="1343" t="s">
        <v>541</v>
      </c>
      <c r="W9" s="1344" t="s">
        <v>542</v>
      </c>
      <c r="X9" s="1345" t="s">
        <v>541</v>
      </c>
      <c r="Y9" s="1348" t="s">
        <v>542</v>
      </c>
      <c r="Z9" s="1349" t="s">
        <v>34</v>
      </c>
      <c r="AA9" s="1343" t="s">
        <v>541</v>
      </c>
      <c r="AB9" s="1344" t="s">
        <v>542</v>
      </c>
      <c r="AC9" s="1345" t="s">
        <v>541</v>
      </c>
      <c r="AD9" s="1348" t="s">
        <v>542</v>
      </c>
      <c r="AE9" s="1349" t="s">
        <v>35</v>
      </c>
    </row>
    <row r="10" spans="1:31">
      <c r="B10" s="241"/>
      <c r="C10" s="242" t="s">
        <v>459</v>
      </c>
      <c r="D10" s="242"/>
      <c r="E10" s="243"/>
      <c r="F10" s="244"/>
      <c r="G10" s="245"/>
      <c r="H10" s="246"/>
      <c r="I10" s="245"/>
      <c r="J10" s="247"/>
      <c r="K10" s="244"/>
      <c r="L10" s="245"/>
      <c r="M10" s="246"/>
      <c r="N10" s="245"/>
      <c r="O10" s="247"/>
      <c r="P10" s="244"/>
      <c r="Q10" s="245"/>
      <c r="R10" s="246"/>
      <c r="S10" s="245"/>
      <c r="T10" s="247"/>
      <c r="U10" s="244"/>
      <c r="V10" s="245"/>
      <c r="W10" s="246"/>
      <c r="X10" s="245"/>
      <c r="Y10" s="246"/>
      <c r="Z10" s="244"/>
      <c r="AA10" s="245"/>
      <c r="AB10" s="246"/>
      <c r="AC10" s="245"/>
      <c r="AD10" s="246"/>
      <c r="AE10" s="244"/>
    </row>
    <row r="11" spans="1:31">
      <c r="B11" s="241"/>
      <c r="C11" s="243"/>
      <c r="D11" s="248" t="s">
        <v>578</v>
      </c>
      <c r="E11" s="243"/>
      <c r="F11" s="249"/>
      <c r="G11" s="250"/>
      <c r="H11" s="251"/>
      <c r="I11" s="250"/>
      <c r="J11" s="252"/>
      <c r="K11" s="249"/>
      <c r="L11" s="250"/>
      <c r="M11" s="251"/>
      <c r="N11" s="250"/>
      <c r="O11" s="252"/>
      <c r="P11" s="249"/>
      <c r="Q11" s="250"/>
      <c r="R11" s="251"/>
      <c r="S11" s="250"/>
      <c r="T11" s="252"/>
      <c r="U11" s="253"/>
      <c r="V11" s="250"/>
      <c r="W11" s="251"/>
      <c r="X11" s="250"/>
      <c r="Y11" s="251"/>
      <c r="Z11" s="249"/>
      <c r="AA11" s="250"/>
      <c r="AB11" s="251"/>
      <c r="AC11" s="250"/>
      <c r="AD11" s="251"/>
      <c r="AE11" s="249"/>
    </row>
    <row r="12" spans="1:31">
      <c r="B12" s="254"/>
      <c r="C12" s="243"/>
      <c r="D12" s="243"/>
      <c r="E12" s="243" t="s">
        <v>460</v>
      </c>
      <c r="F12" s="255">
        <v>4914</v>
      </c>
      <c r="G12" s="256">
        <v>22</v>
      </c>
      <c r="H12" s="257">
        <v>8</v>
      </c>
      <c r="I12" s="256">
        <v>214</v>
      </c>
      <c r="J12" s="257">
        <v>4</v>
      </c>
      <c r="K12" s="255">
        <v>5102</v>
      </c>
      <c r="L12" s="256">
        <v>62</v>
      </c>
      <c r="M12" s="257">
        <v>20</v>
      </c>
      <c r="N12" s="256">
        <v>9</v>
      </c>
      <c r="O12" s="257">
        <v>10</v>
      </c>
      <c r="P12" s="255">
        <v>5039</v>
      </c>
      <c r="Q12" s="256">
        <v>0</v>
      </c>
      <c r="R12" s="257">
        <v>21</v>
      </c>
      <c r="S12" s="256">
        <v>35</v>
      </c>
      <c r="T12" s="257">
        <v>18</v>
      </c>
      <c r="U12" s="258">
        <v>5071</v>
      </c>
      <c r="V12" s="256">
        <v>0</v>
      </c>
      <c r="W12" s="257">
        <v>45.699999999999996</v>
      </c>
      <c r="X12" s="256">
        <v>27.6</v>
      </c>
      <c r="Y12" s="257">
        <v>17.3</v>
      </c>
      <c r="Z12" s="255">
        <v>5070.2</v>
      </c>
      <c r="AA12" s="256">
        <v>0</v>
      </c>
      <c r="AB12" s="257">
        <v>148.29999999999998</v>
      </c>
      <c r="AC12" s="256">
        <v>25.5</v>
      </c>
      <c r="AD12" s="257">
        <v>64.300000000000011</v>
      </c>
      <c r="AE12" s="255">
        <v>5011.7</v>
      </c>
    </row>
    <row r="13" spans="1:31">
      <c r="B13" s="254"/>
      <c r="C13" s="243"/>
      <c r="D13" s="243"/>
      <c r="E13" s="243" t="s">
        <v>461</v>
      </c>
      <c r="F13" s="255">
        <v>135999</v>
      </c>
      <c r="G13" s="256">
        <v>911</v>
      </c>
      <c r="H13" s="257">
        <v>1556</v>
      </c>
      <c r="I13" s="256">
        <v>48</v>
      </c>
      <c r="J13" s="259">
        <v>1633</v>
      </c>
      <c r="K13" s="255">
        <v>135213</v>
      </c>
      <c r="L13" s="256">
        <v>97</v>
      </c>
      <c r="M13" s="257">
        <v>1478</v>
      </c>
      <c r="N13" s="256">
        <v>77</v>
      </c>
      <c r="O13" s="259">
        <v>565</v>
      </c>
      <c r="P13" s="255">
        <v>134280</v>
      </c>
      <c r="Q13" s="256">
        <v>2469</v>
      </c>
      <c r="R13" s="257">
        <v>1419</v>
      </c>
      <c r="S13" s="256">
        <v>437</v>
      </c>
      <c r="T13" s="259">
        <v>732</v>
      </c>
      <c r="U13" s="258">
        <v>131561</v>
      </c>
      <c r="V13" s="256">
        <v>1942</v>
      </c>
      <c r="W13" s="257">
        <v>2476</v>
      </c>
      <c r="X13" s="256">
        <v>358</v>
      </c>
      <c r="Y13" s="257">
        <v>637</v>
      </c>
      <c r="Z13" s="255">
        <v>128138</v>
      </c>
      <c r="AA13" s="256">
        <v>1785</v>
      </c>
      <c r="AB13" s="257">
        <v>3377</v>
      </c>
      <c r="AC13" s="256">
        <v>371</v>
      </c>
      <c r="AD13" s="257">
        <v>1217</v>
      </c>
      <c r="AE13" s="255">
        <v>124564</v>
      </c>
    </row>
    <row r="14" spans="1:31">
      <c r="B14" s="254"/>
      <c r="C14" s="243"/>
      <c r="D14" s="243"/>
      <c r="E14" s="243"/>
      <c r="F14" s="260"/>
      <c r="G14" s="261"/>
      <c r="H14" s="262"/>
      <c r="I14" s="261"/>
      <c r="J14" s="263"/>
      <c r="K14" s="260"/>
      <c r="L14" s="261"/>
      <c r="M14" s="262"/>
      <c r="N14" s="261"/>
      <c r="O14" s="263"/>
      <c r="P14" s="260"/>
      <c r="Q14" s="261"/>
      <c r="R14" s="262"/>
      <c r="S14" s="261"/>
      <c r="T14" s="263"/>
      <c r="U14" s="264"/>
      <c r="V14" s="261"/>
      <c r="W14" s="262"/>
      <c r="X14" s="261"/>
      <c r="Y14" s="262"/>
      <c r="Z14" s="260"/>
      <c r="AA14" s="261"/>
      <c r="AB14" s="262"/>
      <c r="AC14" s="261"/>
      <c r="AD14" s="262"/>
      <c r="AE14" s="260"/>
    </row>
    <row r="15" spans="1:31">
      <c r="B15" s="254"/>
      <c r="C15" s="243"/>
      <c r="D15" s="248" t="s">
        <v>739</v>
      </c>
      <c r="E15" s="243"/>
      <c r="F15" s="260"/>
      <c r="G15" s="261"/>
      <c r="H15" s="262"/>
      <c r="I15" s="261"/>
      <c r="J15" s="263"/>
      <c r="K15" s="260"/>
      <c r="L15" s="261"/>
      <c r="M15" s="262"/>
      <c r="N15" s="261"/>
      <c r="O15" s="263"/>
      <c r="P15" s="260"/>
      <c r="Q15" s="261"/>
      <c r="R15" s="262"/>
      <c r="S15" s="261"/>
      <c r="T15" s="263"/>
      <c r="U15" s="264"/>
      <c r="V15" s="261"/>
      <c r="W15" s="262"/>
      <c r="X15" s="261"/>
      <c r="Y15" s="262"/>
      <c r="Z15" s="260"/>
      <c r="AA15" s="261"/>
      <c r="AB15" s="262"/>
      <c r="AC15" s="261"/>
      <c r="AD15" s="262"/>
      <c r="AE15" s="260"/>
    </row>
    <row r="16" spans="1:31">
      <c r="B16" s="254"/>
      <c r="C16" s="243"/>
      <c r="D16" s="243"/>
      <c r="E16" s="243" t="s">
        <v>740</v>
      </c>
      <c r="F16" s="255">
        <v>123846</v>
      </c>
      <c r="G16" s="256">
        <v>134</v>
      </c>
      <c r="H16" s="257">
        <v>0</v>
      </c>
      <c r="I16" s="256">
        <v>61</v>
      </c>
      <c r="J16" s="259">
        <v>0</v>
      </c>
      <c r="K16" s="255">
        <v>123773</v>
      </c>
      <c r="L16" s="256">
        <v>228</v>
      </c>
      <c r="M16" s="257">
        <v>0</v>
      </c>
      <c r="N16" s="256">
        <v>335</v>
      </c>
      <c r="O16" s="259">
        <v>0</v>
      </c>
      <c r="P16" s="255">
        <v>123880</v>
      </c>
      <c r="Q16" s="256">
        <v>1316</v>
      </c>
      <c r="R16" s="257">
        <v>910</v>
      </c>
      <c r="S16" s="256">
        <v>1127</v>
      </c>
      <c r="T16" s="259">
        <v>910</v>
      </c>
      <c r="U16" s="258">
        <v>123691</v>
      </c>
      <c r="V16" s="256">
        <v>1035</v>
      </c>
      <c r="W16" s="257">
        <v>570</v>
      </c>
      <c r="X16" s="256">
        <v>902</v>
      </c>
      <c r="Y16" s="257">
        <v>142</v>
      </c>
      <c r="Z16" s="255">
        <v>123130</v>
      </c>
      <c r="AA16" s="256">
        <v>951</v>
      </c>
      <c r="AB16" s="257">
        <v>1458</v>
      </c>
      <c r="AC16" s="256">
        <v>872</v>
      </c>
      <c r="AD16" s="257">
        <v>400</v>
      </c>
      <c r="AE16" s="255">
        <v>121993</v>
      </c>
    </row>
    <row r="17" spans="2:31">
      <c r="B17" s="254"/>
      <c r="C17" s="243"/>
      <c r="D17" s="243"/>
      <c r="E17" s="243"/>
      <c r="F17" s="260"/>
      <c r="G17" s="261"/>
      <c r="H17" s="262"/>
      <c r="I17" s="261"/>
      <c r="J17" s="263"/>
      <c r="K17" s="260"/>
      <c r="L17" s="261"/>
      <c r="M17" s="262"/>
      <c r="N17" s="261"/>
      <c r="O17" s="263"/>
      <c r="P17" s="260"/>
      <c r="Q17" s="261"/>
      <c r="R17" s="262"/>
      <c r="S17" s="261"/>
      <c r="T17" s="263"/>
      <c r="U17" s="264"/>
      <c r="V17" s="261"/>
      <c r="W17" s="262"/>
      <c r="X17" s="261"/>
      <c r="Y17" s="262"/>
      <c r="Z17" s="260"/>
      <c r="AA17" s="261"/>
      <c r="AB17" s="262"/>
      <c r="AC17" s="261"/>
      <c r="AD17" s="262"/>
      <c r="AE17" s="260"/>
    </row>
    <row r="18" spans="2:31">
      <c r="B18" s="254"/>
      <c r="C18" s="243"/>
      <c r="D18" s="248" t="s">
        <v>872</v>
      </c>
      <c r="E18" s="243"/>
      <c r="F18" s="260"/>
      <c r="G18" s="261"/>
      <c r="H18" s="262"/>
      <c r="I18" s="261"/>
      <c r="J18" s="263"/>
      <c r="K18" s="260"/>
      <c r="L18" s="261"/>
      <c r="M18" s="262"/>
      <c r="N18" s="261"/>
      <c r="O18" s="263"/>
      <c r="P18" s="260"/>
      <c r="Q18" s="261"/>
      <c r="R18" s="262"/>
      <c r="S18" s="261"/>
      <c r="T18" s="263"/>
      <c r="U18" s="264"/>
      <c r="V18" s="261"/>
      <c r="W18" s="262"/>
      <c r="X18" s="261"/>
      <c r="Y18" s="262"/>
      <c r="Z18" s="260"/>
      <c r="AA18" s="261"/>
      <c r="AB18" s="262"/>
      <c r="AC18" s="261"/>
      <c r="AD18" s="262"/>
      <c r="AE18" s="260"/>
    </row>
    <row r="19" spans="2:31">
      <c r="B19" s="254"/>
      <c r="C19" s="243"/>
      <c r="D19" s="248"/>
      <c r="E19" s="243" t="s">
        <v>767</v>
      </c>
      <c r="F19" s="255">
        <v>11</v>
      </c>
      <c r="G19" s="256">
        <v>0</v>
      </c>
      <c r="H19" s="257">
        <v>0</v>
      </c>
      <c r="I19" s="256">
        <v>0</v>
      </c>
      <c r="J19" s="259">
        <v>0</v>
      </c>
      <c r="K19" s="255">
        <v>11</v>
      </c>
      <c r="L19" s="256">
        <v>0</v>
      </c>
      <c r="M19" s="257">
        <v>0</v>
      </c>
      <c r="N19" s="256">
        <v>0</v>
      </c>
      <c r="O19" s="259">
        <v>0</v>
      </c>
      <c r="P19" s="255">
        <v>11</v>
      </c>
      <c r="Q19" s="256">
        <v>0</v>
      </c>
      <c r="R19" s="257">
        <v>0</v>
      </c>
      <c r="S19" s="256">
        <v>0</v>
      </c>
      <c r="T19" s="259">
        <v>0</v>
      </c>
      <c r="U19" s="258">
        <v>11</v>
      </c>
      <c r="V19" s="256">
        <v>0</v>
      </c>
      <c r="W19" s="257">
        <v>0</v>
      </c>
      <c r="X19" s="256">
        <v>0</v>
      </c>
      <c r="Y19" s="257">
        <v>0</v>
      </c>
      <c r="Z19" s="255">
        <v>11</v>
      </c>
      <c r="AA19" s="256">
        <v>0</v>
      </c>
      <c r="AB19" s="257">
        <v>0</v>
      </c>
      <c r="AC19" s="256">
        <v>0</v>
      </c>
      <c r="AD19" s="257">
        <v>0</v>
      </c>
      <c r="AE19" s="255">
        <v>11</v>
      </c>
    </row>
    <row r="20" spans="2:31">
      <c r="B20" s="254"/>
      <c r="C20" s="243"/>
      <c r="D20" s="248"/>
      <c r="E20" s="243" t="s">
        <v>628</v>
      </c>
      <c r="F20" s="255">
        <v>13223</v>
      </c>
      <c r="G20" s="256">
        <v>0</v>
      </c>
      <c r="H20" s="257">
        <v>0</v>
      </c>
      <c r="I20" s="256">
        <v>655</v>
      </c>
      <c r="J20" s="259">
        <v>39</v>
      </c>
      <c r="K20" s="255">
        <v>13917</v>
      </c>
      <c r="L20" s="256">
        <v>0</v>
      </c>
      <c r="M20" s="257">
        <v>2</v>
      </c>
      <c r="N20" s="256">
        <v>310</v>
      </c>
      <c r="O20" s="259">
        <v>75</v>
      </c>
      <c r="P20" s="255">
        <v>14300</v>
      </c>
      <c r="Q20" s="256">
        <v>0</v>
      </c>
      <c r="R20" s="257">
        <v>0</v>
      </c>
      <c r="S20" s="256">
        <v>305</v>
      </c>
      <c r="T20" s="259">
        <v>50</v>
      </c>
      <c r="U20" s="258">
        <v>14655</v>
      </c>
      <c r="V20" s="256">
        <v>0</v>
      </c>
      <c r="W20" s="257">
        <v>1.4</v>
      </c>
      <c r="X20" s="256">
        <v>210.3</v>
      </c>
      <c r="Y20" s="257">
        <v>74.599999999999994</v>
      </c>
      <c r="Z20" s="255">
        <v>14938.5</v>
      </c>
      <c r="AA20" s="256">
        <v>0</v>
      </c>
      <c r="AB20" s="257">
        <v>1</v>
      </c>
      <c r="AC20" s="256">
        <v>196</v>
      </c>
      <c r="AD20" s="257">
        <v>78</v>
      </c>
      <c r="AE20" s="255">
        <v>15211.5</v>
      </c>
    </row>
    <row r="21" spans="2:31">
      <c r="B21" s="254"/>
      <c r="C21" s="243"/>
      <c r="D21" s="248"/>
      <c r="E21" s="243" t="s">
        <v>629</v>
      </c>
      <c r="F21" s="255">
        <v>18395</v>
      </c>
      <c r="G21" s="256">
        <v>0</v>
      </c>
      <c r="H21" s="257">
        <v>7</v>
      </c>
      <c r="I21" s="256">
        <v>0</v>
      </c>
      <c r="J21" s="259">
        <v>0</v>
      </c>
      <c r="K21" s="255">
        <v>18388</v>
      </c>
      <c r="L21" s="256">
        <v>0</v>
      </c>
      <c r="M21" s="257">
        <v>31</v>
      </c>
      <c r="N21" s="256">
        <v>0</v>
      </c>
      <c r="O21" s="259">
        <v>0</v>
      </c>
      <c r="P21" s="255">
        <v>18357</v>
      </c>
      <c r="Q21" s="256">
        <v>0</v>
      </c>
      <c r="R21" s="257">
        <v>33</v>
      </c>
      <c r="S21" s="256">
        <v>0</v>
      </c>
      <c r="T21" s="259">
        <v>0</v>
      </c>
      <c r="U21" s="258">
        <v>18324</v>
      </c>
      <c r="V21" s="256">
        <v>0</v>
      </c>
      <c r="W21" s="257">
        <v>4</v>
      </c>
      <c r="X21" s="256">
        <v>0</v>
      </c>
      <c r="Y21" s="257">
        <v>0</v>
      </c>
      <c r="Z21" s="255">
        <v>18320</v>
      </c>
      <c r="AA21" s="256">
        <v>0</v>
      </c>
      <c r="AB21" s="257">
        <v>3</v>
      </c>
      <c r="AC21" s="256">
        <v>0</v>
      </c>
      <c r="AD21" s="257">
        <v>0</v>
      </c>
      <c r="AE21" s="255">
        <v>18317</v>
      </c>
    </row>
    <row r="22" spans="2:31">
      <c r="B22" s="254"/>
      <c r="C22" s="243"/>
      <c r="D22" s="248"/>
      <c r="E22" s="243" t="s">
        <v>630</v>
      </c>
      <c r="F22" s="255">
        <v>2361332</v>
      </c>
      <c r="G22" s="256">
        <v>77</v>
      </c>
      <c r="H22" s="257">
        <v>1230</v>
      </c>
      <c r="I22" s="256">
        <v>27978</v>
      </c>
      <c r="J22" s="259">
        <v>1230</v>
      </c>
      <c r="K22" s="255">
        <v>2389233</v>
      </c>
      <c r="L22" s="256">
        <v>0</v>
      </c>
      <c r="M22" s="257">
        <v>1153</v>
      </c>
      <c r="N22" s="256">
        <v>23378</v>
      </c>
      <c r="O22" s="259">
        <v>2066</v>
      </c>
      <c r="P22" s="255">
        <v>2413524</v>
      </c>
      <c r="Q22" s="256">
        <v>0</v>
      </c>
      <c r="R22" s="257">
        <v>1684</v>
      </c>
      <c r="S22" s="256">
        <v>27485</v>
      </c>
      <c r="T22" s="259">
        <v>2371</v>
      </c>
      <c r="U22" s="258">
        <v>2441696</v>
      </c>
      <c r="V22" s="256">
        <v>0</v>
      </c>
      <c r="W22" s="257">
        <v>108</v>
      </c>
      <c r="X22" s="256">
        <v>20668.5</v>
      </c>
      <c r="Y22" s="257">
        <v>1787</v>
      </c>
      <c r="Z22" s="255">
        <v>2464043.5</v>
      </c>
      <c r="AA22" s="256">
        <v>0</v>
      </c>
      <c r="AB22" s="257">
        <v>262</v>
      </c>
      <c r="AC22" s="256">
        <v>18931.599999999999</v>
      </c>
      <c r="AD22" s="257">
        <v>2406</v>
      </c>
      <c r="AE22" s="255">
        <v>2485119.1</v>
      </c>
    </row>
    <row r="23" spans="2:31">
      <c r="B23" s="254"/>
      <c r="C23" s="243"/>
      <c r="D23" s="243"/>
      <c r="E23" s="243"/>
      <c r="F23" s="260"/>
      <c r="G23" s="261"/>
      <c r="H23" s="262"/>
      <c r="I23" s="261"/>
      <c r="J23" s="263"/>
      <c r="K23" s="260"/>
      <c r="L23" s="261"/>
      <c r="M23" s="262"/>
      <c r="N23" s="261"/>
      <c r="O23" s="263"/>
      <c r="P23" s="260"/>
      <c r="Q23" s="261"/>
      <c r="R23" s="262"/>
      <c r="S23" s="261"/>
      <c r="T23" s="263"/>
      <c r="U23" s="264"/>
      <c r="V23" s="261"/>
      <c r="W23" s="262"/>
      <c r="X23" s="261"/>
      <c r="Y23" s="262"/>
      <c r="Z23" s="260"/>
      <c r="AA23" s="261"/>
      <c r="AB23" s="262"/>
      <c r="AC23" s="261"/>
      <c r="AD23" s="262"/>
      <c r="AE23" s="260"/>
    </row>
    <row r="24" spans="2:31">
      <c r="B24" s="254"/>
      <c r="C24" s="243"/>
      <c r="D24" s="248" t="s">
        <v>631</v>
      </c>
      <c r="E24" s="243"/>
      <c r="F24" s="260"/>
      <c r="G24" s="261"/>
      <c r="H24" s="262"/>
      <c r="I24" s="261"/>
      <c r="J24" s="263"/>
      <c r="K24" s="260"/>
      <c r="L24" s="261"/>
      <c r="M24" s="262"/>
      <c r="N24" s="261"/>
      <c r="O24" s="263"/>
      <c r="P24" s="260"/>
      <c r="Q24" s="261"/>
      <c r="R24" s="262"/>
      <c r="S24" s="261"/>
      <c r="T24" s="263"/>
      <c r="U24" s="264"/>
      <c r="V24" s="261"/>
      <c r="W24" s="262"/>
      <c r="X24" s="261"/>
      <c r="Y24" s="262"/>
      <c r="Z24" s="260"/>
      <c r="AA24" s="261"/>
      <c r="AB24" s="262"/>
      <c r="AC24" s="261"/>
      <c r="AD24" s="262"/>
      <c r="AE24" s="260"/>
    </row>
    <row r="25" spans="2:31">
      <c r="B25" s="254"/>
      <c r="C25" s="243"/>
      <c r="D25" s="248"/>
      <c r="E25" s="243" t="s">
        <v>632</v>
      </c>
      <c r="F25" s="255">
        <v>8541</v>
      </c>
      <c r="G25" s="256">
        <v>12</v>
      </c>
      <c r="H25" s="257">
        <v>49</v>
      </c>
      <c r="I25" s="256">
        <v>210</v>
      </c>
      <c r="J25" s="259">
        <v>49</v>
      </c>
      <c r="K25" s="255">
        <v>8739</v>
      </c>
      <c r="L25" s="256">
        <v>43</v>
      </c>
      <c r="M25" s="257">
        <v>105</v>
      </c>
      <c r="N25" s="256">
        <v>392</v>
      </c>
      <c r="O25" s="259">
        <v>105</v>
      </c>
      <c r="P25" s="255">
        <v>9088</v>
      </c>
      <c r="Q25" s="256">
        <v>0</v>
      </c>
      <c r="R25" s="257">
        <v>94</v>
      </c>
      <c r="S25" s="256">
        <v>259</v>
      </c>
      <c r="T25" s="259">
        <v>103</v>
      </c>
      <c r="U25" s="258">
        <v>9356</v>
      </c>
      <c r="V25" s="256">
        <v>0</v>
      </c>
      <c r="W25" s="257">
        <v>283</v>
      </c>
      <c r="X25" s="256">
        <v>204</v>
      </c>
      <c r="Y25" s="257">
        <v>143</v>
      </c>
      <c r="Z25" s="255">
        <v>9420</v>
      </c>
      <c r="AA25" s="256">
        <v>0</v>
      </c>
      <c r="AB25" s="257">
        <v>116</v>
      </c>
      <c r="AC25" s="256">
        <v>188</v>
      </c>
      <c r="AD25" s="257">
        <v>104</v>
      </c>
      <c r="AE25" s="255">
        <v>9596</v>
      </c>
    </row>
    <row r="26" spans="2:31">
      <c r="B26" s="254"/>
      <c r="C26" s="243"/>
      <c r="D26" s="248"/>
      <c r="E26" s="243" t="s">
        <v>633</v>
      </c>
      <c r="F26" s="255">
        <v>7893</v>
      </c>
      <c r="G26" s="256">
        <v>0</v>
      </c>
      <c r="H26" s="257">
        <v>0</v>
      </c>
      <c r="I26" s="256">
        <v>80</v>
      </c>
      <c r="J26" s="259">
        <v>0</v>
      </c>
      <c r="K26" s="255">
        <v>7973</v>
      </c>
      <c r="L26" s="256">
        <v>3</v>
      </c>
      <c r="M26" s="257">
        <v>36</v>
      </c>
      <c r="N26" s="256">
        <v>0</v>
      </c>
      <c r="O26" s="259">
        <v>36</v>
      </c>
      <c r="P26" s="255">
        <v>7970</v>
      </c>
      <c r="Q26" s="256">
        <v>181</v>
      </c>
      <c r="R26" s="257">
        <v>0</v>
      </c>
      <c r="S26" s="256">
        <v>136</v>
      </c>
      <c r="T26" s="259">
        <v>0</v>
      </c>
      <c r="U26" s="258">
        <v>7925</v>
      </c>
      <c r="V26" s="256">
        <v>142</v>
      </c>
      <c r="W26" s="257">
        <v>0</v>
      </c>
      <c r="X26" s="256">
        <v>63</v>
      </c>
      <c r="Y26" s="257">
        <v>0</v>
      </c>
      <c r="Z26" s="255">
        <v>7846</v>
      </c>
      <c r="AA26" s="256">
        <v>131</v>
      </c>
      <c r="AB26" s="257">
        <v>0</v>
      </c>
      <c r="AC26" s="256">
        <v>57</v>
      </c>
      <c r="AD26" s="257">
        <v>0</v>
      </c>
      <c r="AE26" s="255">
        <v>7772</v>
      </c>
    </row>
    <row r="27" spans="2:31">
      <c r="B27" s="254"/>
      <c r="C27" s="243"/>
      <c r="D27" s="248"/>
      <c r="E27" s="243" t="s">
        <v>752</v>
      </c>
      <c r="F27" s="255">
        <v>2425</v>
      </c>
      <c r="G27" s="256">
        <v>0</v>
      </c>
      <c r="H27" s="257">
        <v>0</v>
      </c>
      <c r="I27" s="256">
        <v>0</v>
      </c>
      <c r="J27" s="259">
        <v>0</v>
      </c>
      <c r="K27" s="255">
        <v>2425</v>
      </c>
      <c r="L27" s="256">
        <v>43</v>
      </c>
      <c r="M27" s="257">
        <v>0</v>
      </c>
      <c r="N27" s="256">
        <v>0</v>
      </c>
      <c r="O27" s="259">
        <v>0</v>
      </c>
      <c r="P27" s="255">
        <v>2382</v>
      </c>
      <c r="Q27" s="256">
        <v>33</v>
      </c>
      <c r="R27" s="257">
        <v>0</v>
      </c>
      <c r="S27" s="256">
        <v>0</v>
      </c>
      <c r="T27" s="259">
        <v>0</v>
      </c>
      <c r="U27" s="258">
        <v>2349</v>
      </c>
      <c r="V27" s="256">
        <v>26</v>
      </c>
      <c r="W27" s="257">
        <v>0</v>
      </c>
      <c r="X27" s="256">
        <v>0</v>
      </c>
      <c r="Y27" s="257">
        <v>0</v>
      </c>
      <c r="Z27" s="255">
        <v>2323</v>
      </c>
      <c r="AA27" s="256">
        <v>24</v>
      </c>
      <c r="AB27" s="257">
        <v>0</v>
      </c>
      <c r="AC27" s="256">
        <v>0</v>
      </c>
      <c r="AD27" s="257">
        <v>0</v>
      </c>
      <c r="AE27" s="255">
        <v>2299</v>
      </c>
    </row>
    <row r="28" spans="2:31">
      <c r="B28" s="254"/>
      <c r="C28" s="243"/>
      <c r="D28" s="248"/>
      <c r="E28" s="243" t="s">
        <v>753</v>
      </c>
      <c r="F28" s="255">
        <v>27050</v>
      </c>
      <c r="G28" s="256">
        <v>0</v>
      </c>
      <c r="H28" s="257">
        <v>1</v>
      </c>
      <c r="I28" s="256">
        <v>63</v>
      </c>
      <c r="J28" s="259">
        <v>9</v>
      </c>
      <c r="K28" s="255">
        <v>27121</v>
      </c>
      <c r="L28" s="256">
        <v>0</v>
      </c>
      <c r="M28" s="257">
        <v>159</v>
      </c>
      <c r="N28" s="256">
        <v>127</v>
      </c>
      <c r="O28" s="259">
        <v>136</v>
      </c>
      <c r="P28" s="255">
        <v>27225</v>
      </c>
      <c r="Q28" s="256">
        <v>0</v>
      </c>
      <c r="R28" s="257">
        <v>330</v>
      </c>
      <c r="S28" s="256">
        <v>484</v>
      </c>
      <c r="T28" s="259">
        <v>155</v>
      </c>
      <c r="U28" s="258">
        <v>27534</v>
      </c>
      <c r="V28" s="256">
        <v>0</v>
      </c>
      <c r="W28" s="257">
        <v>340</v>
      </c>
      <c r="X28" s="256">
        <v>392</v>
      </c>
      <c r="Y28" s="257">
        <v>457</v>
      </c>
      <c r="Z28" s="255">
        <v>28043</v>
      </c>
      <c r="AA28" s="256">
        <v>0</v>
      </c>
      <c r="AB28" s="257">
        <v>33</v>
      </c>
      <c r="AC28" s="256">
        <v>391</v>
      </c>
      <c r="AD28" s="257">
        <v>123</v>
      </c>
      <c r="AE28" s="255">
        <v>28524</v>
      </c>
    </row>
    <row r="29" spans="2:31">
      <c r="B29" s="254"/>
      <c r="C29" s="243"/>
      <c r="D29" s="248"/>
      <c r="E29" s="243" t="s">
        <v>41</v>
      </c>
      <c r="F29" s="255">
        <v>22689</v>
      </c>
      <c r="G29" s="256">
        <v>0</v>
      </c>
      <c r="H29" s="257">
        <v>0</v>
      </c>
      <c r="I29" s="256">
        <v>31</v>
      </c>
      <c r="J29" s="259">
        <v>0</v>
      </c>
      <c r="K29" s="255">
        <v>22720</v>
      </c>
      <c r="L29" s="256">
        <v>109</v>
      </c>
      <c r="M29" s="257">
        <v>0</v>
      </c>
      <c r="N29" s="256">
        <v>88</v>
      </c>
      <c r="O29" s="259">
        <v>0</v>
      </c>
      <c r="P29" s="255">
        <v>22699</v>
      </c>
      <c r="Q29" s="256">
        <v>485</v>
      </c>
      <c r="R29" s="257">
        <v>0</v>
      </c>
      <c r="S29" s="256">
        <v>484</v>
      </c>
      <c r="T29" s="259">
        <v>0</v>
      </c>
      <c r="U29" s="258">
        <v>22698</v>
      </c>
      <c r="V29" s="256">
        <v>382</v>
      </c>
      <c r="W29" s="257">
        <v>0</v>
      </c>
      <c r="X29" s="256">
        <v>380</v>
      </c>
      <c r="Y29" s="257">
        <v>0</v>
      </c>
      <c r="Z29" s="255">
        <v>22696</v>
      </c>
      <c r="AA29" s="256">
        <v>351</v>
      </c>
      <c r="AB29" s="257">
        <v>0</v>
      </c>
      <c r="AC29" s="256">
        <v>347</v>
      </c>
      <c r="AD29" s="257">
        <v>0</v>
      </c>
      <c r="AE29" s="255">
        <v>22692</v>
      </c>
    </row>
    <row r="30" spans="2:31">
      <c r="B30" s="254"/>
      <c r="C30" s="243"/>
      <c r="D30" s="248"/>
      <c r="E30" s="243" t="s">
        <v>42</v>
      </c>
      <c r="F30" s="255">
        <v>0</v>
      </c>
      <c r="G30" s="256">
        <v>0</v>
      </c>
      <c r="H30" s="257">
        <v>0</v>
      </c>
      <c r="I30" s="256">
        <v>0</v>
      </c>
      <c r="J30" s="259">
        <v>0</v>
      </c>
      <c r="K30" s="255">
        <v>0</v>
      </c>
      <c r="L30" s="256">
        <v>0</v>
      </c>
      <c r="M30" s="257">
        <v>0</v>
      </c>
      <c r="N30" s="256">
        <v>0</v>
      </c>
      <c r="O30" s="259">
        <v>0</v>
      </c>
      <c r="P30" s="255">
        <v>0</v>
      </c>
      <c r="Q30" s="256">
        <v>0</v>
      </c>
      <c r="R30" s="257">
        <v>0</v>
      </c>
      <c r="S30" s="256">
        <v>0</v>
      </c>
      <c r="T30" s="259">
        <v>0</v>
      </c>
      <c r="U30" s="258">
        <v>0</v>
      </c>
      <c r="V30" s="256">
        <v>0</v>
      </c>
      <c r="W30" s="257">
        <v>0</v>
      </c>
      <c r="X30" s="256">
        <v>0</v>
      </c>
      <c r="Y30" s="257">
        <v>0</v>
      </c>
      <c r="Z30" s="255">
        <v>0</v>
      </c>
      <c r="AA30" s="256">
        <v>0</v>
      </c>
      <c r="AB30" s="257">
        <v>0</v>
      </c>
      <c r="AC30" s="256">
        <v>0</v>
      </c>
      <c r="AD30" s="257">
        <v>0</v>
      </c>
      <c r="AE30" s="255">
        <v>0</v>
      </c>
    </row>
    <row r="31" spans="2:31" ht="13.5" thickBot="1">
      <c r="B31" s="239"/>
      <c r="C31" s="240"/>
      <c r="D31" s="240"/>
      <c r="E31" s="240"/>
      <c r="F31" s="265"/>
      <c r="G31" s="266"/>
      <c r="H31" s="267"/>
      <c r="I31" s="266"/>
      <c r="J31" s="268"/>
      <c r="K31" s="269"/>
      <c r="L31" s="266"/>
      <c r="M31" s="267"/>
      <c r="N31" s="266"/>
      <c r="O31" s="268"/>
      <c r="P31" s="269"/>
      <c r="Q31" s="266"/>
      <c r="R31" s="267"/>
      <c r="S31" s="266"/>
      <c r="T31" s="268"/>
      <c r="U31" s="270"/>
      <c r="V31" s="266"/>
      <c r="W31" s="267"/>
      <c r="X31" s="266"/>
      <c r="Y31" s="267"/>
      <c r="Z31" s="269"/>
      <c r="AA31" s="266"/>
      <c r="AB31" s="267"/>
      <c r="AC31" s="266"/>
      <c r="AD31" s="267"/>
      <c r="AE31" s="269"/>
    </row>
    <row r="32" spans="2:31">
      <c r="B32" s="271"/>
      <c r="C32" s="272" t="s">
        <v>43</v>
      </c>
      <c r="D32" s="272"/>
      <c r="E32" s="273"/>
      <c r="F32" s="260"/>
      <c r="G32" s="261"/>
      <c r="H32" s="262"/>
      <c r="I32" s="261"/>
      <c r="J32" s="263"/>
      <c r="K32" s="260"/>
      <c r="L32" s="261"/>
      <c r="M32" s="262"/>
      <c r="N32" s="261"/>
      <c r="O32" s="263"/>
      <c r="P32" s="260"/>
      <c r="Q32" s="261"/>
      <c r="R32" s="262"/>
      <c r="S32" s="261"/>
      <c r="T32" s="263"/>
      <c r="U32" s="264"/>
      <c r="V32" s="261"/>
      <c r="W32" s="262"/>
      <c r="X32" s="261"/>
      <c r="Y32" s="262"/>
      <c r="Z32" s="260"/>
      <c r="AA32" s="261"/>
      <c r="AB32" s="262"/>
      <c r="AC32" s="261"/>
      <c r="AD32" s="262"/>
      <c r="AE32" s="260"/>
    </row>
    <row r="33" spans="2:31">
      <c r="B33" s="254"/>
      <c r="C33" s="243"/>
      <c r="D33" s="248" t="s">
        <v>578</v>
      </c>
      <c r="E33" s="243"/>
      <c r="F33" s="260"/>
      <c r="G33" s="261"/>
      <c r="H33" s="262"/>
      <c r="I33" s="261"/>
      <c r="J33" s="263"/>
      <c r="K33" s="260"/>
      <c r="L33" s="261"/>
      <c r="M33" s="262"/>
      <c r="N33" s="261"/>
      <c r="O33" s="263"/>
      <c r="P33" s="260"/>
      <c r="Q33" s="261"/>
      <c r="R33" s="262"/>
      <c r="S33" s="261"/>
      <c r="T33" s="263"/>
      <c r="U33" s="264"/>
      <c r="V33" s="261"/>
      <c r="W33" s="262"/>
      <c r="X33" s="261"/>
      <c r="Y33" s="262"/>
      <c r="Z33" s="260"/>
      <c r="AA33" s="261"/>
      <c r="AB33" s="262"/>
      <c r="AC33" s="261"/>
      <c r="AD33" s="262"/>
      <c r="AE33" s="260"/>
    </row>
    <row r="34" spans="2:31">
      <c r="B34" s="254"/>
      <c r="C34" s="243"/>
      <c r="D34" s="248"/>
      <c r="E34" s="243" t="s">
        <v>44</v>
      </c>
      <c r="F34" s="255">
        <v>12571</v>
      </c>
      <c r="G34" s="256">
        <v>23</v>
      </c>
      <c r="H34" s="257">
        <v>22</v>
      </c>
      <c r="I34" s="256">
        <v>13</v>
      </c>
      <c r="J34" s="259">
        <v>22</v>
      </c>
      <c r="K34" s="255">
        <v>12561</v>
      </c>
      <c r="L34" s="256">
        <v>17</v>
      </c>
      <c r="M34" s="257">
        <v>43</v>
      </c>
      <c r="N34" s="256">
        <v>46</v>
      </c>
      <c r="O34" s="259">
        <v>43</v>
      </c>
      <c r="P34" s="255">
        <v>12590</v>
      </c>
      <c r="Q34" s="256">
        <v>78</v>
      </c>
      <c r="R34" s="257">
        <v>57</v>
      </c>
      <c r="S34" s="256">
        <v>60</v>
      </c>
      <c r="T34" s="259">
        <v>57</v>
      </c>
      <c r="U34" s="258">
        <v>12572</v>
      </c>
      <c r="V34" s="256">
        <v>34.299999999999997</v>
      </c>
      <c r="W34" s="257">
        <v>250.1</v>
      </c>
      <c r="X34" s="256">
        <v>26.8</v>
      </c>
      <c r="Y34" s="257">
        <v>219.4</v>
      </c>
      <c r="Z34" s="255">
        <v>12533.800000000001</v>
      </c>
      <c r="AA34" s="256">
        <v>49.4</v>
      </c>
      <c r="AB34" s="257">
        <v>167.5</v>
      </c>
      <c r="AC34" s="256">
        <v>26</v>
      </c>
      <c r="AD34" s="257">
        <v>130.30000000000001</v>
      </c>
      <c r="AE34" s="255">
        <v>12473.2</v>
      </c>
    </row>
    <row r="35" spans="2:31">
      <c r="B35" s="254"/>
      <c r="C35" s="243"/>
      <c r="D35" s="248"/>
      <c r="E35" s="243" t="s">
        <v>45</v>
      </c>
      <c r="F35" s="255">
        <v>22</v>
      </c>
      <c r="G35" s="256">
        <v>0</v>
      </c>
      <c r="H35" s="257">
        <v>0</v>
      </c>
      <c r="I35" s="256">
        <v>0</v>
      </c>
      <c r="J35" s="259">
        <v>0</v>
      </c>
      <c r="K35" s="255">
        <v>22</v>
      </c>
      <c r="L35" s="256">
        <v>0</v>
      </c>
      <c r="M35" s="257">
        <v>0</v>
      </c>
      <c r="N35" s="256">
        <v>0</v>
      </c>
      <c r="O35" s="259">
        <v>0</v>
      </c>
      <c r="P35" s="255">
        <v>22</v>
      </c>
      <c r="Q35" s="256">
        <v>1</v>
      </c>
      <c r="R35" s="257">
        <v>0</v>
      </c>
      <c r="S35" s="256">
        <v>0</v>
      </c>
      <c r="T35" s="259">
        <v>0</v>
      </c>
      <c r="U35" s="258">
        <v>21</v>
      </c>
      <c r="V35" s="256">
        <v>0.4</v>
      </c>
      <c r="W35" s="257">
        <v>0</v>
      </c>
      <c r="X35" s="256">
        <v>0</v>
      </c>
      <c r="Y35" s="257">
        <v>0</v>
      </c>
      <c r="Z35" s="255">
        <v>20.6</v>
      </c>
      <c r="AA35" s="256">
        <v>0.6</v>
      </c>
      <c r="AB35" s="257">
        <v>0</v>
      </c>
      <c r="AC35" s="256">
        <v>0</v>
      </c>
      <c r="AD35" s="257">
        <v>0</v>
      </c>
      <c r="AE35" s="255">
        <v>20</v>
      </c>
    </row>
    <row r="36" spans="2:31">
      <c r="B36" s="254"/>
      <c r="C36" s="243"/>
      <c r="D36" s="243"/>
      <c r="E36" s="243" t="s">
        <v>46</v>
      </c>
      <c r="F36" s="255">
        <v>0</v>
      </c>
      <c r="G36" s="256">
        <v>0</v>
      </c>
      <c r="H36" s="257">
        <v>0</v>
      </c>
      <c r="I36" s="256">
        <v>0</v>
      </c>
      <c r="J36" s="259">
        <v>0</v>
      </c>
      <c r="K36" s="255">
        <v>0</v>
      </c>
      <c r="L36" s="256">
        <v>0</v>
      </c>
      <c r="M36" s="257">
        <v>0</v>
      </c>
      <c r="N36" s="256">
        <v>0</v>
      </c>
      <c r="O36" s="259">
        <v>0</v>
      </c>
      <c r="P36" s="255">
        <v>0</v>
      </c>
      <c r="Q36" s="256">
        <v>0</v>
      </c>
      <c r="R36" s="257">
        <v>0</v>
      </c>
      <c r="S36" s="256">
        <v>0</v>
      </c>
      <c r="T36" s="259">
        <v>0</v>
      </c>
      <c r="U36" s="258">
        <v>0</v>
      </c>
      <c r="V36" s="256">
        <v>0</v>
      </c>
      <c r="W36" s="257">
        <v>0</v>
      </c>
      <c r="X36" s="256">
        <v>0</v>
      </c>
      <c r="Y36" s="257">
        <v>0</v>
      </c>
      <c r="Z36" s="255">
        <v>0</v>
      </c>
      <c r="AA36" s="256">
        <v>0</v>
      </c>
      <c r="AB36" s="257">
        <v>0</v>
      </c>
      <c r="AC36" s="256">
        <v>0</v>
      </c>
      <c r="AD36" s="257">
        <v>0</v>
      </c>
      <c r="AE36" s="255">
        <v>0</v>
      </c>
    </row>
    <row r="37" spans="2:31">
      <c r="B37" s="254"/>
      <c r="C37" s="243"/>
      <c r="D37" s="243"/>
      <c r="E37" s="243" t="s">
        <v>643</v>
      </c>
      <c r="F37" s="255">
        <v>0</v>
      </c>
      <c r="G37" s="256">
        <v>0</v>
      </c>
      <c r="H37" s="257">
        <v>0</v>
      </c>
      <c r="I37" s="256">
        <v>0</v>
      </c>
      <c r="J37" s="259">
        <v>0</v>
      </c>
      <c r="K37" s="255">
        <v>0</v>
      </c>
      <c r="L37" s="256">
        <v>0</v>
      </c>
      <c r="M37" s="257">
        <v>0</v>
      </c>
      <c r="N37" s="256">
        <v>0</v>
      </c>
      <c r="O37" s="259">
        <v>0</v>
      </c>
      <c r="P37" s="255">
        <v>0</v>
      </c>
      <c r="Q37" s="256">
        <v>0</v>
      </c>
      <c r="R37" s="257">
        <v>0</v>
      </c>
      <c r="S37" s="256">
        <v>0</v>
      </c>
      <c r="T37" s="259">
        <v>0</v>
      </c>
      <c r="U37" s="258">
        <v>0</v>
      </c>
      <c r="V37" s="256">
        <v>0</v>
      </c>
      <c r="W37" s="257">
        <v>0</v>
      </c>
      <c r="X37" s="256">
        <v>0</v>
      </c>
      <c r="Y37" s="257">
        <v>0</v>
      </c>
      <c r="Z37" s="255">
        <v>0</v>
      </c>
      <c r="AA37" s="256">
        <v>0</v>
      </c>
      <c r="AB37" s="257">
        <v>0</v>
      </c>
      <c r="AC37" s="256">
        <v>0</v>
      </c>
      <c r="AD37" s="257">
        <v>0</v>
      </c>
      <c r="AE37" s="255">
        <v>0</v>
      </c>
    </row>
    <row r="38" spans="2:31">
      <c r="B38" s="254"/>
      <c r="C38" s="243"/>
      <c r="D38" s="243"/>
      <c r="E38" s="243"/>
      <c r="F38" s="260"/>
      <c r="G38" s="261"/>
      <c r="H38" s="262"/>
      <c r="I38" s="261"/>
      <c r="J38" s="263"/>
      <c r="K38" s="260"/>
      <c r="L38" s="261"/>
      <c r="M38" s="262"/>
      <c r="N38" s="261"/>
      <c r="O38" s="263"/>
      <c r="P38" s="260"/>
      <c r="Q38" s="261"/>
      <c r="R38" s="262"/>
      <c r="S38" s="261"/>
      <c r="T38" s="263"/>
      <c r="U38" s="264"/>
      <c r="V38" s="261"/>
      <c r="W38" s="262"/>
      <c r="X38" s="261"/>
      <c r="Y38" s="262"/>
      <c r="Z38" s="260"/>
      <c r="AA38" s="261"/>
      <c r="AB38" s="262"/>
      <c r="AC38" s="261"/>
      <c r="AD38" s="262"/>
      <c r="AE38" s="260"/>
    </row>
    <row r="39" spans="2:31">
      <c r="B39" s="254"/>
      <c r="C39" s="243"/>
      <c r="D39" s="248" t="s">
        <v>739</v>
      </c>
      <c r="E39" s="243"/>
      <c r="F39" s="260"/>
      <c r="G39" s="261"/>
      <c r="H39" s="262"/>
      <c r="I39" s="261"/>
      <c r="J39" s="263"/>
      <c r="K39" s="260"/>
      <c r="L39" s="261"/>
      <c r="M39" s="262"/>
      <c r="N39" s="261"/>
      <c r="O39" s="263"/>
      <c r="P39" s="260"/>
      <c r="Q39" s="261"/>
      <c r="R39" s="262"/>
      <c r="S39" s="261"/>
      <c r="T39" s="263"/>
      <c r="U39" s="264"/>
      <c r="V39" s="261"/>
      <c r="W39" s="262"/>
      <c r="X39" s="261"/>
      <c r="Y39" s="262"/>
      <c r="Z39" s="260"/>
      <c r="AA39" s="261"/>
      <c r="AB39" s="262"/>
      <c r="AC39" s="261"/>
      <c r="AD39" s="262"/>
      <c r="AE39" s="260"/>
    </row>
    <row r="40" spans="2:31">
      <c r="B40" s="254"/>
      <c r="C40" s="243"/>
      <c r="D40" s="273"/>
      <c r="E40" s="243" t="s">
        <v>761</v>
      </c>
      <c r="F40" s="255">
        <v>163477</v>
      </c>
      <c r="G40" s="256">
        <v>229</v>
      </c>
      <c r="H40" s="257">
        <v>225</v>
      </c>
      <c r="I40" s="256">
        <v>145</v>
      </c>
      <c r="J40" s="259">
        <v>225</v>
      </c>
      <c r="K40" s="255">
        <v>163393</v>
      </c>
      <c r="L40" s="256">
        <v>0</v>
      </c>
      <c r="M40" s="257">
        <v>233</v>
      </c>
      <c r="N40" s="256">
        <v>697</v>
      </c>
      <c r="O40" s="259">
        <v>506</v>
      </c>
      <c r="P40" s="255">
        <v>164363</v>
      </c>
      <c r="Q40" s="256">
        <v>2217</v>
      </c>
      <c r="R40" s="257">
        <v>1136</v>
      </c>
      <c r="S40" s="256">
        <v>647</v>
      </c>
      <c r="T40" s="259">
        <v>1136</v>
      </c>
      <c r="U40" s="258">
        <v>162793</v>
      </c>
      <c r="V40" s="256">
        <v>974</v>
      </c>
      <c r="W40" s="257">
        <v>1765</v>
      </c>
      <c r="X40" s="256">
        <v>525</v>
      </c>
      <c r="Y40" s="257">
        <v>1460</v>
      </c>
      <c r="Z40" s="255">
        <v>162039</v>
      </c>
      <c r="AA40" s="256">
        <v>1403</v>
      </c>
      <c r="AB40" s="257">
        <v>1533</v>
      </c>
      <c r="AC40" s="256">
        <v>509</v>
      </c>
      <c r="AD40" s="257">
        <v>1161</v>
      </c>
      <c r="AE40" s="255">
        <v>160773</v>
      </c>
    </row>
    <row r="41" spans="2:31">
      <c r="B41" s="254"/>
      <c r="C41" s="243"/>
      <c r="D41" s="248"/>
      <c r="E41" s="243" t="s">
        <v>762</v>
      </c>
      <c r="F41" s="255">
        <v>0</v>
      </c>
      <c r="G41" s="256">
        <v>0</v>
      </c>
      <c r="H41" s="257">
        <v>0</v>
      </c>
      <c r="I41" s="256">
        <v>0</v>
      </c>
      <c r="J41" s="259">
        <v>0</v>
      </c>
      <c r="K41" s="255">
        <v>0</v>
      </c>
      <c r="L41" s="256">
        <v>0</v>
      </c>
      <c r="M41" s="257">
        <v>0</v>
      </c>
      <c r="N41" s="256">
        <v>0</v>
      </c>
      <c r="O41" s="259">
        <v>0</v>
      </c>
      <c r="P41" s="255">
        <v>0</v>
      </c>
      <c r="Q41" s="256">
        <v>0</v>
      </c>
      <c r="R41" s="257">
        <v>0</v>
      </c>
      <c r="S41" s="256">
        <v>0</v>
      </c>
      <c r="T41" s="259">
        <v>0</v>
      </c>
      <c r="U41" s="258">
        <v>0</v>
      </c>
      <c r="V41" s="256">
        <v>0</v>
      </c>
      <c r="W41" s="257">
        <v>0</v>
      </c>
      <c r="X41" s="256">
        <v>0</v>
      </c>
      <c r="Y41" s="257">
        <v>0</v>
      </c>
      <c r="Z41" s="255">
        <v>0</v>
      </c>
      <c r="AA41" s="256">
        <v>0</v>
      </c>
      <c r="AB41" s="257">
        <v>0</v>
      </c>
      <c r="AC41" s="256">
        <v>0</v>
      </c>
      <c r="AD41" s="257">
        <v>0</v>
      </c>
      <c r="AE41" s="255">
        <v>0</v>
      </c>
    </row>
    <row r="42" spans="2:31">
      <c r="B42" s="254"/>
      <c r="C42" s="243"/>
      <c r="D42" s="243"/>
      <c r="E42" s="243"/>
      <c r="F42" s="260"/>
      <c r="G42" s="261"/>
      <c r="H42" s="262"/>
      <c r="I42" s="261"/>
      <c r="J42" s="263"/>
      <c r="K42" s="260"/>
      <c r="L42" s="261"/>
      <c r="M42" s="262"/>
      <c r="N42" s="261"/>
      <c r="O42" s="263"/>
      <c r="P42" s="260"/>
      <c r="Q42" s="261"/>
      <c r="R42" s="262"/>
      <c r="S42" s="261"/>
      <c r="T42" s="263"/>
      <c r="U42" s="264"/>
      <c r="V42" s="261"/>
      <c r="W42" s="262"/>
      <c r="X42" s="261"/>
      <c r="Y42" s="262"/>
      <c r="Z42" s="260"/>
      <c r="AA42" s="261"/>
      <c r="AB42" s="262"/>
      <c r="AC42" s="261"/>
      <c r="AD42" s="262"/>
      <c r="AE42" s="260"/>
    </row>
    <row r="43" spans="2:31">
      <c r="B43" s="254"/>
      <c r="C43" s="243"/>
      <c r="D43" s="248" t="s">
        <v>763</v>
      </c>
      <c r="E43" s="243"/>
      <c r="F43" s="260"/>
      <c r="G43" s="261"/>
      <c r="H43" s="262"/>
      <c r="I43" s="261"/>
      <c r="J43" s="263"/>
      <c r="K43" s="260"/>
      <c r="L43" s="261"/>
      <c r="M43" s="262"/>
      <c r="N43" s="261"/>
      <c r="O43" s="263"/>
      <c r="P43" s="260"/>
      <c r="Q43" s="261"/>
      <c r="R43" s="262"/>
      <c r="S43" s="261"/>
      <c r="T43" s="263"/>
      <c r="U43" s="264"/>
      <c r="V43" s="261"/>
      <c r="W43" s="262"/>
      <c r="X43" s="261"/>
      <c r="Y43" s="262"/>
      <c r="Z43" s="260"/>
      <c r="AA43" s="261"/>
      <c r="AB43" s="262"/>
      <c r="AC43" s="261"/>
      <c r="AD43" s="262"/>
      <c r="AE43" s="260"/>
    </row>
    <row r="44" spans="2:31">
      <c r="B44" s="254"/>
      <c r="C44" s="243"/>
      <c r="D44" s="248"/>
      <c r="E44" s="243" t="s">
        <v>764</v>
      </c>
      <c r="F44" s="255">
        <v>12768</v>
      </c>
      <c r="G44" s="256">
        <v>0</v>
      </c>
      <c r="H44" s="257">
        <v>10</v>
      </c>
      <c r="I44" s="256">
        <v>122</v>
      </c>
      <c r="J44" s="259">
        <v>30</v>
      </c>
      <c r="K44" s="255">
        <v>12910</v>
      </c>
      <c r="L44" s="256">
        <v>1</v>
      </c>
      <c r="M44" s="257">
        <v>55</v>
      </c>
      <c r="N44" s="256">
        <v>184</v>
      </c>
      <c r="O44" s="259">
        <v>55</v>
      </c>
      <c r="P44" s="255">
        <v>13093</v>
      </c>
      <c r="Q44" s="256">
        <v>0</v>
      </c>
      <c r="R44" s="257">
        <v>10</v>
      </c>
      <c r="S44" s="256">
        <v>167</v>
      </c>
      <c r="T44" s="259">
        <v>38</v>
      </c>
      <c r="U44" s="258">
        <v>13288</v>
      </c>
      <c r="V44" s="256">
        <v>0</v>
      </c>
      <c r="W44" s="257">
        <v>10.8</v>
      </c>
      <c r="X44" s="256">
        <v>133</v>
      </c>
      <c r="Y44" s="257">
        <v>77.3</v>
      </c>
      <c r="Z44" s="255">
        <v>13487.5</v>
      </c>
      <c r="AA44" s="256">
        <v>0</v>
      </c>
      <c r="AB44" s="257">
        <v>14.700000000000001</v>
      </c>
      <c r="AC44" s="256">
        <v>124.7</v>
      </c>
      <c r="AD44" s="257">
        <v>76.400000000000006</v>
      </c>
      <c r="AE44" s="255">
        <v>13673.9</v>
      </c>
    </row>
    <row r="45" spans="2:31">
      <c r="B45" s="254"/>
      <c r="C45" s="243"/>
      <c r="D45" s="248"/>
      <c r="E45" s="243" t="s">
        <v>765</v>
      </c>
      <c r="F45" s="255">
        <v>0</v>
      </c>
      <c r="G45" s="256">
        <v>0</v>
      </c>
      <c r="H45" s="257">
        <v>0</v>
      </c>
      <c r="I45" s="256">
        <v>0</v>
      </c>
      <c r="J45" s="259">
        <v>0</v>
      </c>
      <c r="K45" s="255">
        <v>0</v>
      </c>
      <c r="L45" s="256">
        <v>0</v>
      </c>
      <c r="M45" s="257">
        <v>0</v>
      </c>
      <c r="N45" s="256">
        <v>0</v>
      </c>
      <c r="O45" s="259">
        <v>0</v>
      </c>
      <c r="P45" s="255">
        <v>0</v>
      </c>
      <c r="Q45" s="256">
        <v>0</v>
      </c>
      <c r="R45" s="257">
        <v>0</v>
      </c>
      <c r="S45" s="256">
        <v>0</v>
      </c>
      <c r="T45" s="259">
        <v>0</v>
      </c>
      <c r="U45" s="258">
        <v>0</v>
      </c>
      <c r="V45" s="256">
        <v>0</v>
      </c>
      <c r="W45" s="257">
        <v>0</v>
      </c>
      <c r="X45" s="256">
        <v>0</v>
      </c>
      <c r="Y45" s="257">
        <v>0</v>
      </c>
      <c r="Z45" s="255">
        <v>0</v>
      </c>
      <c r="AA45" s="256">
        <v>0</v>
      </c>
      <c r="AB45" s="257">
        <v>0</v>
      </c>
      <c r="AC45" s="256">
        <v>0</v>
      </c>
      <c r="AD45" s="257">
        <v>0</v>
      </c>
      <c r="AE45" s="255">
        <v>0</v>
      </c>
    </row>
    <row r="46" spans="2:31">
      <c r="B46" s="254"/>
      <c r="C46" s="243"/>
      <c r="D46" s="248"/>
      <c r="E46" s="243"/>
      <c r="F46" s="260"/>
      <c r="G46" s="261"/>
      <c r="H46" s="262"/>
      <c r="I46" s="261"/>
      <c r="J46" s="263"/>
      <c r="K46" s="260"/>
      <c r="L46" s="261"/>
      <c r="M46" s="262"/>
      <c r="N46" s="261"/>
      <c r="O46" s="263"/>
      <c r="P46" s="260"/>
      <c r="Q46" s="261"/>
      <c r="R46" s="262"/>
      <c r="S46" s="261"/>
      <c r="T46" s="263"/>
      <c r="U46" s="264"/>
      <c r="V46" s="261"/>
      <c r="W46" s="262"/>
      <c r="X46" s="261"/>
      <c r="Y46" s="262"/>
      <c r="Z46" s="260"/>
      <c r="AA46" s="261"/>
      <c r="AB46" s="262"/>
      <c r="AC46" s="261"/>
      <c r="AD46" s="262"/>
      <c r="AE46" s="260"/>
    </row>
    <row r="47" spans="2:31">
      <c r="B47" s="254"/>
      <c r="C47" s="243"/>
      <c r="D47" s="248" t="s">
        <v>68</v>
      </c>
      <c r="E47" s="243"/>
      <c r="F47" s="260"/>
      <c r="G47" s="261"/>
      <c r="H47" s="262"/>
      <c r="I47" s="261"/>
      <c r="J47" s="263"/>
      <c r="K47" s="260"/>
      <c r="L47" s="261"/>
      <c r="M47" s="262"/>
      <c r="N47" s="261"/>
      <c r="O47" s="263"/>
      <c r="P47" s="260"/>
      <c r="Q47" s="261"/>
      <c r="R47" s="262"/>
      <c r="S47" s="261"/>
      <c r="T47" s="263"/>
      <c r="U47" s="264"/>
      <c r="V47" s="261"/>
      <c r="W47" s="262"/>
      <c r="X47" s="261"/>
      <c r="Y47" s="262"/>
      <c r="Z47" s="260"/>
      <c r="AA47" s="261"/>
      <c r="AB47" s="262"/>
      <c r="AC47" s="261"/>
      <c r="AD47" s="262"/>
      <c r="AE47" s="260"/>
    </row>
    <row r="48" spans="2:31">
      <c r="B48" s="254"/>
      <c r="C48" s="243"/>
      <c r="D48" s="248"/>
      <c r="E48" s="243" t="s">
        <v>69</v>
      </c>
      <c r="F48" s="255">
        <v>0</v>
      </c>
      <c r="G48" s="256">
        <v>0</v>
      </c>
      <c r="H48" s="257">
        <v>0</v>
      </c>
      <c r="I48" s="256">
        <v>0</v>
      </c>
      <c r="J48" s="259">
        <v>0</v>
      </c>
      <c r="K48" s="255">
        <v>0</v>
      </c>
      <c r="L48" s="256">
        <v>0</v>
      </c>
      <c r="M48" s="257">
        <v>0</v>
      </c>
      <c r="N48" s="256">
        <v>0</v>
      </c>
      <c r="O48" s="259">
        <v>0</v>
      </c>
      <c r="P48" s="255">
        <v>0</v>
      </c>
      <c r="Q48" s="256">
        <v>0</v>
      </c>
      <c r="R48" s="257">
        <v>0</v>
      </c>
      <c r="S48" s="256">
        <v>0</v>
      </c>
      <c r="T48" s="259">
        <v>0</v>
      </c>
      <c r="U48" s="258">
        <v>0</v>
      </c>
      <c r="V48" s="256" t="s">
        <v>1022</v>
      </c>
      <c r="W48" s="257">
        <v>0</v>
      </c>
      <c r="X48" s="256" t="s">
        <v>1022</v>
      </c>
      <c r="Y48" s="257">
        <v>0</v>
      </c>
      <c r="Z48" s="255">
        <v>0</v>
      </c>
      <c r="AA48" s="256" t="s">
        <v>1022</v>
      </c>
      <c r="AB48" s="257">
        <v>0</v>
      </c>
      <c r="AC48" s="256" t="s">
        <v>1022</v>
      </c>
      <c r="AD48" s="257">
        <v>0</v>
      </c>
      <c r="AE48" s="255">
        <v>0</v>
      </c>
    </row>
    <row r="49" spans="2:31">
      <c r="B49" s="254"/>
      <c r="C49" s="243"/>
      <c r="D49" s="248"/>
      <c r="E49" s="243"/>
      <c r="F49" s="260"/>
      <c r="G49" s="261"/>
      <c r="H49" s="262"/>
      <c r="I49" s="261"/>
      <c r="J49" s="263"/>
      <c r="K49" s="260"/>
      <c r="L49" s="261"/>
      <c r="M49" s="262"/>
      <c r="N49" s="261"/>
      <c r="O49" s="263"/>
      <c r="P49" s="260"/>
      <c r="Q49" s="261"/>
      <c r="R49" s="262"/>
      <c r="S49" s="261"/>
      <c r="T49" s="263"/>
      <c r="U49" s="264"/>
      <c r="V49" s="261"/>
      <c r="W49" s="262"/>
      <c r="X49" s="261"/>
      <c r="Y49" s="262"/>
      <c r="Z49" s="260"/>
      <c r="AA49" s="261"/>
      <c r="AB49" s="262"/>
      <c r="AC49" s="261"/>
      <c r="AD49" s="262"/>
      <c r="AE49" s="260"/>
    </row>
    <row r="50" spans="2:31">
      <c r="B50" s="254"/>
      <c r="C50" s="243"/>
      <c r="D50" s="248" t="s">
        <v>631</v>
      </c>
      <c r="E50" s="243"/>
      <c r="F50" s="260"/>
      <c r="G50" s="261"/>
      <c r="H50" s="262"/>
      <c r="I50" s="261"/>
      <c r="J50" s="263"/>
      <c r="K50" s="260"/>
      <c r="L50" s="261"/>
      <c r="M50" s="262"/>
      <c r="N50" s="261"/>
      <c r="O50" s="263"/>
      <c r="P50" s="260"/>
      <c r="Q50" s="261"/>
      <c r="R50" s="262"/>
      <c r="S50" s="261"/>
      <c r="T50" s="263"/>
      <c r="U50" s="264"/>
      <c r="V50" s="261"/>
      <c r="W50" s="262"/>
      <c r="X50" s="261"/>
      <c r="Y50" s="262"/>
      <c r="Z50" s="260"/>
      <c r="AA50" s="261"/>
      <c r="AB50" s="262"/>
      <c r="AC50" s="261"/>
      <c r="AD50" s="262"/>
      <c r="AE50" s="260"/>
    </row>
    <row r="51" spans="2:31">
      <c r="B51" s="254"/>
      <c r="C51" s="243"/>
      <c r="D51" s="248"/>
      <c r="E51" s="243" t="s">
        <v>70</v>
      </c>
      <c r="F51" s="255">
        <v>1148</v>
      </c>
      <c r="G51" s="256">
        <v>0</v>
      </c>
      <c r="H51" s="257">
        <v>63</v>
      </c>
      <c r="I51" s="256">
        <v>0</v>
      </c>
      <c r="J51" s="259">
        <v>23</v>
      </c>
      <c r="K51" s="255">
        <v>1108</v>
      </c>
      <c r="L51" s="256">
        <v>0</v>
      </c>
      <c r="M51" s="257">
        <v>25</v>
      </c>
      <c r="N51" s="256">
        <v>0</v>
      </c>
      <c r="O51" s="259">
        <v>24</v>
      </c>
      <c r="P51" s="255">
        <v>1107</v>
      </c>
      <c r="Q51" s="256">
        <v>0</v>
      </c>
      <c r="R51" s="257">
        <v>66</v>
      </c>
      <c r="S51" s="256">
        <v>0</v>
      </c>
      <c r="T51" s="259">
        <v>56</v>
      </c>
      <c r="U51" s="258">
        <v>1097</v>
      </c>
      <c r="V51" s="256">
        <v>0</v>
      </c>
      <c r="W51" s="257">
        <v>0</v>
      </c>
      <c r="X51" s="256">
        <v>0</v>
      </c>
      <c r="Y51" s="257">
        <v>27</v>
      </c>
      <c r="Z51" s="255">
        <v>1124</v>
      </c>
      <c r="AA51" s="256">
        <v>0</v>
      </c>
      <c r="AB51" s="257">
        <v>0</v>
      </c>
      <c r="AC51" s="256">
        <v>0</v>
      </c>
      <c r="AD51" s="257">
        <v>103</v>
      </c>
      <c r="AE51" s="255">
        <v>1227</v>
      </c>
    </row>
    <row r="52" spans="2:31">
      <c r="B52" s="254"/>
      <c r="C52" s="243"/>
      <c r="D52" s="248"/>
      <c r="E52" s="243" t="s">
        <v>80</v>
      </c>
      <c r="F52" s="255">
        <v>7882</v>
      </c>
      <c r="G52" s="256">
        <v>0</v>
      </c>
      <c r="H52" s="257">
        <v>18</v>
      </c>
      <c r="I52" s="256">
        <v>73</v>
      </c>
      <c r="J52" s="259">
        <v>15</v>
      </c>
      <c r="K52" s="255">
        <v>7952</v>
      </c>
      <c r="L52" s="256">
        <v>0</v>
      </c>
      <c r="M52" s="257">
        <v>321</v>
      </c>
      <c r="N52" s="256">
        <v>35</v>
      </c>
      <c r="O52" s="259">
        <v>37</v>
      </c>
      <c r="P52" s="255">
        <v>7703</v>
      </c>
      <c r="Q52" s="256">
        <v>0</v>
      </c>
      <c r="R52" s="257">
        <v>344</v>
      </c>
      <c r="S52" s="256">
        <v>169</v>
      </c>
      <c r="T52" s="259">
        <v>32</v>
      </c>
      <c r="U52" s="258">
        <v>7560</v>
      </c>
      <c r="V52" s="256">
        <v>0</v>
      </c>
      <c r="W52" s="257">
        <v>8</v>
      </c>
      <c r="X52" s="256">
        <v>135</v>
      </c>
      <c r="Y52" s="257">
        <v>36</v>
      </c>
      <c r="Z52" s="255">
        <v>7723</v>
      </c>
      <c r="AA52" s="256">
        <v>0</v>
      </c>
      <c r="AB52" s="257">
        <v>23</v>
      </c>
      <c r="AC52" s="256">
        <v>128</v>
      </c>
      <c r="AD52" s="257">
        <v>40</v>
      </c>
      <c r="AE52" s="255">
        <v>7868</v>
      </c>
    </row>
    <row r="53" spans="2:31">
      <c r="B53" s="254"/>
      <c r="C53" s="243"/>
      <c r="D53" s="248"/>
      <c r="E53" s="243" t="s">
        <v>81</v>
      </c>
      <c r="F53" s="255">
        <v>195</v>
      </c>
      <c r="G53" s="256">
        <v>0</v>
      </c>
      <c r="H53" s="257">
        <v>0</v>
      </c>
      <c r="I53" s="256">
        <v>0</v>
      </c>
      <c r="J53" s="259">
        <v>41</v>
      </c>
      <c r="K53" s="255">
        <v>236</v>
      </c>
      <c r="L53" s="256">
        <v>0</v>
      </c>
      <c r="M53" s="257">
        <v>6</v>
      </c>
      <c r="N53" s="256">
        <v>0</v>
      </c>
      <c r="O53" s="259">
        <v>28</v>
      </c>
      <c r="P53" s="255">
        <v>258</v>
      </c>
      <c r="Q53" s="256">
        <v>0</v>
      </c>
      <c r="R53" s="257">
        <v>0</v>
      </c>
      <c r="S53" s="256">
        <v>0</v>
      </c>
      <c r="T53" s="259">
        <v>36</v>
      </c>
      <c r="U53" s="258">
        <v>294</v>
      </c>
      <c r="V53" s="256">
        <v>0</v>
      </c>
      <c r="W53" s="257">
        <v>387</v>
      </c>
      <c r="X53" s="256">
        <v>0</v>
      </c>
      <c r="Y53" s="257">
        <v>418</v>
      </c>
      <c r="Z53" s="255">
        <v>325</v>
      </c>
      <c r="AA53" s="256">
        <v>0</v>
      </c>
      <c r="AB53" s="257">
        <v>72</v>
      </c>
      <c r="AC53" s="256">
        <v>0</v>
      </c>
      <c r="AD53" s="257">
        <v>134</v>
      </c>
      <c r="AE53" s="255">
        <v>387</v>
      </c>
    </row>
    <row r="54" spans="2:31">
      <c r="B54" s="254"/>
      <c r="C54" s="243"/>
      <c r="D54" s="248"/>
      <c r="E54" s="243" t="s">
        <v>82</v>
      </c>
      <c r="F54" s="255">
        <v>11859</v>
      </c>
      <c r="G54" s="256">
        <v>0</v>
      </c>
      <c r="H54" s="257">
        <v>162</v>
      </c>
      <c r="I54" s="256">
        <v>47</v>
      </c>
      <c r="J54" s="259">
        <v>53</v>
      </c>
      <c r="K54" s="255">
        <v>11797</v>
      </c>
      <c r="L54" s="256">
        <v>0</v>
      </c>
      <c r="M54" s="257">
        <v>355</v>
      </c>
      <c r="N54" s="256">
        <v>4</v>
      </c>
      <c r="O54" s="259">
        <v>1</v>
      </c>
      <c r="P54" s="255">
        <v>11447</v>
      </c>
      <c r="Q54" s="256">
        <v>0</v>
      </c>
      <c r="R54" s="257">
        <v>410</v>
      </c>
      <c r="S54" s="256">
        <v>32</v>
      </c>
      <c r="T54" s="259">
        <v>0</v>
      </c>
      <c r="U54" s="258">
        <v>11069</v>
      </c>
      <c r="V54" s="256">
        <v>0</v>
      </c>
      <c r="W54" s="257">
        <v>236</v>
      </c>
      <c r="X54" s="256">
        <v>25</v>
      </c>
      <c r="Y54" s="257">
        <v>1</v>
      </c>
      <c r="Z54" s="255">
        <v>10859</v>
      </c>
      <c r="AA54" s="256">
        <v>0</v>
      </c>
      <c r="AB54" s="257">
        <v>276</v>
      </c>
      <c r="AC54" s="256">
        <v>23</v>
      </c>
      <c r="AD54" s="257">
        <v>2</v>
      </c>
      <c r="AE54" s="255">
        <v>10608</v>
      </c>
    </row>
    <row r="55" spans="2:31">
      <c r="B55" s="254"/>
      <c r="C55" s="243"/>
      <c r="D55" s="248"/>
      <c r="E55" s="243" t="s">
        <v>776</v>
      </c>
      <c r="F55" s="255">
        <v>14442</v>
      </c>
      <c r="G55" s="256">
        <v>0</v>
      </c>
      <c r="H55" s="257">
        <v>13</v>
      </c>
      <c r="I55" s="256">
        <v>297</v>
      </c>
      <c r="J55" s="259">
        <v>47</v>
      </c>
      <c r="K55" s="255">
        <v>14773</v>
      </c>
      <c r="L55" s="256">
        <v>0</v>
      </c>
      <c r="M55" s="257">
        <v>94</v>
      </c>
      <c r="N55" s="256">
        <v>518</v>
      </c>
      <c r="O55" s="259">
        <v>269</v>
      </c>
      <c r="P55" s="255">
        <v>15466</v>
      </c>
      <c r="Q55" s="256">
        <v>4</v>
      </c>
      <c r="R55" s="257">
        <v>243</v>
      </c>
      <c r="S55" s="256">
        <v>552</v>
      </c>
      <c r="T55" s="259">
        <v>243</v>
      </c>
      <c r="U55" s="258">
        <v>16014</v>
      </c>
      <c r="V55" s="256">
        <v>2</v>
      </c>
      <c r="W55" s="257">
        <v>65</v>
      </c>
      <c r="X55" s="256">
        <v>445</v>
      </c>
      <c r="Y55" s="257">
        <v>274</v>
      </c>
      <c r="Z55" s="255">
        <v>16666</v>
      </c>
      <c r="AA55" s="256">
        <v>3</v>
      </c>
      <c r="AB55" s="257">
        <v>94</v>
      </c>
      <c r="AC55" s="256">
        <v>428</v>
      </c>
      <c r="AD55" s="257">
        <v>330</v>
      </c>
      <c r="AE55" s="255">
        <v>17327</v>
      </c>
    </row>
    <row r="56" spans="2:31">
      <c r="B56" s="254"/>
      <c r="C56" s="243"/>
      <c r="D56" s="248"/>
      <c r="E56" s="243" t="s">
        <v>777</v>
      </c>
      <c r="F56" s="255">
        <v>10690</v>
      </c>
      <c r="G56" s="256">
        <v>0</v>
      </c>
      <c r="H56" s="257">
        <v>1352</v>
      </c>
      <c r="I56" s="256">
        <v>3</v>
      </c>
      <c r="J56" s="259">
        <v>1405</v>
      </c>
      <c r="K56" s="255">
        <v>10746</v>
      </c>
      <c r="L56" s="256">
        <v>0</v>
      </c>
      <c r="M56" s="257">
        <v>134</v>
      </c>
      <c r="N56" s="256">
        <v>12</v>
      </c>
      <c r="O56" s="259">
        <v>388</v>
      </c>
      <c r="P56" s="255">
        <v>11012</v>
      </c>
      <c r="Q56" s="256">
        <v>0</v>
      </c>
      <c r="R56" s="257">
        <v>150</v>
      </c>
      <c r="S56" s="256">
        <v>192</v>
      </c>
      <c r="T56" s="259">
        <v>352</v>
      </c>
      <c r="U56" s="258">
        <v>11406</v>
      </c>
      <c r="V56" s="256">
        <v>0</v>
      </c>
      <c r="W56" s="257">
        <v>0</v>
      </c>
      <c r="X56" s="256">
        <v>168</v>
      </c>
      <c r="Y56" s="257">
        <v>0</v>
      </c>
      <c r="Z56" s="255">
        <v>11574</v>
      </c>
      <c r="AA56" s="256">
        <v>0</v>
      </c>
      <c r="AB56" s="257">
        <v>0</v>
      </c>
      <c r="AC56" s="256">
        <v>183</v>
      </c>
      <c r="AD56" s="257">
        <v>0</v>
      </c>
      <c r="AE56" s="255">
        <v>11757</v>
      </c>
    </row>
    <row r="57" spans="2:31">
      <c r="B57" s="254"/>
      <c r="C57" s="243"/>
      <c r="D57" s="248"/>
      <c r="E57" s="243" t="s">
        <v>72</v>
      </c>
      <c r="F57" s="255">
        <v>0</v>
      </c>
      <c r="G57" s="256">
        <v>0</v>
      </c>
      <c r="H57" s="257">
        <v>0</v>
      </c>
      <c r="I57" s="256">
        <v>0</v>
      </c>
      <c r="J57" s="259">
        <v>0</v>
      </c>
      <c r="K57" s="255">
        <v>0</v>
      </c>
      <c r="L57" s="256">
        <v>0</v>
      </c>
      <c r="M57" s="257">
        <v>0</v>
      </c>
      <c r="N57" s="256">
        <v>0</v>
      </c>
      <c r="O57" s="259">
        <v>0</v>
      </c>
      <c r="P57" s="255">
        <v>0</v>
      </c>
      <c r="Q57" s="256">
        <v>0</v>
      </c>
      <c r="R57" s="257">
        <v>0</v>
      </c>
      <c r="S57" s="256">
        <v>0</v>
      </c>
      <c r="T57" s="259">
        <v>0</v>
      </c>
      <c r="U57" s="258">
        <v>0</v>
      </c>
      <c r="V57" s="256">
        <v>0</v>
      </c>
      <c r="W57" s="257">
        <v>0</v>
      </c>
      <c r="X57" s="256">
        <v>0</v>
      </c>
      <c r="Y57" s="257">
        <v>0</v>
      </c>
      <c r="Z57" s="255">
        <v>0</v>
      </c>
      <c r="AA57" s="256">
        <v>0</v>
      </c>
      <c r="AB57" s="257">
        <v>0</v>
      </c>
      <c r="AC57" s="256">
        <v>0</v>
      </c>
      <c r="AD57" s="257">
        <v>0</v>
      </c>
      <c r="AE57" s="255">
        <v>0</v>
      </c>
    </row>
    <row r="58" spans="2:31">
      <c r="B58" s="254"/>
      <c r="C58" s="243"/>
      <c r="D58" s="243"/>
      <c r="E58" s="243" t="s">
        <v>656</v>
      </c>
      <c r="F58" s="255">
        <v>0</v>
      </c>
      <c r="G58" s="256">
        <v>0</v>
      </c>
      <c r="H58" s="257">
        <v>0</v>
      </c>
      <c r="I58" s="256">
        <v>0</v>
      </c>
      <c r="J58" s="259">
        <v>0</v>
      </c>
      <c r="K58" s="255">
        <v>0</v>
      </c>
      <c r="L58" s="256">
        <v>0</v>
      </c>
      <c r="M58" s="257">
        <v>0</v>
      </c>
      <c r="N58" s="256">
        <v>0</v>
      </c>
      <c r="O58" s="259">
        <v>0</v>
      </c>
      <c r="P58" s="255">
        <v>0</v>
      </c>
      <c r="Q58" s="256">
        <v>0</v>
      </c>
      <c r="R58" s="257">
        <v>0</v>
      </c>
      <c r="S58" s="256">
        <v>0</v>
      </c>
      <c r="T58" s="259">
        <v>0</v>
      </c>
      <c r="U58" s="258">
        <v>0</v>
      </c>
      <c r="V58" s="256">
        <v>0</v>
      </c>
      <c r="W58" s="257">
        <v>0</v>
      </c>
      <c r="X58" s="256">
        <v>0</v>
      </c>
      <c r="Y58" s="257">
        <v>0</v>
      </c>
      <c r="Z58" s="255">
        <v>0</v>
      </c>
      <c r="AA58" s="256">
        <v>0</v>
      </c>
      <c r="AB58" s="257">
        <v>0</v>
      </c>
      <c r="AC58" s="256">
        <v>0</v>
      </c>
      <c r="AD58" s="257">
        <v>0</v>
      </c>
      <c r="AE58" s="255">
        <v>0</v>
      </c>
    </row>
    <row r="59" spans="2:31">
      <c r="B59" s="254"/>
      <c r="C59" s="243"/>
      <c r="D59" s="243"/>
      <c r="E59" s="243" t="s">
        <v>495</v>
      </c>
      <c r="F59" s="255">
        <v>0</v>
      </c>
      <c r="G59" s="256">
        <v>0</v>
      </c>
      <c r="H59" s="257">
        <v>0</v>
      </c>
      <c r="I59" s="256">
        <v>0</v>
      </c>
      <c r="J59" s="259">
        <v>0</v>
      </c>
      <c r="K59" s="255">
        <v>0</v>
      </c>
      <c r="L59" s="256">
        <v>0</v>
      </c>
      <c r="M59" s="257">
        <v>0</v>
      </c>
      <c r="N59" s="256">
        <v>0</v>
      </c>
      <c r="O59" s="259">
        <v>0</v>
      </c>
      <c r="P59" s="255">
        <v>0</v>
      </c>
      <c r="Q59" s="256">
        <v>0</v>
      </c>
      <c r="R59" s="257">
        <v>0</v>
      </c>
      <c r="S59" s="256">
        <v>0</v>
      </c>
      <c r="T59" s="259">
        <v>0</v>
      </c>
      <c r="U59" s="258">
        <v>0</v>
      </c>
      <c r="V59" s="256">
        <v>0</v>
      </c>
      <c r="W59" s="257">
        <v>0</v>
      </c>
      <c r="X59" s="256">
        <v>0</v>
      </c>
      <c r="Y59" s="257">
        <v>0</v>
      </c>
      <c r="Z59" s="255">
        <v>0</v>
      </c>
      <c r="AA59" s="256">
        <v>0</v>
      </c>
      <c r="AB59" s="257">
        <v>0</v>
      </c>
      <c r="AC59" s="256">
        <v>0</v>
      </c>
      <c r="AD59" s="257">
        <v>0</v>
      </c>
      <c r="AE59" s="255">
        <v>0</v>
      </c>
    </row>
    <row r="60" spans="2:31">
      <c r="B60" s="254"/>
      <c r="C60" s="243"/>
      <c r="D60" s="248"/>
      <c r="E60" s="243" t="s">
        <v>496</v>
      </c>
      <c r="F60" s="255">
        <v>0</v>
      </c>
      <c r="G60" s="256">
        <v>0</v>
      </c>
      <c r="H60" s="257">
        <v>0</v>
      </c>
      <c r="I60" s="256">
        <v>0</v>
      </c>
      <c r="J60" s="259">
        <v>0</v>
      </c>
      <c r="K60" s="255">
        <v>0</v>
      </c>
      <c r="L60" s="256">
        <v>0</v>
      </c>
      <c r="M60" s="257">
        <v>0</v>
      </c>
      <c r="N60" s="256">
        <v>0</v>
      </c>
      <c r="O60" s="259">
        <v>0</v>
      </c>
      <c r="P60" s="255">
        <v>0</v>
      </c>
      <c r="Q60" s="256">
        <v>0</v>
      </c>
      <c r="R60" s="257">
        <v>0</v>
      </c>
      <c r="S60" s="256">
        <v>0</v>
      </c>
      <c r="T60" s="259">
        <v>0</v>
      </c>
      <c r="U60" s="258">
        <v>0</v>
      </c>
      <c r="V60" s="256">
        <v>0</v>
      </c>
      <c r="W60" s="257">
        <v>0</v>
      </c>
      <c r="X60" s="256">
        <v>0</v>
      </c>
      <c r="Y60" s="257">
        <v>0</v>
      </c>
      <c r="Z60" s="255">
        <v>0</v>
      </c>
      <c r="AA60" s="256">
        <v>0</v>
      </c>
      <c r="AB60" s="257">
        <v>0</v>
      </c>
      <c r="AC60" s="256">
        <v>0</v>
      </c>
      <c r="AD60" s="257">
        <v>0</v>
      </c>
      <c r="AE60" s="255">
        <v>0</v>
      </c>
    </row>
    <row r="61" spans="2:31">
      <c r="B61" s="254"/>
      <c r="C61" s="243"/>
      <c r="D61" s="248"/>
      <c r="E61" s="243" t="s">
        <v>497</v>
      </c>
      <c r="F61" s="255">
        <v>0</v>
      </c>
      <c r="G61" s="256">
        <v>0</v>
      </c>
      <c r="H61" s="257">
        <v>0</v>
      </c>
      <c r="I61" s="256">
        <v>0</v>
      </c>
      <c r="J61" s="259">
        <v>0</v>
      </c>
      <c r="K61" s="255">
        <v>0</v>
      </c>
      <c r="L61" s="256">
        <v>0</v>
      </c>
      <c r="M61" s="257">
        <v>0</v>
      </c>
      <c r="N61" s="256">
        <v>0</v>
      </c>
      <c r="O61" s="259">
        <v>0</v>
      </c>
      <c r="P61" s="255">
        <v>0</v>
      </c>
      <c r="Q61" s="256">
        <v>0</v>
      </c>
      <c r="R61" s="257">
        <v>0</v>
      </c>
      <c r="S61" s="256">
        <v>0</v>
      </c>
      <c r="T61" s="259">
        <v>0</v>
      </c>
      <c r="U61" s="258">
        <v>0</v>
      </c>
      <c r="V61" s="256">
        <v>0</v>
      </c>
      <c r="W61" s="257">
        <v>0</v>
      </c>
      <c r="X61" s="256">
        <v>0</v>
      </c>
      <c r="Y61" s="257">
        <v>0</v>
      </c>
      <c r="Z61" s="255">
        <v>0</v>
      </c>
      <c r="AA61" s="256">
        <v>0</v>
      </c>
      <c r="AB61" s="257">
        <v>0</v>
      </c>
      <c r="AC61" s="256">
        <v>0</v>
      </c>
      <c r="AD61" s="257">
        <v>0</v>
      </c>
      <c r="AE61" s="255">
        <v>0</v>
      </c>
    </row>
    <row r="62" spans="2:31">
      <c r="B62" s="254"/>
      <c r="C62" s="243"/>
      <c r="D62" s="248"/>
      <c r="E62" s="243" t="s">
        <v>500</v>
      </c>
      <c r="F62" s="255">
        <v>0</v>
      </c>
      <c r="G62" s="256">
        <v>0</v>
      </c>
      <c r="H62" s="257">
        <v>0</v>
      </c>
      <c r="I62" s="256">
        <v>0</v>
      </c>
      <c r="J62" s="259">
        <v>0</v>
      </c>
      <c r="K62" s="255">
        <v>0</v>
      </c>
      <c r="L62" s="256">
        <v>0</v>
      </c>
      <c r="M62" s="257">
        <v>0</v>
      </c>
      <c r="N62" s="256">
        <v>0</v>
      </c>
      <c r="O62" s="259">
        <v>0</v>
      </c>
      <c r="P62" s="255">
        <v>0</v>
      </c>
      <c r="Q62" s="256">
        <v>0</v>
      </c>
      <c r="R62" s="257">
        <v>0</v>
      </c>
      <c r="S62" s="256">
        <v>0</v>
      </c>
      <c r="T62" s="259">
        <v>0</v>
      </c>
      <c r="U62" s="258">
        <v>0</v>
      </c>
      <c r="V62" s="256">
        <v>0</v>
      </c>
      <c r="W62" s="257">
        <v>0</v>
      </c>
      <c r="X62" s="256">
        <v>0</v>
      </c>
      <c r="Y62" s="257">
        <v>0</v>
      </c>
      <c r="Z62" s="255">
        <v>0</v>
      </c>
      <c r="AA62" s="256">
        <v>0</v>
      </c>
      <c r="AB62" s="257">
        <v>0</v>
      </c>
      <c r="AC62" s="256">
        <v>0</v>
      </c>
      <c r="AD62" s="257">
        <v>0</v>
      </c>
      <c r="AE62" s="255">
        <v>0</v>
      </c>
    </row>
    <row r="63" spans="2:31">
      <c r="B63" s="254"/>
      <c r="C63" s="243"/>
      <c r="D63" s="248"/>
      <c r="E63" s="243" t="s">
        <v>659</v>
      </c>
      <c r="F63" s="255">
        <v>0</v>
      </c>
      <c r="G63" s="256">
        <v>0</v>
      </c>
      <c r="H63" s="257">
        <v>0</v>
      </c>
      <c r="I63" s="256">
        <v>0</v>
      </c>
      <c r="J63" s="259">
        <v>0</v>
      </c>
      <c r="K63" s="255">
        <v>0</v>
      </c>
      <c r="L63" s="256">
        <v>0</v>
      </c>
      <c r="M63" s="257">
        <v>0</v>
      </c>
      <c r="N63" s="256">
        <v>0</v>
      </c>
      <c r="O63" s="259">
        <v>0</v>
      </c>
      <c r="P63" s="255">
        <v>0</v>
      </c>
      <c r="Q63" s="256">
        <v>0</v>
      </c>
      <c r="R63" s="257">
        <v>0</v>
      </c>
      <c r="S63" s="256">
        <v>0</v>
      </c>
      <c r="T63" s="259">
        <v>0</v>
      </c>
      <c r="U63" s="258">
        <v>0</v>
      </c>
      <c r="V63" s="256">
        <v>0</v>
      </c>
      <c r="W63" s="257">
        <v>0</v>
      </c>
      <c r="X63" s="256">
        <v>0</v>
      </c>
      <c r="Y63" s="257">
        <v>0</v>
      </c>
      <c r="Z63" s="255">
        <v>0</v>
      </c>
      <c r="AA63" s="256">
        <v>0</v>
      </c>
      <c r="AB63" s="257">
        <v>0</v>
      </c>
      <c r="AC63" s="256">
        <v>0</v>
      </c>
      <c r="AD63" s="257">
        <v>0</v>
      </c>
      <c r="AE63" s="255">
        <v>0</v>
      </c>
    </row>
    <row r="64" spans="2:31">
      <c r="B64" s="254"/>
      <c r="C64" s="243"/>
      <c r="D64" s="248"/>
      <c r="E64" s="243" t="s">
        <v>505</v>
      </c>
      <c r="F64" s="255">
        <v>0</v>
      </c>
      <c r="G64" s="256">
        <v>0</v>
      </c>
      <c r="H64" s="257">
        <v>0</v>
      </c>
      <c r="I64" s="256">
        <v>0</v>
      </c>
      <c r="J64" s="259">
        <v>0</v>
      </c>
      <c r="K64" s="255">
        <v>0</v>
      </c>
      <c r="L64" s="256">
        <v>0</v>
      </c>
      <c r="M64" s="257">
        <v>0</v>
      </c>
      <c r="N64" s="256">
        <v>0</v>
      </c>
      <c r="O64" s="259">
        <v>0</v>
      </c>
      <c r="P64" s="255">
        <v>0</v>
      </c>
      <c r="Q64" s="256">
        <v>0</v>
      </c>
      <c r="R64" s="257">
        <v>0</v>
      </c>
      <c r="S64" s="256">
        <v>0</v>
      </c>
      <c r="T64" s="259">
        <v>0</v>
      </c>
      <c r="U64" s="258">
        <v>0</v>
      </c>
      <c r="V64" s="256">
        <v>0</v>
      </c>
      <c r="W64" s="257">
        <v>0</v>
      </c>
      <c r="X64" s="256">
        <v>0</v>
      </c>
      <c r="Y64" s="257">
        <v>0</v>
      </c>
      <c r="Z64" s="255">
        <v>0</v>
      </c>
      <c r="AA64" s="256">
        <v>0</v>
      </c>
      <c r="AB64" s="257">
        <v>0</v>
      </c>
      <c r="AC64" s="256">
        <v>0</v>
      </c>
      <c r="AD64" s="257">
        <v>0</v>
      </c>
      <c r="AE64" s="255">
        <v>0</v>
      </c>
    </row>
    <row r="65" spans="2:31">
      <c r="B65" s="254"/>
      <c r="C65" s="243"/>
      <c r="D65" s="248"/>
      <c r="E65" s="243"/>
      <c r="F65" s="260"/>
      <c r="G65" s="261"/>
      <c r="H65" s="262"/>
      <c r="I65" s="261"/>
      <c r="J65" s="263"/>
      <c r="K65" s="260"/>
      <c r="L65" s="261"/>
      <c r="M65" s="262"/>
      <c r="N65" s="261"/>
      <c r="O65" s="263"/>
      <c r="P65" s="260"/>
      <c r="Q65" s="261"/>
      <c r="R65" s="262"/>
      <c r="S65" s="261"/>
      <c r="T65" s="263"/>
      <c r="U65" s="264"/>
      <c r="V65" s="261"/>
      <c r="W65" s="262"/>
      <c r="X65" s="261"/>
      <c r="Y65" s="262"/>
      <c r="Z65" s="260"/>
      <c r="AA65" s="261"/>
      <c r="AB65" s="262"/>
      <c r="AC65" s="261"/>
      <c r="AD65" s="262"/>
      <c r="AE65" s="260"/>
    </row>
    <row r="66" spans="2:31">
      <c r="B66" s="254"/>
      <c r="C66" s="243"/>
      <c r="D66" s="248" t="s">
        <v>506</v>
      </c>
      <c r="E66" s="243"/>
      <c r="F66" s="260"/>
      <c r="G66" s="261"/>
      <c r="H66" s="262"/>
      <c r="I66" s="261"/>
      <c r="J66" s="263"/>
      <c r="K66" s="260"/>
      <c r="L66" s="261"/>
      <c r="M66" s="262"/>
      <c r="N66" s="261"/>
      <c r="O66" s="263"/>
      <c r="P66" s="260"/>
      <c r="Q66" s="261"/>
      <c r="R66" s="262"/>
      <c r="S66" s="261"/>
      <c r="T66" s="263"/>
      <c r="U66" s="264"/>
      <c r="V66" s="261"/>
      <c r="W66" s="262"/>
      <c r="X66" s="261"/>
      <c r="Y66" s="262"/>
      <c r="Z66" s="260"/>
      <c r="AA66" s="261"/>
      <c r="AB66" s="262"/>
      <c r="AC66" s="261"/>
      <c r="AD66" s="262"/>
      <c r="AE66" s="260"/>
    </row>
    <row r="67" spans="2:31">
      <c r="B67" s="254"/>
      <c r="C67" s="243"/>
      <c r="D67" s="248"/>
      <c r="E67" s="243" t="s">
        <v>507</v>
      </c>
      <c r="F67" s="255">
        <v>22676</v>
      </c>
      <c r="G67" s="256">
        <v>279</v>
      </c>
      <c r="H67" s="257">
        <v>54</v>
      </c>
      <c r="I67" s="256">
        <v>323</v>
      </c>
      <c r="J67" s="259">
        <v>54</v>
      </c>
      <c r="K67" s="255">
        <v>22720</v>
      </c>
      <c r="L67" s="256">
        <v>284</v>
      </c>
      <c r="M67" s="257">
        <v>149</v>
      </c>
      <c r="N67" s="256">
        <v>263</v>
      </c>
      <c r="O67" s="259">
        <v>149</v>
      </c>
      <c r="P67" s="255">
        <v>22699</v>
      </c>
      <c r="Q67" s="256">
        <v>356</v>
      </c>
      <c r="R67" s="257">
        <v>129</v>
      </c>
      <c r="S67" s="256">
        <v>352</v>
      </c>
      <c r="T67" s="259">
        <v>129</v>
      </c>
      <c r="U67" s="258">
        <v>22695</v>
      </c>
      <c r="V67" s="256">
        <v>156</v>
      </c>
      <c r="W67" s="257">
        <v>136</v>
      </c>
      <c r="X67" s="256">
        <v>280</v>
      </c>
      <c r="Y67" s="257">
        <v>139</v>
      </c>
      <c r="Z67" s="255">
        <v>22822</v>
      </c>
      <c r="AA67" s="256">
        <v>225</v>
      </c>
      <c r="AB67" s="257">
        <v>237</v>
      </c>
      <c r="AC67" s="256">
        <v>262</v>
      </c>
      <c r="AD67" s="257">
        <v>232</v>
      </c>
      <c r="AE67" s="255">
        <v>22854</v>
      </c>
    </row>
    <row r="68" spans="2:31">
      <c r="B68" s="254"/>
      <c r="C68" s="243"/>
      <c r="D68" s="248"/>
      <c r="E68" s="243" t="s">
        <v>508</v>
      </c>
      <c r="F68" s="255">
        <v>17685</v>
      </c>
      <c r="G68" s="256">
        <v>0</v>
      </c>
      <c r="H68" s="257">
        <v>73</v>
      </c>
      <c r="I68" s="256">
        <v>392</v>
      </c>
      <c r="J68" s="259">
        <v>74</v>
      </c>
      <c r="K68" s="255">
        <v>18078</v>
      </c>
      <c r="L68" s="256">
        <v>0</v>
      </c>
      <c r="M68" s="257">
        <v>123</v>
      </c>
      <c r="N68" s="256">
        <v>357</v>
      </c>
      <c r="O68" s="259">
        <v>143</v>
      </c>
      <c r="P68" s="255">
        <v>18455</v>
      </c>
      <c r="Q68" s="256">
        <v>50</v>
      </c>
      <c r="R68" s="257">
        <v>199</v>
      </c>
      <c r="S68" s="256">
        <v>357</v>
      </c>
      <c r="T68" s="259">
        <v>199</v>
      </c>
      <c r="U68" s="258">
        <v>18762</v>
      </c>
      <c r="V68" s="256">
        <v>22</v>
      </c>
      <c r="W68" s="257">
        <v>75</v>
      </c>
      <c r="X68" s="256">
        <v>285</v>
      </c>
      <c r="Y68" s="257">
        <v>92</v>
      </c>
      <c r="Z68" s="255">
        <v>19042</v>
      </c>
      <c r="AA68" s="256">
        <v>32</v>
      </c>
      <c r="AB68" s="257">
        <v>102</v>
      </c>
      <c r="AC68" s="256">
        <v>269</v>
      </c>
      <c r="AD68" s="257">
        <v>131</v>
      </c>
      <c r="AE68" s="255">
        <v>19308</v>
      </c>
    </row>
    <row r="69" spans="2:31">
      <c r="B69" s="254"/>
      <c r="C69" s="243"/>
      <c r="D69" s="248"/>
      <c r="E69" s="243" t="s">
        <v>509</v>
      </c>
      <c r="F69" s="255">
        <v>0</v>
      </c>
      <c r="G69" s="256">
        <v>0</v>
      </c>
      <c r="H69" s="257">
        <v>0</v>
      </c>
      <c r="I69" s="256">
        <v>0</v>
      </c>
      <c r="J69" s="259">
        <v>0</v>
      </c>
      <c r="K69" s="255">
        <v>0</v>
      </c>
      <c r="L69" s="256">
        <v>0</v>
      </c>
      <c r="M69" s="257">
        <v>0</v>
      </c>
      <c r="N69" s="256">
        <v>0</v>
      </c>
      <c r="O69" s="259">
        <v>0</v>
      </c>
      <c r="P69" s="255">
        <v>0</v>
      </c>
      <c r="Q69" s="256">
        <v>0</v>
      </c>
      <c r="R69" s="257">
        <v>0</v>
      </c>
      <c r="S69" s="256">
        <v>0</v>
      </c>
      <c r="T69" s="259">
        <v>0</v>
      </c>
      <c r="U69" s="258">
        <v>0</v>
      </c>
      <c r="V69" s="256">
        <v>0</v>
      </c>
      <c r="W69" s="257">
        <v>0</v>
      </c>
      <c r="X69" s="256">
        <v>0</v>
      </c>
      <c r="Y69" s="257">
        <v>0</v>
      </c>
      <c r="Z69" s="255">
        <v>0</v>
      </c>
      <c r="AA69" s="256">
        <v>0</v>
      </c>
      <c r="AB69" s="257">
        <v>0</v>
      </c>
      <c r="AC69" s="256">
        <v>0</v>
      </c>
      <c r="AD69" s="257">
        <v>0</v>
      </c>
      <c r="AE69" s="255">
        <v>0</v>
      </c>
    </row>
    <row r="70" spans="2:31">
      <c r="B70" s="254"/>
      <c r="C70" s="243"/>
      <c r="D70" s="248"/>
      <c r="E70" s="243" t="s">
        <v>510</v>
      </c>
      <c r="F70" s="255">
        <v>0</v>
      </c>
      <c r="G70" s="256">
        <v>0</v>
      </c>
      <c r="H70" s="257">
        <v>0</v>
      </c>
      <c r="I70" s="256">
        <v>0</v>
      </c>
      <c r="J70" s="259">
        <v>0</v>
      </c>
      <c r="K70" s="255">
        <v>0</v>
      </c>
      <c r="L70" s="256">
        <v>0</v>
      </c>
      <c r="M70" s="257">
        <v>0</v>
      </c>
      <c r="N70" s="256">
        <v>0</v>
      </c>
      <c r="O70" s="259">
        <v>0</v>
      </c>
      <c r="P70" s="255">
        <v>0</v>
      </c>
      <c r="Q70" s="256">
        <v>0</v>
      </c>
      <c r="R70" s="257">
        <v>0</v>
      </c>
      <c r="S70" s="256">
        <v>0</v>
      </c>
      <c r="T70" s="259">
        <v>0</v>
      </c>
      <c r="U70" s="258">
        <v>0</v>
      </c>
      <c r="V70" s="256">
        <v>0</v>
      </c>
      <c r="W70" s="257">
        <v>0</v>
      </c>
      <c r="X70" s="256">
        <v>0</v>
      </c>
      <c r="Y70" s="257">
        <v>0</v>
      </c>
      <c r="Z70" s="255">
        <v>0</v>
      </c>
      <c r="AA70" s="256">
        <v>0</v>
      </c>
      <c r="AB70" s="257">
        <v>0</v>
      </c>
      <c r="AC70" s="256">
        <v>0</v>
      </c>
      <c r="AD70" s="257">
        <v>0</v>
      </c>
      <c r="AE70" s="255">
        <v>0</v>
      </c>
    </row>
    <row r="71" spans="2:31" ht="13.5" thickBot="1">
      <c r="B71" s="239"/>
      <c r="C71" s="240"/>
      <c r="D71" s="240"/>
      <c r="E71" s="240"/>
      <c r="F71" s="265"/>
      <c r="G71" s="266"/>
      <c r="H71" s="267"/>
      <c r="I71" s="266"/>
      <c r="J71" s="268"/>
      <c r="K71" s="269"/>
      <c r="L71" s="266"/>
      <c r="M71" s="267"/>
      <c r="N71" s="266"/>
      <c r="O71" s="268"/>
      <c r="P71" s="269"/>
      <c r="Q71" s="266"/>
      <c r="R71" s="267"/>
      <c r="S71" s="266"/>
      <c r="T71" s="268"/>
      <c r="U71" s="270"/>
      <c r="V71" s="266"/>
      <c r="W71" s="267"/>
      <c r="X71" s="266"/>
      <c r="Y71" s="267"/>
      <c r="Z71" s="269"/>
      <c r="AA71" s="266"/>
      <c r="AB71" s="267"/>
      <c r="AC71" s="266"/>
      <c r="AD71" s="267"/>
      <c r="AE71" s="269"/>
    </row>
    <row r="72" spans="2:31">
      <c r="B72" s="271"/>
      <c r="C72" s="272" t="s">
        <v>524</v>
      </c>
      <c r="D72" s="272"/>
      <c r="E72" s="273"/>
      <c r="F72" s="274"/>
      <c r="G72" s="275"/>
      <c r="H72" s="276"/>
      <c r="I72" s="275"/>
      <c r="J72" s="277"/>
      <c r="K72" s="274"/>
      <c r="L72" s="275"/>
      <c r="M72" s="276"/>
      <c r="N72" s="275"/>
      <c r="O72" s="277"/>
      <c r="P72" s="274"/>
      <c r="Q72" s="275"/>
      <c r="R72" s="276"/>
      <c r="S72" s="275"/>
      <c r="T72" s="277"/>
      <c r="U72" s="278"/>
      <c r="V72" s="275"/>
      <c r="W72" s="276"/>
      <c r="X72" s="275"/>
      <c r="Y72" s="276"/>
      <c r="Z72" s="274"/>
      <c r="AA72" s="275"/>
      <c r="AB72" s="276"/>
      <c r="AC72" s="275"/>
      <c r="AD72" s="276"/>
      <c r="AE72" s="274"/>
    </row>
    <row r="73" spans="2:31">
      <c r="B73" s="254"/>
      <c r="C73" s="243"/>
      <c r="D73" s="248" t="s">
        <v>578</v>
      </c>
      <c r="E73" s="243"/>
      <c r="F73" s="260"/>
      <c r="G73" s="261"/>
      <c r="H73" s="262"/>
      <c r="I73" s="261"/>
      <c r="J73" s="263"/>
      <c r="K73" s="260"/>
      <c r="L73" s="261"/>
      <c r="M73" s="262"/>
      <c r="N73" s="261"/>
      <c r="O73" s="263"/>
      <c r="P73" s="260"/>
      <c r="Q73" s="261"/>
      <c r="R73" s="262"/>
      <c r="S73" s="261"/>
      <c r="T73" s="263"/>
      <c r="U73" s="264"/>
      <c r="V73" s="261"/>
      <c r="W73" s="262"/>
      <c r="X73" s="261"/>
      <c r="Y73" s="262"/>
      <c r="Z73" s="260"/>
      <c r="AA73" s="261"/>
      <c r="AB73" s="262"/>
      <c r="AC73" s="261"/>
      <c r="AD73" s="262"/>
      <c r="AE73" s="260"/>
    </row>
    <row r="74" spans="2:31">
      <c r="B74" s="254"/>
      <c r="C74" s="243"/>
      <c r="D74" s="243"/>
      <c r="E74" s="243" t="s">
        <v>525</v>
      </c>
      <c r="F74" s="255">
        <v>1806</v>
      </c>
      <c r="G74" s="256">
        <v>1</v>
      </c>
      <c r="H74" s="257">
        <v>4</v>
      </c>
      <c r="I74" s="256">
        <v>0</v>
      </c>
      <c r="J74" s="259">
        <v>4</v>
      </c>
      <c r="K74" s="255">
        <v>1805</v>
      </c>
      <c r="L74" s="256">
        <v>11</v>
      </c>
      <c r="M74" s="257">
        <v>9</v>
      </c>
      <c r="N74" s="256">
        <v>0</v>
      </c>
      <c r="O74" s="259">
        <v>9</v>
      </c>
      <c r="P74" s="255">
        <v>1794</v>
      </c>
      <c r="Q74" s="256">
        <v>30</v>
      </c>
      <c r="R74" s="257">
        <v>18</v>
      </c>
      <c r="S74" s="256">
        <v>5</v>
      </c>
      <c r="T74" s="259">
        <v>18</v>
      </c>
      <c r="U74" s="258">
        <v>1769</v>
      </c>
      <c r="V74" s="256">
        <v>5</v>
      </c>
      <c r="W74" s="257">
        <v>3.3</v>
      </c>
      <c r="X74" s="256">
        <v>4.3</v>
      </c>
      <c r="Y74" s="257">
        <v>1.8</v>
      </c>
      <c r="Z74" s="255">
        <v>1766.8</v>
      </c>
      <c r="AA74" s="256">
        <v>0.6</v>
      </c>
      <c r="AB74" s="257">
        <v>22</v>
      </c>
      <c r="AC74" s="256">
        <v>0.7</v>
      </c>
      <c r="AD74" s="257">
        <v>8.6</v>
      </c>
      <c r="AE74" s="255">
        <v>1753.5</v>
      </c>
    </row>
    <row r="75" spans="2:31">
      <c r="B75" s="254"/>
      <c r="C75" s="243"/>
      <c r="D75" s="248"/>
      <c r="E75" s="243" t="s">
        <v>526</v>
      </c>
      <c r="F75" s="255">
        <v>947</v>
      </c>
      <c r="G75" s="256">
        <v>0</v>
      </c>
      <c r="H75" s="257">
        <v>0</v>
      </c>
      <c r="I75" s="256">
        <v>0</v>
      </c>
      <c r="J75" s="259">
        <v>2</v>
      </c>
      <c r="K75" s="255">
        <v>949</v>
      </c>
      <c r="L75" s="256">
        <v>0</v>
      </c>
      <c r="M75" s="257">
        <v>0</v>
      </c>
      <c r="N75" s="256">
        <v>0</v>
      </c>
      <c r="O75" s="259">
        <v>0</v>
      </c>
      <c r="P75" s="255">
        <v>949</v>
      </c>
      <c r="Q75" s="256">
        <v>24</v>
      </c>
      <c r="R75" s="257">
        <v>0</v>
      </c>
      <c r="S75" s="256">
        <v>8</v>
      </c>
      <c r="T75" s="259">
        <v>0</v>
      </c>
      <c r="U75" s="258">
        <v>933</v>
      </c>
      <c r="V75" s="256">
        <v>0</v>
      </c>
      <c r="W75" s="257">
        <v>0</v>
      </c>
      <c r="X75" s="256">
        <v>0</v>
      </c>
      <c r="Y75" s="257">
        <v>0</v>
      </c>
      <c r="Z75" s="255">
        <v>933</v>
      </c>
      <c r="AA75" s="256">
        <v>0</v>
      </c>
      <c r="AB75" s="257">
        <v>0</v>
      </c>
      <c r="AC75" s="256">
        <v>0</v>
      </c>
      <c r="AD75" s="257">
        <v>0</v>
      </c>
      <c r="AE75" s="255">
        <v>933</v>
      </c>
    </row>
    <row r="76" spans="2:31">
      <c r="B76" s="254"/>
      <c r="C76" s="243"/>
      <c r="D76" s="248"/>
      <c r="E76" s="243" t="s">
        <v>527</v>
      </c>
      <c r="F76" s="255">
        <v>0</v>
      </c>
      <c r="G76" s="256">
        <v>0</v>
      </c>
      <c r="H76" s="257">
        <v>0</v>
      </c>
      <c r="I76" s="256">
        <v>0</v>
      </c>
      <c r="J76" s="259">
        <v>0</v>
      </c>
      <c r="K76" s="255">
        <v>0</v>
      </c>
      <c r="L76" s="256">
        <v>0</v>
      </c>
      <c r="M76" s="257">
        <v>0</v>
      </c>
      <c r="N76" s="256">
        <v>0</v>
      </c>
      <c r="O76" s="259">
        <v>0</v>
      </c>
      <c r="P76" s="255">
        <v>0</v>
      </c>
      <c r="Q76" s="256">
        <v>0</v>
      </c>
      <c r="R76" s="257">
        <v>0</v>
      </c>
      <c r="S76" s="256">
        <v>0</v>
      </c>
      <c r="T76" s="259">
        <v>0</v>
      </c>
      <c r="U76" s="258">
        <v>0</v>
      </c>
      <c r="V76" s="256">
        <v>0</v>
      </c>
      <c r="W76" s="257">
        <v>0</v>
      </c>
      <c r="X76" s="256">
        <v>0</v>
      </c>
      <c r="Y76" s="257">
        <v>0</v>
      </c>
      <c r="Z76" s="255">
        <v>0</v>
      </c>
      <c r="AA76" s="256">
        <v>0</v>
      </c>
      <c r="AB76" s="257">
        <v>0</v>
      </c>
      <c r="AC76" s="256">
        <v>0</v>
      </c>
      <c r="AD76" s="257">
        <v>0</v>
      </c>
      <c r="AE76" s="255">
        <v>0</v>
      </c>
    </row>
    <row r="77" spans="2:31">
      <c r="B77" s="254"/>
      <c r="C77" s="243"/>
      <c r="D77" s="248"/>
      <c r="E77" s="243" t="s">
        <v>528</v>
      </c>
      <c r="F77" s="255">
        <v>0</v>
      </c>
      <c r="G77" s="256">
        <v>0</v>
      </c>
      <c r="H77" s="257">
        <v>0</v>
      </c>
      <c r="I77" s="256">
        <v>0</v>
      </c>
      <c r="J77" s="259">
        <v>0</v>
      </c>
      <c r="K77" s="255">
        <v>0</v>
      </c>
      <c r="L77" s="256">
        <v>0</v>
      </c>
      <c r="M77" s="257">
        <v>0</v>
      </c>
      <c r="N77" s="256">
        <v>0</v>
      </c>
      <c r="O77" s="259">
        <v>0</v>
      </c>
      <c r="P77" s="255">
        <v>0</v>
      </c>
      <c r="Q77" s="256">
        <v>0</v>
      </c>
      <c r="R77" s="257">
        <v>0</v>
      </c>
      <c r="S77" s="256">
        <v>0</v>
      </c>
      <c r="T77" s="259">
        <v>0</v>
      </c>
      <c r="U77" s="258">
        <v>0</v>
      </c>
      <c r="V77" s="256">
        <v>0</v>
      </c>
      <c r="W77" s="257">
        <v>0</v>
      </c>
      <c r="X77" s="256">
        <v>0</v>
      </c>
      <c r="Y77" s="257">
        <v>0</v>
      </c>
      <c r="Z77" s="255">
        <v>0</v>
      </c>
      <c r="AA77" s="256">
        <v>0</v>
      </c>
      <c r="AB77" s="257">
        <v>0</v>
      </c>
      <c r="AC77" s="256">
        <v>0</v>
      </c>
      <c r="AD77" s="257">
        <v>0</v>
      </c>
      <c r="AE77" s="255">
        <v>0</v>
      </c>
    </row>
    <row r="78" spans="2:31">
      <c r="B78" s="254"/>
      <c r="C78" s="243"/>
      <c r="D78" s="248"/>
      <c r="E78" s="243"/>
      <c r="F78" s="260"/>
      <c r="G78" s="261"/>
      <c r="H78" s="262"/>
      <c r="I78" s="261"/>
      <c r="J78" s="263"/>
      <c r="K78" s="260"/>
      <c r="L78" s="261"/>
      <c r="M78" s="262"/>
      <c r="N78" s="261"/>
      <c r="O78" s="263"/>
      <c r="P78" s="260"/>
      <c r="Q78" s="261"/>
      <c r="R78" s="262"/>
      <c r="S78" s="261"/>
      <c r="T78" s="263"/>
      <c r="U78" s="264"/>
      <c r="V78" s="261"/>
      <c r="W78" s="262"/>
      <c r="X78" s="261"/>
      <c r="Y78" s="262"/>
      <c r="Z78" s="260"/>
      <c r="AA78" s="261"/>
      <c r="AB78" s="262"/>
      <c r="AC78" s="261"/>
      <c r="AD78" s="262"/>
      <c r="AE78" s="260"/>
    </row>
    <row r="79" spans="2:31">
      <c r="B79" s="254"/>
      <c r="C79" s="243"/>
      <c r="D79" s="248" t="s">
        <v>739</v>
      </c>
      <c r="E79" s="243"/>
      <c r="F79" s="260"/>
      <c r="G79" s="261"/>
      <c r="H79" s="262"/>
      <c r="I79" s="261"/>
      <c r="J79" s="263"/>
      <c r="K79" s="260"/>
      <c r="L79" s="261"/>
      <c r="M79" s="262"/>
      <c r="N79" s="261"/>
      <c r="O79" s="263"/>
      <c r="P79" s="260"/>
      <c r="Q79" s="261"/>
      <c r="R79" s="262"/>
      <c r="S79" s="261"/>
      <c r="T79" s="263"/>
      <c r="U79" s="264"/>
      <c r="V79" s="261"/>
      <c r="W79" s="262"/>
      <c r="X79" s="261"/>
      <c r="Y79" s="262"/>
      <c r="Z79" s="260"/>
      <c r="AA79" s="261"/>
      <c r="AB79" s="262"/>
      <c r="AC79" s="261"/>
      <c r="AD79" s="262"/>
      <c r="AE79" s="260"/>
    </row>
    <row r="80" spans="2:31">
      <c r="B80" s="254"/>
      <c r="C80" s="243"/>
      <c r="D80" s="243"/>
      <c r="E80" s="243" t="s">
        <v>529</v>
      </c>
      <c r="F80" s="255">
        <v>28943</v>
      </c>
      <c r="G80" s="256">
        <v>1</v>
      </c>
      <c r="H80" s="257">
        <v>36</v>
      </c>
      <c r="I80" s="256">
        <v>1</v>
      </c>
      <c r="J80" s="259">
        <v>36</v>
      </c>
      <c r="K80" s="255">
        <v>28943</v>
      </c>
      <c r="L80" s="256">
        <v>276</v>
      </c>
      <c r="M80" s="257">
        <v>0</v>
      </c>
      <c r="N80" s="256">
        <v>6</v>
      </c>
      <c r="O80" s="259">
        <v>0</v>
      </c>
      <c r="P80" s="255">
        <v>28673</v>
      </c>
      <c r="Q80" s="256">
        <v>483</v>
      </c>
      <c r="R80" s="257">
        <v>144</v>
      </c>
      <c r="S80" s="256">
        <v>83</v>
      </c>
      <c r="T80" s="259">
        <v>144</v>
      </c>
      <c r="U80" s="258">
        <v>28273</v>
      </c>
      <c r="V80" s="256">
        <v>50</v>
      </c>
      <c r="W80" s="257">
        <v>32</v>
      </c>
      <c r="X80" s="256">
        <v>43</v>
      </c>
      <c r="Y80" s="257">
        <v>20</v>
      </c>
      <c r="Z80" s="255">
        <v>28254</v>
      </c>
      <c r="AA80" s="256">
        <v>6</v>
      </c>
      <c r="AB80" s="257">
        <v>232</v>
      </c>
      <c r="AC80" s="256">
        <v>7</v>
      </c>
      <c r="AD80" s="257">
        <v>102</v>
      </c>
      <c r="AE80" s="255">
        <v>28125</v>
      </c>
    </row>
    <row r="81" spans="2:31">
      <c r="B81" s="254"/>
      <c r="C81" s="243"/>
      <c r="D81" s="243"/>
      <c r="E81" s="243" t="s">
        <v>530</v>
      </c>
      <c r="F81" s="255">
        <v>1326</v>
      </c>
      <c r="G81" s="256">
        <v>30</v>
      </c>
      <c r="H81" s="257">
        <v>0</v>
      </c>
      <c r="I81" s="256">
        <v>0</v>
      </c>
      <c r="J81" s="259">
        <v>0</v>
      </c>
      <c r="K81" s="255">
        <v>1296</v>
      </c>
      <c r="L81" s="256">
        <v>0</v>
      </c>
      <c r="M81" s="257">
        <v>0</v>
      </c>
      <c r="N81" s="256">
        <v>10</v>
      </c>
      <c r="O81" s="259">
        <v>7</v>
      </c>
      <c r="P81" s="255">
        <v>1313</v>
      </c>
      <c r="Q81" s="256">
        <v>63</v>
      </c>
      <c r="R81" s="257">
        <v>0</v>
      </c>
      <c r="S81" s="256">
        <v>37</v>
      </c>
      <c r="T81" s="259">
        <v>0</v>
      </c>
      <c r="U81" s="258">
        <v>1287</v>
      </c>
      <c r="V81" s="256">
        <v>0</v>
      </c>
      <c r="W81" s="257">
        <v>0</v>
      </c>
      <c r="X81" s="256">
        <v>0</v>
      </c>
      <c r="Y81" s="257">
        <v>0</v>
      </c>
      <c r="Z81" s="255">
        <v>1287</v>
      </c>
      <c r="AA81" s="256">
        <v>0</v>
      </c>
      <c r="AB81" s="257">
        <v>0</v>
      </c>
      <c r="AC81" s="256">
        <v>0</v>
      </c>
      <c r="AD81" s="257">
        <v>0</v>
      </c>
      <c r="AE81" s="255">
        <v>1287</v>
      </c>
    </row>
    <row r="82" spans="2:31">
      <c r="B82" s="254"/>
      <c r="C82" s="243"/>
      <c r="D82" s="248"/>
      <c r="E82" s="243" t="s">
        <v>531</v>
      </c>
      <c r="F82" s="255">
        <v>0</v>
      </c>
      <c r="G82" s="256">
        <v>0</v>
      </c>
      <c r="H82" s="257">
        <v>0</v>
      </c>
      <c r="I82" s="256">
        <v>0</v>
      </c>
      <c r="J82" s="259">
        <v>0</v>
      </c>
      <c r="K82" s="255">
        <v>0</v>
      </c>
      <c r="L82" s="256">
        <v>0</v>
      </c>
      <c r="M82" s="257">
        <v>0</v>
      </c>
      <c r="N82" s="256">
        <v>0</v>
      </c>
      <c r="O82" s="259">
        <v>0</v>
      </c>
      <c r="P82" s="255">
        <v>0</v>
      </c>
      <c r="Q82" s="256">
        <v>0</v>
      </c>
      <c r="R82" s="257">
        <v>0</v>
      </c>
      <c r="S82" s="256">
        <v>0</v>
      </c>
      <c r="T82" s="259">
        <v>0</v>
      </c>
      <c r="U82" s="258">
        <v>0</v>
      </c>
      <c r="V82" s="256">
        <v>0</v>
      </c>
      <c r="W82" s="257">
        <v>0</v>
      </c>
      <c r="X82" s="256">
        <v>0</v>
      </c>
      <c r="Y82" s="257">
        <v>0</v>
      </c>
      <c r="Z82" s="255">
        <v>0</v>
      </c>
      <c r="AA82" s="256">
        <v>0</v>
      </c>
      <c r="AB82" s="257">
        <v>0</v>
      </c>
      <c r="AC82" s="256">
        <v>0</v>
      </c>
      <c r="AD82" s="257">
        <v>0</v>
      </c>
      <c r="AE82" s="255">
        <v>0</v>
      </c>
    </row>
    <row r="83" spans="2:31">
      <c r="B83" s="254"/>
      <c r="C83" s="243"/>
      <c r="D83" s="248"/>
      <c r="E83" s="243" t="s">
        <v>532</v>
      </c>
      <c r="F83" s="255">
        <v>0</v>
      </c>
      <c r="G83" s="256">
        <v>0</v>
      </c>
      <c r="H83" s="257">
        <v>0</v>
      </c>
      <c r="I83" s="256">
        <v>0</v>
      </c>
      <c r="J83" s="259">
        <v>0</v>
      </c>
      <c r="K83" s="255">
        <v>0</v>
      </c>
      <c r="L83" s="256">
        <v>0</v>
      </c>
      <c r="M83" s="257">
        <v>0</v>
      </c>
      <c r="N83" s="256">
        <v>0</v>
      </c>
      <c r="O83" s="259">
        <v>0</v>
      </c>
      <c r="P83" s="255">
        <v>0</v>
      </c>
      <c r="Q83" s="256">
        <v>0</v>
      </c>
      <c r="R83" s="257">
        <v>0</v>
      </c>
      <c r="S83" s="256">
        <v>0</v>
      </c>
      <c r="T83" s="259">
        <v>0</v>
      </c>
      <c r="U83" s="258">
        <v>0</v>
      </c>
      <c r="V83" s="256">
        <v>0</v>
      </c>
      <c r="W83" s="257">
        <v>0</v>
      </c>
      <c r="X83" s="256">
        <v>0</v>
      </c>
      <c r="Y83" s="257">
        <v>0</v>
      </c>
      <c r="Z83" s="255">
        <v>0</v>
      </c>
      <c r="AA83" s="256">
        <v>0</v>
      </c>
      <c r="AB83" s="257">
        <v>0</v>
      </c>
      <c r="AC83" s="256">
        <v>0</v>
      </c>
      <c r="AD83" s="257">
        <v>0</v>
      </c>
      <c r="AE83" s="255">
        <v>0</v>
      </c>
    </row>
    <row r="84" spans="2:31">
      <c r="B84" s="254"/>
      <c r="C84" s="243"/>
      <c r="D84" s="243"/>
      <c r="E84" s="243"/>
      <c r="F84" s="260"/>
      <c r="G84" s="261"/>
      <c r="H84" s="262"/>
      <c r="I84" s="261"/>
      <c r="J84" s="263"/>
      <c r="K84" s="260"/>
      <c r="L84" s="261"/>
      <c r="M84" s="262"/>
      <c r="N84" s="261"/>
      <c r="O84" s="263"/>
      <c r="P84" s="260"/>
      <c r="Q84" s="261"/>
      <c r="R84" s="262"/>
      <c r="S84" s="261"/>
      <c r="T84" s="263"/>
      <c r="U84" s="264"/>
      <c r="V84" s="261"/>
      <c r="W84" s="262"/>
      <c r="X84" s="261"/>
      <c r="Y84" s="262"/>
      <c r="Z84" s="260"/>
      <c r="AA84" s="261"/>
      <c r="AB84" s="262"/>
      <c r="AC84" s="261"/>
      <c r="AD84" s="262"/>
      <c r="AE84" s="260"/>
    </row>
    <row r="85" spans="2:31">
      <c r="B85" s="241"/>
      <c r="C85" s="243"/>
      <c r="D85" s="248" t="s">
        <v>763</v>
      </c>
      <c r="E85" s="243"/>
      <c r="F85" s="260"/>
      <c r="G85" s="261"/>
      <c r="H85" s="262"/>
      <c r="I85" s="261"/>
      <c r="J85" s="263"/>
      <c r="K85" s="260"/>
      <c r="L85" s="261"/>
      <c r="M85" s="262"/>
      <c r="N85" s="261"/>
      <c r="O85" s="263"/>
      <c r="P85" s="260"/>
      <c r="Q85" s="261"/>
      <c r="R85" s="262"/>
      <c r="S85" s="261"/>
      <c r="T85" s="263"/>
      <c r="U85" s="264"/>
      <c r="V85" s="261"/>
      <c r="W85" s="262"/>
      <c r="X85" s="261"/>
      <c r="Y85" s="262"/>
      <c r="Z85" s="260"/>
      <c r="AA85" s="261"/>
      <c r="AB85" s="262"/>
      <c r="AC85" s="261"/>
      <c r="AD85" s="262"/>
      <c r="AE85" s="260"/>
    </row>
    <row r="86" spans="2:31">
      <c r="B86" s="241"/>
      <c r="C86" s="243"/>
      <c r="D86" s="248"/>
      <c r="E86" s="243" t="s">
        <v>413</v>
      </c>
      <c r="F86" s="255">
        <v>1381</v>
      </c>
      <c r="G86" s="256">
        <v>0</v>
      </c>
      <c r="H86" s="257">
        <v>0</v>
      </c>
      <c r="I86" s="256">
        <v>67</v>
      </c>
      <c r="J86" s="259">
        <v>25</v>
      </c>
      <c r="K86" s="255">
        <v>1473</v>
      </c>
      <c r="L86" s="256">
        <v>2</v>
      </c>
      <c r="M86" s="257">
        <v>8</v>
      </c>
      <c r="N86" s="256">
        <v>55</v>
      </c>
      <c r="O86" s="259">
        <v>8</v>
      </c>
      <c r="P86" s="255">
        <v>1526</v>
      </c>
      <c r="Q86" s="256">
        <v>0</v>
      </c>
      <c r="R86" s="257">
        <v>0</v>
      </c>
      <c r="S86" s="256">
        <v>23</v>
      </c>
      <c r="T86" s="259">
        <v>16</v>
      </c>
      <c r="U86" s="258">
        <v>1565</v>
      </c>
      <c r="V86" s="256">
        <v>1.9</v>
      </c>
      <c r="W86" s="257">
        <v>19.2</v>
      </c>
      <c r="X86" s="256">
        <v>11.9</v>
      </c>
      <c r="Y86" s="257">
        <v>4.2</v>
      </c>
      <c r="Z86" s="255">
        <v>1560</v>
      </c>
      <c r="AA86" s="256">
        <v>1.1000000000000001</v>
      </c>
      <c r="AB86" s="257">
        <v>12.4</v>
      </c>
      <c r="AC86" s="256">
        <v>4.4000000000000004</v>
      </c>
      <c r="AD86" s="257">
        <v>11.7</v>
      </c>
      <c r="AE86" s="255">
        <v>1562.6</v>
      </c>
    </row>
    <row r="87" spans="2:31">
      <c r="B87" s="241"/>
      <c r="C87" s="243"/>
      <c r="D87" s="248"/>
      <c r="E87" s="243" t="s">
        <v>414</v>
      </c>
      <c r="F87" s="255">
        <v>157</v>
      </c>
      <c r="G87" s="256">
        <v>1</v>
      </c>
      <c r="H87" s="257">
        <v>0</v>
      </c>
      <c r="I87" s="256">
        <v>0</v>
      </c>
      <c r="J87" s="259">
        <v>0</v>
      </c>
      <c r="K87" s="255">
        <v>156</v>
      </c>
      <c r="L87" s="256">
        <v>0</v>
      </c>
      <c r="M87" s="257">
        <v>0</v>
      </c>
      <c r="N87" s="256">
        <v>0</v>
      </c>
      <c r="O87" s="259">
        <v>0</v>
      </c>
      <c r="P87" s="255">
        <v>156</v>
      </c>
      <c r="Q87" s="256">
        <v>0</v>
      </c>
      <c r="R87" s="257">
        <v>0</v>
      </c>
      <c r="S87" s="256">
        <v>0</v>
      </c>
      <c r="T87" s="259">
        <v>0</v>
      </c>
      <c r="U87" s="258">
        <v>156</v>
      </c>
      <c r="V87" s="256">
        <v>0</v>
      </c>
      <c r="W87" s="257">
        <v>0</v>
      </c>
      <c r="X87" s="256">
        <v>0</v>
      </c>
      <c r="Y87" s="257">
        <v>0</v>
      </c>
      <c r="Z87" s="255">
        <v>156</v>
      </c>
      <c r="AA87" s="256">
        <v>0</v>
      </c>
      <c r="AB87" s="257">
        <v>0</v>
      </c>
      <c r="AC87" s="256">
        <v>0</v>
      </c>
      <c r="AD87" s="257">
        <v>0</v>
      </c>
      <c r="AE87" s="255">
        <v>156</v>
      </c>
    </row>
    <row r="88" spans="2:31">
      <c r="B88" s="241"/>
      <c r="C88" s="243"/>
      <c r="D88" s="248"/>
      <c r="E88" s="243" t="s">
        <v>415</v>
      </c>
      <c r="F88" s="255">
        <v>0</v>
      </c>
      <c r="G88" s="256">
        <v>0</v>
      </c>
      <c r="H88" s="257">
        <v>0</v>
      </c>
      <c r="I88" s="256">
        <v>0</v>
      </c>
      <c r="J88" s="259">
        <v>0</v>
      </c>
      <c r="K88" s="255">
        <v>0</v>
      </c>
      <c r="L88" s="256">
        <v>0</v>
      </c>
      <c r="M88" s="257">
        <v>0</v>
      </c>
      <c r="N88" s="256">
        <v>0</v>
      </c>
      <c r="O88" s="259">
        <v>0</v>
      </c>
      <c r="P88" s="255">
        <v>0</v>
      </c>
      <c r="Q88" s="256">
        <v>0</v>
      </c>
      <c r="R88" s="257">
        <v>0</v>
      </c>
      <c r="S88" s="256">
        <v>0</v>
      </c>
      <c r="T88" s="259">
        <v>0</v>
      </c>
      <c r="U88" s="258">
        <v>0</v>
      </c>
      <c r="V88" s="256">
        <v>0</v>
      </c>
      <c r="W88" s="257">
        <v>0</v>
      </c>
      <c r="X88" s="256">
        <v>0</v>
      </c>
      <c r="Y88" s="257">
        <v>0</v>
      </c>
      <c r="Z88" s="255">
        <v>0</v>
      </c>
      <c r="AA88" s="256">
        <v>0</v>
      </c>
      <c r="AB88" s="257">
        <v>0</v>
      </c>
      <c r="AC88" s="256">
        <v>0</v>
      </c>
      <c r="AD88" s="257">
        <v>0</v>
      </c>
      <c r="AE88" s="255">
        <v>0</v>
      </c>
    </row>
    <row r="89" spans="2:31">
      <c r="B89" s="241"/>
      <c r="C89" s="243"/>
      <c r="D89" s="248"/>
      <c r="E89" s="243" t="s">
        <v>537</v>
      </c>
      <c r="F89" s="255">
        <v>0</v>
      </c>
      <c r="G89" s="256">
        <v>0</v>
      </c>
      <c r="H89" s="257">
        <v>0</v>
      </c>
      <c r="I89" s="256">
        <v>0</v>
      </c>
      <c r="J89" s="259">
        <v>0</v>
      </c>
      <c r="K89" s="255">
        <v>0</v>
      </c>
      <c r="L89" s="256">
        <v>0</v>
      </c>
      <c r="M89" s="257">
        <v>0</v>
      </c>
      <c r="N89" s="256">
        <v>0</v>
      </c>
      <c r="O89" s="259">
        <v>0</v>
      </c>
      <c r="P89" s="255">
        <v>0</v>
      </c>
      <c r="Q89" s="256">
        <v>0</v>
      </c>
      <c r="R89" s="257">
        <v>0</v>
      </c>
      <c r="S89" s="256">
        <v>0</v>
      </c>
      <c r="T89" s="259">
        <v>0</v>
      </c>
      <c r="U89" s="258">
        <v>0</v>
      </c>
      <c r="V89" s="256">
        <v>0</v>
      </c>
      <c r="W89" s="257">
        <v>0</v>
      </c>
      <c r="X89" s="256">
        <v>0</v>
      </c>
      <c r="Y89" s="257">
        <v>0</v>
      </c>
      <c r="Z89" s="255">
        <v>0</v>
      </c>
      <c r="AA89" s="256">
        <v>0</v>
      </c>
      <c r="AB89" s="257">
        <v>0</v>
      </c>
      <c r="AC89" s="256">
        <v>0</v>
      </c>
      <c r="AD89" s="257">
        <v>0</v>
      </c>
      <c r="AE89" s="255">
        <v>0</v>
      </c>
    </row>
    <row r="90" spans="2:31">
      <c r="B90" s="241"/>
      <c r="C90" s="243"/>
      <c r="D90" s="248"/>
      <c r="E90" s="243" t="s">
        <v>425</v>
      </c>
      <c r="F90" s="255">
        <v>0</v>
      </c>
      <c r="G90" s="256">
        <v>0</v>
      </c>
      <c r="H90" s="257">
        <v>0</v>
      </c>
      <c r="I90" s="256">
        <v>0</v>
      </c>
      <c r="J90" s="259">
        <v>0</v>
      </c>
      <c r="K90" s="255">
        <v>0</v>
      </c>
      <c r="L90" s="256">
        <v>0</v>
      </c>
      <c r="M90" s="257">
        <v>0</v>
      </c>
      <c r="N90" s="256">
        <v>0</v>
      </c>
      <c r="O90" s="259">
        <v>0</v>
      </c>
      <c r="P90" s="255">
        <v>0</v>
      </c>
      <c r="Q90" s="256">
        <v>0</v>
      </c>
      <c r="R90" s="257">
        <v>0</v>
      </c>
      <c r="S90" s="256">
        <v>0</v>
      </c>
      <c r="T90" s="259">
        <v>0</v>
      </c>
      <c r="U90" s="258">
        <v>0</v>
      </c>
      <c r="V90" s="256">
        <v>0</v>
      </c>
      <c r="W90" s="257">
        <v>0</v>
      </c>
      <c r="X90" s="256">
        <v>0</v>
      </c>
      <c r="Y90" s="257">
        <v>0</v>
      </c>
      <c r="Z90" s="255">
        <v>0</v>
      </c>
      <c r="AA90" s="256">
        <v>0</v>
      </c>
      <c r="AB90" s="257">
        <v>0</v>
      </c>
      <c r="AC90" s="256">
        <v>0</v>
      </c>
      <c r="AD90" s="257">
        <v>0</v>
      </c>
      <c r="AE90" s="255">
        <v>0</v>
      </c>
    </row>
    <row r="91" spans="2:31">
      <c r="B91" s="241"/>
      <c r="C91" s="243"/>
      <c r="D91" s="248"/>
      <c r="E91" s="243" t="s">
        <v>426</v>
      </c>
      <c r="F91" s="255">
        <v>0</v>
      </c>
      <c r="G91" s="256">
        <v>0</v>
      </c>
      <c r="H91" s="257">
        <v>0</v>
      </c>
      <c r="I91" s="256">
        <v>0</v>
      </c>
      <c r="J91" s="259">
        <v>0</v>
      </c>
      <c r="K91" s="255">
        <v>0</v>
      </c>
      <c r="L91" s="256">
        <v>0</v>
      </c>
      <c r="M91" s="257">
        <v>0</v>
      </c>
      <c r="N91" s="256">
        <v>0</v>
      </c>
      <c r="O91" s="259">
        <v>0</v>
      </c>
      <c r="P91" s="255">
        <v>0</v>
      </c>
      <c r="Q91" s="256">
        <v>0</v>
      </c>
      <c r="R91" s="257">
        <v>0</v>
      </c>
      <c r="S91" s="256">
        <v>0</v>
      </c>
      <c r="T91" s="259">
        <v>0</v>
      </c>
      <c r="U91" s="258">
        <v>0</v>
      </c>
      <c r="V91" s="256">
        <v>0</v>
      </c>
      <c r="W91" s="257">
        <v>0</v>
      </c>
      <c r="X91" s="256">
        <v>0</v>
      </c>
      <c r="Y91" s="257">
        <v>0</v>
      </c>
      <c r="Z91" s="255">
        <v>0</v>
      </c>
      <c r="AA91" s="256">
        <v>0</v>
      </c>
      <c r="AB91" s="257">
        <v>0</v>
      </c>
      <c r="AC91" s="256">
        <v>0</v>
      </c>
      <c r="AD91" s="257">
        <v>0</v>
      </c>
      <c r="AE91" s="255">
        <v>0</v>
      </c>
    </row>
    <row r="92" spans="2:31">
      <c r="B92" s="241"/>
      <c r="C92" s="243"/>
      <c r="D92" s="243"/>
      <c r="E92" s="243"/>
      <c r="F92" s="260"/>
      <c r="G92" s="261"/>
      <c r="H92" s="262"/>
      <c r="I92" s="261"/>
      <c r="J92" s="263"/>
      <c r="K92" s="260"/>
      <c r="L92" s="261"/>
      <c r="M92" s="262"/>
      <c r="N92" s="261"/>
      <c r="O92" s="263"/>
      <c r="P92" s="260"/>
      <c r="Q92" s="261"/>
      <c r="R92" s="262"/>
      <c r="S92" s="261"/>
      <c r="T92" s="263"/>
      <c r="U92" s="264"/>
      <c r="V92" s="261"/>
      <c r="W92" s="262"/>
      <c r="X92" s="261"/>
      <c r="Y92" s="262"/>
      <c r="Z92" s="260"/>
      <c r="AA92" s="261"/>
      <c r="AB92" s="262"/>
      <c r="AC92" s="261"/>
      <c r="AD92" s="262"/>
      <c r="AE92" s="260"/>
    </row>
    <row r="93" spans="2:31">
      <c r="B93" s="241"/>
      <c r="C93" s="243"/>
      <c r="D93" s="248" t="s">
        <v>68</v>
      </c>
      <c r="E93" s="243"/>
      <c r="F93" s="260"/>
      <c r="G93" s="261"/>
      <c r="H93" s="262"/>
      <c r="I93" s="261"/>
      <c r="J93" s="263"/>
      <c r="K93" s="260"/>
      <c r="L93" s="261"/>
      <c r="M93" s="262"/>
      <c r="N93" s="261"/>
      <c r="O93" s="263"/>
      <c r="P93" s="260"/>
      <c r="Q93" s="261"/>
      <c r="R93" s="262"/>
      <c r="S93" s="261"/>
      <c r="T93" s="263"/>
      <c r="U93" s="264"/>
      <c r="V93" s="261"/>
      <c r="W93" s="262"/>
      <c r="X93" s="261"/>
      <c r="Y93" s="262"/>
      <c r="Z93" s="260"/>
      <c r="AA93" s="261"/>
      <c r="AB93" s="262"/>
      <c r="AC93" s="261"/>
      <c r="AD93" s="262"/>
      <c r="AE93" s="260"/>
    </row>
    <row r="94" spans="2:31">
      <c r="B94" s="241"/>
      <c r="C94" s="243"/>
      <c r="D94" s="243"/>
      <c r="E94" s="243" t="s">
        <v>387</v>
      </c>
      <c r="F94" s="255">
        <v>0</v>
      </c>
      <c r="G94" s="256">
        <v>0</v>
      </c>
      <c r="H94" s="257">
        <v>0</v>
      </c>
      <c r="I94" s="256">
        <v>0</v>
      </c>
      <c r="J94" s="259">
        <v>0</v>
      </c>
      <c r="K94" s="255">
        <v>0</v>
      </c>
      <c r="L94" s="256">
        <v>0</v>
      </c>
      <c r="M94" s="257">
        <v>0</v>
      </c>
      <c r="N94" s="256">
        <v>0</v>
      </c>
      <c r="O94" s="259">
        <v>0</v>
      </c>
      <c r="P94" s="255">
        <v>0</v>
      </c>
      <c r="Q94" s="256">
        <v>0</v>
      </c>
      <c r="R94" s="257">
        <v>0</v>
      </c>
      <c r="S94" s="256">
        <v>0</v>
      </c>
      <c r="T94" s="259">
        <v>0</v>
      </c>
      <c r="U94" s="258">
        <v>0</v>
      </c>
      <c r="V94" s="256" t="s">
        <v>1022</v>
      </c>
      <c r="W94" s="257">
        <v>0</v>
      </c>
      <c r="X94" s="256" t="s">
        <v>1022</v>
      </c>
      <c r="Y94" s="257">
        <v>0</v>
      </c>
      <c r="Z94" s="255">
        <v>0</v>
      </c>
      <c r="AA94" s="256" t="s">
        <v>1022</v>
      </c>
      <c r="AB94" s="257">
        <v>0</v>
      </c>
      <c r="AC94" s="256" t="s">
        <v>1022</v>
      </c>
      <c r="AD94" s="257">
        <v>0</v>
      </c>
      <c r="AE94" s="255">
        <v>0</v>
      </c>
    </row>
    <row r="95" spans="2:31">
      <c r="B95" s="241"/>
      <c r="C95" s="243"/>
      <c r="D95" s="248"/>
      <c r="E95" s="243"/>
      <c r="F95" s="260"/>
      <c r="G95" s="261"/>
      <c r="H95" s="262"/>
      <c r="I95" s="261"/>
      <c r="J95" s="263"/>
      <c r="K95" s="260"/>
      <c r="L95" s="261"/>
      <c r="M95" s="262"/>
      <c r="N95" s="261"/>
      <c r="O95" s="263"/>
      <c r="P95" s="260"/>
      <c r="Q95" s="261"/>
      <c r="R95" s="262"/>
      <c r="S95" s="261"/>
      <c r="T95" s="263"/>
      <c r="U95" s="264"/>
      <c r="V95" s="261"/>
      <c r="W95" s="262"/>
      <c r="X95" s="261"/>
      <c r="Y95" s="262"/>
      <c r="Z95" s="260"/>
      <c r="AA95" s="261"/>
      <c r="AB95" s="262"/>
      <c r="AC95" s="261"/>
      <c r="AD95" s="262"/>
      <c r="AE95" s="260"/>
    </row>
    <row r="96" spans="2:31">
      <c r="B96" s="241"/>
      <c r="C96" s="243"/>
      <c r="D96" s="248" t="s">
        <v>631</v>
      </c>
      <c r="E96" s="243"/>
      <c r="F96" s="260"/>
      <c r="G96" s="261"/>
      <c r="H96" s="262"/>
      <c r="I96" s="261"/>
      <c r="J96" s="263"/>
      <c r="K96" s="260"/>
      <c r="L96" s="261"/>
      <c r="M96" s="262"/>
      <c r="N96" s="261"/>
      <c r="O96" s="263"/>
      <c r="P96" s="260"/>
      <c r="Q96" s="261"/>
      <c r="R96" s="262"/>
      <c r="S96" s="261"/>
      <c r="T96" s="263"/>
      <c r="U96" s="264"/>
      <c r="V96" s="261"/>
      <c r="W96" s="262"/>
      <c r="X96" s="261"/>
      <c r="Y96" s="262"/>
      <c r="Z96" s="260"/>
      <c r="AA96" s="261"/>
      <c r="AB96" s="262"/>
      <c r="AC96" s="261"/>
      <c r="AD96" s="262"/>
      <c r="AE96" s="260"/>
    </row>
    <row r="97" spans="2:31">
      <c r="B97" s="241"/>
      <c r="C97" s="243"/>
      <c r="D97" s="248"/>
      <c r="E97" s="273" t="s">
        <v>388</v>
      </c>
      <c r="F97" s="255">
        <v>365</v>
      </c>
      <c r="G97" s="256">
        <v>0</v>
      </c>
      <c r="H97" s="257">
        <v>0</v>
      </c>
      <c r="I97" s="256">
        <v>5</v>
      </c>
      <c r="J97" s="259">
        <v>0</v>
      </c>
      <c r="K97" s="255">
        <v>370</v>
      </c>
      <c r="L97" s="256">
        <v>1</v>
      </c>
      <c r="M97" s="257">
        <v>0</v>
      </c>
      <c r="N97" s="256">
        <v>12</v>
      </c>
      <c r="O97" s="259">
        <v>0</v>
      </c>
      <c r="P97" s="255">
        <v>381</v>
      </c>
      <c r="Q97" s="256">
        <v>0</v>
      </c>
      <c r="R97" s="257">
        <v>0</v>
      </c>
      <c r="S97" s="256">
        <v>15</v>
      </c>
      <c r="T97" s="259">
        <v>15</v>
      </c>
      <c r="U97" s="258">
        <v>411</v>
      </c>
      <c r="V97" s="256">
        <v>0</v>
      </c>
      <c r="W97" s="257">
        <v>6</v>
      </c>
      <c r="X97" s="256">
        <v>0</v>
      </c>
      <c r="Y97" s="257">
        <v>6</v>
      </c>
      <c r="Z97" s="255">
        <v>411</v>
      </c>
      <c r="AA97" s="256">
        <v>0</v>
      </c>
      <c r="AB97" s="257">
        <v>7</v>
      </c>
      <c r="AC97" s="256">
        <v>3</v>
      </c>
      <c r="AD97" s="257">
        <v>7</v>
      </c>
      <c r="AE97" s="255">
        <v>414</v>
      </c>
    </row>
    <row r="98" spans="2:31">
      <c r="B98" s="241"/>
      <c r="C98" s="243"/>
      <c r="D98" s="248"/>
      <c r="E98" s="273" t="s">
        <v>389</v>
      </c>
      <c r="F98" s="255">
        <v>569</v>
      </c>
      <c r="G98" s="256">
        <v>0</v>
      </c>
      <c r="H98" s="257">
        <v>0</v>
      </c>
      <c r="I98" s="256">
        <v>17</v>
      </c>
      <c r="J98" s="259">
        <v>1</v>
      </c>
      <c r="K98" s="255">
        <v>587</v>
      </c>
      <c r="L98" s="256">
        <v>0</v>
      </c>
      <c r="M98" s="257">
        <v>0</v>
      </c>
      <c r="N98" s="256">
        <v>0</v>
      </c>
      <c r="O98" s="259">
        <v>0</v>
      </c>
      <c r="P98" s="255">
        <v>587</v>
      </c>
      <c r="Q98" s="256">
        <v>12</v>
      </c>
      <c r="R98" s="257">
        <v>12</v>
      </c>
      <c r="S98" s="256">
        <v>1</v>
      </c>
      <c r="T98" s="259">
        <v>12</v>
      </c>
      <c r="U98" s="258">
        <v>576</v>
      </c>
      <c r="V98" s="256">
        <v>0</v>
      </c>
      <c r="W98" s="257">
        <v>9</v>
      </c>
      <c r="X98" s="256">
        <v>0</v>
      </c>
      <c r="Y98" s="257">
        <v>8</v>
      </c>
      <c r="Z98" s="255">
        <v>575</v>
      </c>
      <c r="AA98" s="256">
        <v>0</v>
      </c>
      <c r="AB98" s="257">
        <v>9</v>
      </c>
      <c r="AC98" s="256">
        <v>0</v>
      </c>
      <c r="AD98" s="257">
        <v>9</v>
      </c>
      <c r="AE98" s="255">
        <v>575</v>
      </c>
    </row>
    <row r="99" spans="2:31">
      <c r="B99" s="241"/>
      <c r="C99" s="243"/>
      <c r="D99" s="248"/>
      <c r="E99" s="273" t="s">
        <v>390</v>
      </c>
      <c r="F99" s="255">
        <v>0</v>
      </c>
      <c r="G99" s="256">
        <v>0</v>
      </c>
      <c r="H99" s="257">
        <v>0</v>
      </c>
      <c r="I99" s="256">
        <v>0</v>
      </c>
      <c r="J99" s="259">
        <v>0</v>
      </c>
      <c r="K99" s="255">
        <v>0</v>
      </c>
      <c r="L99" s="256">
        <v>0</v>
      </c>
      <c r="M99" s="257">
        <v>0</v>
      </c>
      <c r="N99" s="256">
        <v>0</v>
      </c>
      <c r="O99" s="259">
        <v>0</v>
      </c>
      <c r="P99" s="255">
        <v>0</v>
      </c>
      <c r="Q99" s="256">
        <v>0</v>
      </c>
      <c r="R99" s="257">
        <v>0</v>
      </c>
      <c r="S99" s="256">
        <v>0</v>
      </c>
      <c r="T99" s="259">
        <v>0</v>
      </c>
      <c r="U99" s="258">
        <v>0</v>
      </c>
      <c r="V99" s="256">
        <v>0</v>
      </c>
      <c r="W99" s="257">
        <v>0</v>
      </c>
      <c r="X99" s="256">
        <v>0</v>
      </c>
      <c r="Y99" s="257">
        <v>0</v>
      </c>
      <c r="Z99" s="255">
        <v>0</v>
      </c>
      <c r="AA99" s="256">
        <v>0</v>
      </c>
      <c r="AB99" s="257">
        <v>0</v>
      </c>
      <c r="AC99" s="256">
        <v>0</v>
      </c>
      <c r="AD99" s="257">
        <v>0</v>
      </c>
      <c r="AE99" s="255">
        <v>0</v>
      </c>
    </row>
    <row r="100" spans="2:31">
      <c r="B100" s="241"/>
      <c r="C100" s="243"/>
      <c r="D100" s="248"/>
      <c r="E100" s="273" t="s">
        <v>391</v>
      </c>
      <c r="F100" s="255">
        <v>0</v>
      </c>
      <c r="G100" s="256">
        <v>0</v>
      </c>
      <c r="H100" s="257">
        <v>0</v>
      </c>
      <c r="I100" s="256">
        <v>0</v>
      </c>
      <c r="J100" s="259">
        <v>0</v>
      </c>
      <c r="K100" s="255">
        <v>0</v>
      </c>
      <c r="L100" s="256">
        <v>0</v>
      </c>
      <c r="M100" s="257">
        <v>0</v>
      </c>
      <c r="N100" s="256">
        <v>0</v>
      </c>
      <c r="O100" s="259">
        <v>0</v>
      </c>
      <c r="P100" s="255">
        <v>0</v>
      </c>
      <c r="Q100" s="256">
        <v>0</v>
      </c>
      <c r="R100" s="257">
        <v>0</v>
      </c>
      <c r="S100" s="256">
        <v>0</v>
      </c>
      <c r="T100" s="259">
        <v>0</v>
      </c>
      <c r="U100" s="258">
        <v>0</v>
      </c>
      <c r="V100" s="256">
        <v>0</v>
      </c>
      <c r="W100" s="257">
        <v>0</v>
      </c>
      <c r="X100" s="256">
        <v>0</v>
      </c>
      <c r="Y100" s="257">
        <v>0</v>
      </c>
      <c r="Z100" s="255">
        <v>0</v>
      </c>
      <c r="AA100" s="256">
        <v>0</v>
      </c>
      <c r="AB100" s="257">
        <v>0</v>
      </c>
      <c r="AC100" s="256">
        <v>0</v>
      </c>
      <c r="AD100" s="257">
        <v>0</v>
      </c>
      <c r="AE100" s="255">
        <v>0</v>
      </c>
    </row>
    <row r="101" spans="2:31">
      <c r="B101" s="241"/>
      <c r="C101" s="243"/>
      <c r="D101" s="248"/>
      <c r="E101" s="273" t="s">
        <v>392</v>
      </c>
      <c r="F101" s="255">
        <v>51</v>
      </c>
      <c r="G101" s="256">
        <v>0</v>
      </c>
      <c r="H101" s="257">
        <v>0</v>
      </c>
      <c r="I101" s="256">
        <v>0</v>
      </c>
      <c r="J101" s="259">
        <v>0</v>
      </c>
      <c r="K101" s="255">
        <v>51</v>
      </c>
      <c r="L101" s="256">
        <v>1</v>
      </c>
      <c r="M101" s="257">
        <v>0</v>
      </c>
      <c r="N101" s="256">
        <v>5</v>
      </c>
      <c r="O101" s="259">
        <v>0</v>
      </c>
      <c r="P101" s="255">
        <v>55</v>
      </c>
      <c r="Q101" s="256">
        <v>2</v>
      </c>
      <c r="R101" s="257">
        <v>0</v>
      </c>
      <c r="S101" s="256">
        <v>1</v>
      </c>
      <c r="T101" s="259">
        <v>0</v>
      </c>
      <c r="U101" s="258">
        <v>54</v>
      </c>
      <c r="V101" s="256">
        <v>0</v>
      </c>
      <c r="W101" s="257">
        <v>0</v>
      </c>
      <c r="X101" s="256">
        <v>0</v>
      </c>
      <c r="Y101" s="257">
        <v>0</v>
      </c>
      <c r="Z101" s="255">
        <v>54</v>
      </c>
      <c r="AA101" s="256">
        <v>0</v>
      </c>
      <c r="AB101" s="257">
        <v>0</v>
      </c>
      <c r="AC101" s="256">
        <v>0</v>
      </c>
      <c r="AD101" s="257">
        <v>0</v>
      </c>
      <c r="AE101" s="255">
        <v>54</v>
      </c>
    </row>
    <row r="102" spans="2:31">
      <c r="B102" s="241"/>
      <c r="C102" s="243"/>
      <c r="D102" s="248"/>
      <c r="E102" s="273" t="s">
        <v>393</v>
      </c>
      <c r="F102" s="255">
        <v>2013</v>
      </c>
      <c r="G102" s="256">
        <v>0</v>
      </c>
      <c r="H102" s="257">
        <v>0</v>
      </c>
      <c r="I102" s="256">
        <v>2</v>
      </c>
      <c r="J102" s="259">
        <v>0</v>
      </c>
      <c r="K102" s="255">
        <v>2015</v>
      </c>
      <c r="L102" s="256">
        <v>0</v>
      </c>
      <c r="M102" s="257">
        <v>0</v>
      </c>
      <c r="N102" s="256">
        <v>2</v>
      </c>
      <c r="O102" s="259">
        <v>0</v>
      </c>
      <c r="P102" s="255">
        <v>2017</v>
      </c>
      <c r="Q102" s="256">
        <v>0</v>
      </c>
      <c r="R102" s="257">
        <v>17</v>
      </c>
      <c r="S102" s="256">
        <v>2</v>
      </c>
      <c r="T102" s="259">
        <v>42</v>
      </c>
      <c r="U102" s="258">
        <v>2044</v>
      </c>
      <c r="V102" s="256">
        <v>0</v>
      </c>
      <c r="W102" s="257">
        <v>0</v>
      </c>
      <c r="X102" s="256">
        <v>0</v>
      </c>
      <c r="Y102" s="257">
        <v>0</v>
      </c>
      <c r="Z102" s="255">
        <v>2044</v>
      </c>
      <c r="AA102" s="256">
        <v>0</v>
      </c>
      <c r="AB102" s="257">
        <v>0</v>
      </c>
      <c r="AC102" s="256">
        <v>0</v>
      </c>
      <c r="AD102" s="257">
        <v>0</v>
      </c>
      <c r="AE102" s="255">
        <v>2044</v>
      </c>
    </row>
    <row r="103" spans="2:31">
      <c r="B103" s="241"/>
      <c r="C103" s="243"/>
      <c r="D103" s="248"/>
      <c r="E103" s="273" t="s">
        <v>394</v>
      </c>
      <c r="F103" s="255">
        <v>0</v>
      </c>
      <c r="G103" s="256">
        <v>0</v>
      </c>
      <c r="H103" s="257">
        <v>0</v>
      </c>
      <c r="I103" s="256">
        <v>0</v>
      </c>
      <c r="J103" s="259">
        <v>0</v>
      </c>
      <c r="K103" s="255">
        <v>0</v>
      </c>
      <c r="L103" s="256">
        <v>0</v>
      </c>
      <c r="M103" s="257">
        <v>0</v>
      </c>
      <c r="N103" s="256">
        <v>0</v>
      </c>
      <c r="O103" s="259">
        <v>0</v>
      </c>
      <c r="P103" s="255">
        <v>0</v>
      </c>
      <c r="Q103" s="256">
        <v>0</v>
      </c>
      <c r="R103" s="257">
        <v>0</v>
      </c>
      <c r="S103" s="256">
        <v>0</v>
      </c>
      <c r="T103" s="259">
        <v>0</v>
      </c>
      <c r="U103" s="258">
        <v>0</v>
      </c>
      <c r="V103" s="256">
        <v>0</v>
      </c>
      <c r="W103" s="257">
        <v>0</v>
      </c>
      <c r="X103" s="256">
        <v>0</v>
      </c>
      <c r="Y103" s="257">
        <v>0</v>
      </c>
      <c r="Z103" s="255">
        <v>0</v>
      </c>
      <c r="AA103" s="256">
        <v>0</v>
      </c>
      <c r="AB103" s="257">
        <v>0</v>
      </c>
      <c r="AC103" s="256">
        <v>0</v>
      </c>
      <c r="AD103" s="257">
        <v>0</v>
      </c>
      <c r="AE103" s="255">
        <v>0</v>
      </c>
    </row>
    <row r="104" spans="2:31">
      <c r="B104" s="241"/>
      <c r="C104" s="243"/>
      <c r="D104" s="248"/>
      <c r="E104" s="273" t="s">
        <v>395</v>
      </c>
      <c r="F104" s="255">
        <v>0</v>
      </c>
      <c r="G104" s="256">
        <v>0</v>
      </c>
      <c r="H104" s="257">
        <v>0</v>
      </c>
      <c r="I104" s="256">
        <v>0</v>
      </c>
      <c r="J104" s="259">
        <v>0</v>
      </c>
      <c r="K104" s="255">
        <v>0</v>
      </c>
      <c r="L104" s="256">
        <v>0</v>
      </c>
      <c r="M104" s="257">
        <v>0</v>
      </c>
      <c r="N104" s="256">
        <v>0</v>
      </c>
      <c r="O104" s="259">
        <v>0</v>
      </c>
      <c r="P104" s="255">
        <v>0</v>
      </c>
      <c r="Q104" s="256">
        <v>0</v>
      </c>
      <c r="R104" s="257">
        <v>0</v>
      </c>
      <c r="S104" s="256">
        <v>0</v>
      </c>
      <c r="T104" s="259">
        <v>0</v>
      </c>
      <c r="U104" s="258">
        <v>0</v>
      </c>
      <c r="V104" s="256">
        <v>0</v>
      </c>
      <c r="W104" s="257">
        <v>0</v>
      </c>
      <c r="X104" s="256">
        <v>0</v>
      </c>
      <c r="Y104" s="257">
        <v>0</v>
      </c>
      <c r="Z104" s="255">
        <v>0</v>
      </c>
      <c r="AA104" s="256">
        <v>0</v>
      </c>
      <c r="AB104" s="257">
        <v>0</v>
      </c>
      <c r="AC104" s="256">
        <v>0</v>
      </c>
      <c r="AD104" s="257">
        <v>0</v>
      </c>
      <c r="AE104" s="255">
        <v>0</v>
      </c>
    </row>
    <row r="105" spans="2:31">
      <c r="B105" s="241"/>
      <c r="C105" s="243"/>
      <c r="D105" s="248"/>
      <c r="E105" s="243"/>
      <c r="F105" s="260"/>
      <c r="G105" s="261"/>
      <c r="H105" s="262"/>
      <c r="I105" s="261"/>
      <c r="J105" s="263"/>
      <c r="K105" s="260"/>
      <c r="L105" s="261"/>
      <c r="M105" s="262"/>
      <c r="N105" s="261"/>
      <c r="O105" s="263"/>
      <c r="P105" s="260"/>
      <c r="Q105" s="261"/>
      <c r="R105" s="262"/>
      <c r="S105" s="261"/>
      <c r="T105" s="263"/>
      <c r="U105" s="264"/>
      <c r="V105" s="261"/>
      <c r="W105" s="262"/>
      <c r="X105" s="261"/>
      <c r="Y105" s="262"/>
      <c r="Z105" s="260"/>
      <c r="AA105" s="261"/>
      <c r="AB105" s="262"/>
      <c r="AC105" s="261"/>
      <c r="AD105" s="262"/>
      <c r="AE105" s="260"/>
    </row>
    <row r="106" spans="2:31">
      <c r="B106" s="241"/>
      <c r="C106" s="243"/>
      <c r="D106" s="248" t="s">
        <v>506</v>
      </c>
      <c r="E106" s="243"/>
      <c r="F106" s="260"/>
      <c r="G106" s="261"/>
      <c r="H106" s="262"/>
      <c r="I106" s="261"/>
      <c r="J106" s="263"/>
      <c r="K106" s="260"/>
      <c r="L106" s="261"/>
      <c r="M106" s="262"/>
      <c r="N106" s="261"/>
      <c r="O106" s="263"/>
      <c r="P106" s="260"/>
      <c r="Q106" s="261"/>
      <c r="R106" s="262"/>
      <c r="S106" s="261"/>
      <c r="T106" s="263"/>
      <c r="U106" s="264"/>
      <c r="V106" s="261"/>
      <c r="W106" s="262"/>
      <c r="X106" s="261"/>
      <c r="Y106" s="262"/>
      <c r="Z106" s="260"/>
      <c r="AA106" s="261"/>
      <c r="AB106" s="262"/>
      <c r="AC106" s="261"/>
      <c r="AD106" s="262"/>
      <c r="AE106" s="260"/>
    </row>
    <row r="107" spans="2:31">
      <c r="B107" s="241"/>
      <c r="C107" s="243"/>
      <c r="D107" s="243"/>
      <c r="E107" s="273" t="s">
        <v>396</v>
      </c>
      <c r="F107" s="255">
        <v>0</v>
      </c>
      <c r="G107" s="256">
        <v>0</v>
      </c>
      <c r="H107" s="257">
        <v>0</v>
      </c>
      <c r="I107" s="256">
        <v>0</v>
      </c>
      <c r="J107" s="259">
        <v>0</v>
      </c>
      <c r="K107" s="255">
        <v>0</v>
      </c>
      <c r="L107" s="256">
        <v>0</v>
      </c>
      <c r="M107" s="257">
        <v>0</v>
      </c>
      <c r="N107" s="256">
        <v>0</v>
      </c>
      <c r="O107" s="259">
        <v>0</v>
      </c>
      <c r="P107" s="255">
        <v>0</v>
      </c>
      <c r="Q107" s="256">
        <v>0</v>
      </c>
      <c r="R107" s="257">
        <v>0</v>
      </c>
      <c r="S107" s="256">
        <v>0</v>
      </c>
      <c r="T107" s="259">
        <v>0</v>
      </c>
      <c r="U107" s="258">
        <v>0</v>
      </c>
      <c r="V107" s="256">
        <v>0</v>
      </c>
      <c r="W107" s="257">
        <v>0</v>
      </c>
      <c r="X107" s="256">
        <v>0</v>
      </c>
      <c r="Y107" s="257">
        <v>0</v>
      </c>
      <c r="Z107" s="255">
        <v>0</v>
      </c>
      <c r="AA107" s="256">
        <v>0</v>
      </c>
      <c r="AB107" s="257">
        <v>0</v>
      </c>
      <c r="AC107" s="256">
        <v>0</v>
      </c>
      <c r="AD107" s="257">
        <v>0</v>
      </c>
      <c r="AE107" s="255">
        <v>0</v>
      </c>
    </row>
    <row r="108" spans="2:31">
      <c r="B108" s="241"/>
      <c r="C108" s="243"/>
      <c r="D108" s="243"/>
      <c r="E108" s="273" t="s">
        <v>397</v>
      </c>
      <c r="F108" s="255">
        <v>702</v>
      </c>
      <c r="G108" s="256">
        <v>0</v>
      </c>
      <c r="H108" s="257">
        <v>0</v>
      </c>
      <c r="I108" s="256">
        <v>11</v>
      </c>
      <c r="J108" s="259">
        <v>0</v>
      </c>
      <c r="K108" s="255">
        <v>713</v>
      </c>
      <c r="L108" s="256">
        <v>3</v>
      </c>
      <c r="M108" s="257">
        <v>3</v>
      </c>
      <c r="N108" s="256">
        <v>6</v>
      </c>
      <c r="O108" s="259">
        <v>3</v>
      </c>
      <c r="P108" s="255">
        <v>716</v>
      </c>
      <c r="Q108" s="256">
        <v>0</v>
      </c>
      <c r="R108" s="257">
        <v>0</v>
      </c>
      <c r="S108" s="256">
        <v>0</v>
      </c>
      <c r="T108" s="259">
        <v>1</v>
      </c>
      <c r="U108" s="258">
        <v>717</v>
      </c>
      <c r="V108" s="256">
        <v>0</v>
      </c>
      <c r="W108" s="257">
        <v>5</v>
      </c>
      <c r="X108" s="256">
        <v>0</v>
      </c>
      <c r="Y108" s="257">
        <v>5</v>
      </c>
      <c r="Z108" s="255">
        <v>717</v>
      </c>
      <c r="AA108" s="256">
        <v>2</v>
      </c>
      <c r="AB108" s="257">
        <v>0</v>
      </c>
      <c r="AC108" s="256">
        <v>2</v>
      </c>
      <c r="AD108" s="257">
        <v>0</v>
      </c>
      <c r="AE108" s="255">
        <v>717</v>
      </c>
    </row>
    <row r="109" spans="2:31">
      <c r="B109" s="241"/>
      <c r="C109" s="243"/>
      <c r="D109" s="243"/>
      <c r="E109" s="243" t="s">
        <v>398</v>
      </c>
      <c r="F109" s="255">
        <v>645</v>
      </c>
      <c r="G109" s="256">
        <v>0</v>
      </c>
      <c r="H109" s="257">
        <v>0</v>
      </c>
      <c r="I109" s="256">
        <v>5</v>
      </c>
      <c r="J109" s="259">
        <v>0</v>
      </c>
      <c r="K109" s="255">
        <v>650</v>
      </c>
      <c r="L109" s="256">
        <v>2</v>
      </c>
      <c r="M109" s="257">
        <v>0</v>
      </c>
      <c r="N109" s="256">
        <v>0</v>
      </c>
      <c r="O109" s="259">
        <v>0</v>
      </c>
      <c r="P109" s="255">
        <v>648</v>
      </c>
      <c r="Q109" s="256">
        <v>0</v>
      </c>
      <c r="R109" s="257">
        <v>13</v>
      </c>
      <c r="S109" s="256">
        <v>0</v>
      </c>
      <c r="T109" s="259">
        <v>16</v>
      </c>
      <c r="U109" s="258">
        <v>651</v>
      </c>
      <c r="V109" s="256">
        <v>0</v>
      </c>
      <c r="W109" s="257">
        <v>0</v>
      </c>
      <c r="X109" s="256">
        <v>0</v>
      </c>
      <c r="Y109" s="257">
        <v>0</v>
      </c>
      <c r="Z109" s="255">
        <v>651</v>
      </c>
      <c r="AA109" s="256">
        <v>0</v>
      </c>
      <c r="AB109" s="257">
        <v>0</v>
      </c>
      <c r="AC109" s="256">
        <v>0</v>
      </c>
      <c r="AD109" s="257">
        <v>0</v>
      </c>
      <c r="AE109" s="255">
        <v>651</v>
      </c>
    </row>
    <row r="110" spans="2:31">
      <c r="B110" s="241"/>
      <c r="C110" s="243"/>
      <c r="D110" s="243"/>
      <c r="E110" s="273" t="s">
        <v>589</v>
      </c>
      <c r="F110" s="255">
        <v>0</v>
      </c>
      <c r="G110" s="256">
        <v>0</v>
      </c>
      <c r="H110" s="257">
        <v>0</v>
      </c>
      <c r="I110" s="256">
        <v>0</v>
      </c>
      <c r="J110" s="259">
        <v>0</v>
      </c>
      <c r="K110" s="255">
        <v>0</v>
      </c>
      <c r="L110" s="256">
        <v>0</v>
      </c>
      <c r="M110" s="257">
        <v>0</v>
      </c>
      <c r="N110" s="256">
        <v>0</v>
      </c>
      <c r="O110" s="259">
        <v>0</v>
      </c>
      <c r="P110" s="255">
        <v>0</v>
      </c>
      <c r="Q110" s="256">
        <v>0</v>
      </c>
      <c r="R110" s="257">
        <v>0</v>
      </c>
      <c r="S110" s="256">
        <v>0</v>
      </c>
      <c r="T110" s="259">
        <v>0</v>
      </c>
      <c r="U110" s="258">
        <v>0</v>
      </c>
      <c r="V110" s="256">
        <v>0</v>
      </c>
      <c r="W110" s="257">
        <v>0</v>
      </c>
      <c r="X110" s="256">
        <v>0</v>
      </c>
      <c r="Y110" s="257">
        <v>0</v>
      </c>
      <c r="Z110" s="255">
        <v>0</v>
      </c>
      <c r="AA110" s="256">
        <v>0</v>
      </c>
      <c r="AB110" s="257">
        <v>0</v>
      </c>
      <c r="AC110" s="256">
        <v>0</v>
      </c>
      <c r="AD110" s="257">
        <v>0</v>
      </c>
      <c r="AE110" s="255">
        <v>0</v>
      </c>
    </row>
    <row r="111" spans="2:31">
      <c r="B111" s="241"/>
      <c r="C111" s="243"/>
      <c r="D111" s="248"/>
      <c r="E111" s="243" t="s">
        <v>590</v>
      </c>
      <c r="F111" s="255">
        <v>0</v>
      </c>
      <c r="G111" s="256">
        <v>0</v>
      </c>
      <c r="H111" s="257">
        <v>0</v>
      </c>
      <c r="I111" s="256">
        <v>0</v>
      </c>
      <c r="J111" s="259">
        <v>0</v>
      </c>
      <c r="K111" s="255">
        <v>0</v>
      </c>
      <c r="L111" s="256">
        <v>0</v>
      </c>
      <c r="M111" s="257">
        <v>0</v>
      </c>
      <c r="N111" s="256">
        <v>0</v>
      </c>
      <c r="O111" s="259">
        <v>0</v>
      </c>
      <c r="P111" s="255">
        <v>0</v>
      </c>
      <c r="Q111" s="256">
        <v>0</v>
      </c>
      <c r="R111" s="257">
        <v>0</v>
      </c>
      <c r="S111" s="256">
        <v>0</v>
      </c>
      <c r="T111" s="259">
        <v>0</v>
      </c>
      <c r="U111" s="258">
        <v>0</v>
      </c>
      <c r="V111" s="256">
        <v>0</v>
      </c>
      <c r="W111" s="257">
        <v>0</v>
      </c>
      <c r="X111" s="256">
        <v>0</v>
      </c>
      <c r="Y111" s="257">
        <v>0</v>
      </c>
      <c r="Z111" s="255">
        <v>0</v>
      </c>
      <c r="AA111" s="256">
        <v>0</v>
      </c>
      <c r="AB111" s="257">
        <v>0</v>
      </c>
      <c r="AC111" s="256">
        <v>0</v>
      </c>
      <c r="AD111" s="257">
        <v>0</v>
      </c>
      <c r="AE111" s="255">
        <v>0</v>
      </c>
    </row>
    <row r="112" spans="2:31" ht="13.5" thickBot="1">
      <c r="B112" s="239"/>
      <c r="C112" s="240"/>
      <c r="D112" s="240"/>
      <c r="E112" s="240"/>
      <c r="F112" s="265"/>
      <c r="G112" s="266"/>
      <c r="H112" s="267"/>
      <c r="I112" s="266"/>
      <c r="J112" s="268"/>
      <c r="K112" s="269"/>
      <c r="L112" s="266"/>
      <c r="M112" s="267"/>
      <c r="N112" s="266"/>
      <c r="O112" s="268"/>
      <c r="P112" s="269"/>
      <c r="Q112" s="266"/>
      <c r="R112" s="267"/>
      <c r="S112" s="266"/>
      <c r="T112" s="268"/>
      <c r="U112" s="270"/>
      <c r="V112" s="266"/>
      <c r="W112" s="267"/>
      <c r="X112" s="266"/>
      <c r="Y112" s="267"/>
      <c r="Z112" s="269"/>
      <c r="AA112" s="266"/>
      <c r="AB112" s="267"/>
      <c r="AC112" s="266"/>
      <c r="AD112" s="267"/>
      <c r="AE112" s="269"/>
    </row>
    <row r="113" spans="2:31">
      <c r="B113" s="271"/>
      <c r="C113" s="272" t="s">
        <v>591</v>
      </c>
      <c r="D113" s="272"/>
      <c r="E113" s="273"/>
      <c r="F113" s="260"/>
      <c r="G113" s="261"/>
      <c r="H113" s="262"/>
      <c r="I113" s="261"/>
      <c r="J113" s="263"/>
      <c r="K113" s="260"/>
      <c r="L113" s="261"/>
      <c r="M113" s="262"/>
      <c r="N113" s="261"/>
      <c r="O113" s="263"/>
      <c r="P113" s="260"/>
      <c r="Q113" s="261"/>
      <c r="R113" s="262"/>
      <c r="S113" s="261"/>
      <c r="T113" s="263"/>
      <c r="U113" s="264"/>
      <c r="V113" s="261"/>
      <c r="W113" s="262"/>
      <c r="X113" s="261"/>
      <c r="Y113" s="262"/>
      <c r="Z113" s="260"/>
      <c r="AA113" s="261"/>
      <c r="AB113" s="262"/>
      <c r="AC113" s="261"/>
      <c r="AD113" s="262"/>
      <c r="AE113" s="260"/>
    </row>
    <row r="114" spans="2:31">
      <c r="B114" s="241"/>
      <c r="C114" s="243"/>
      <c r="D114" s="248" t="s">
        <v>578</v>
      </c>
      <c r="E114" s="243"/>
      <c r="F114" s="260"/>
      <c r="G114" s="261"/>
      <c r="H114" s="262"/>
      <c r="I114" s="261"/>
      <c r="J114" s="263"/>
      <c r="K114" s="260"/>
      <c r="L114" s="261"/>
      <c r="M114" s="262"/>
      <c r="N114" s="261"/>
      <c r="O114" s="263"/>
      <c r="P114" s="260"/>
      <c r="Q114" s="261"/>
      <c r="R114" s="262"/>
      <c r="S114" s="261"/>
      <c r="T114" s="263"/>
      <c r="U114" s="264"/>
      <c r="V114" s="261"/>
      <c r="W114" s="262"/>
      <c r="X114" s="261"/>
      <c r="Y114" s="262"/>
      <c r="Z114" s="260"/>
      <c r="AA114" s="261"/>
      <c r="AB114" s="262"/>
      <c r="AC114" s="261"/>
      <c r="AD114" s="262"/>
      <c r="AE114" s="260"/>
    </row>
    <row r="115" spans="2:31">
      <c r="B115" s="241"/>
      <c r="C115" s="243"/>
      <c r="D115" s="248"/>
      <c r="E115" s="243" t="s">
        <v>592</v>
      </c>
      <c r="F115" s="255">
        <v>143</v>
      </c>
      <c r="G115" s="256">
        <v>0</v>
      </c>
      <c r="H115" s="257">
        <v>1</v>
      </c>
      <c r="I115" s="256">
        <v>0</v>
      </c>
      <c r="J115" s="259">
        <v>1</v>
      </c>
      <c r="K115" s="255">
        <v>143</v>
      </c>
      <c r="L115" s="256">
        <v>5</v>
      </c>
      <c r="M115" s="257">
        <v>0</v>
      </c>
      <c r="N115" s="256">
        <v>0</v>
      </c>
      <c r="O115" s="259">
        <v>0</v>
      </c>
      <c r="P115" s="255">
        <v>138</v>
      </c>
      <c r="Q115" s="256">
        <v>0</v>
      </c>
      <c r="R115" s="257">
        <v>0</v>
      </c>
      <c r="S115" s="256">
        <v>0</v>
      </c>
      <c r="T115" s="259">
        <v>0</v>
      </c>
      <c r="U115" s="258">
        <v>138</v>
      </c>
      <c r="V115" s="256">
        <v>0</v>
      </c>
      <c r="W115" s="257">
        <v>0</v>
      </c>
      <c r="X115" s="256">
        <v>0</v>
      </c>
      <c r="Y115" s="257">
        <v>0</v>
      </c>
      <c r="Z115" s="255">
        <v>138</v>
      </c>
      <c r="AA115" s="256">
        <v>0</v>
      </c>
      <c r="AB115" s="257">
        <v>0</v>
      </c>
      <c r="AC115" s="256">
        <v>0</v>
      </c>
      <c r="AD115" s="257">
        <v>0</v>
      </c>
      <c r="AE115" s="255">
        <v>138</v>
      </c>
    </row>
    <row r="116" spans="2:31">
      <c r="B116" s="241"/>
      <c r="C116" s="243"/>
      <c r="D116" s="248"/>
      <c r="E116" s="243" t="s">
        <v>593</v>
      </c>
      <c r="F116" s="255">
        <v>2233</v>
      </c>
      <c r="G116" s="256">
        <v>0</v>
      </c>
      <c r="H116" s="257">
        <v>0</v>
      </c>
      <c r="I116" s="256">
        <v>0</v>
      </c>
      <c r="J116" s="259">
        <v>0</v>
      </c>
      <c r="K116" s="255">
        <v>2233</v>
      </c>
      <c r="L116" s="256">
        <v>0</v>
      </c>
      <c r="M116" s="257">
        <v>0</v>
      </c>
      <c r="N116" s="256">
        <v>13</v>
      </c>
      <c r="O116" s="259">
        <v>0</v>
      </c>
      <c r="P116" s="255">
        <v>2246</v>
      </c>
      <c r="Q116" s="256">
        <v>4</v>
      </c>
      <c r="R116" s="257">
        <v>8</v>
      </c>
      <c r="S116" s="256">
        <v>4</v>
      </c>
      <c r="T116" s="259">
        <v>8</v>
      </c>
      <c r="U116" s="258">
        <v>2246</v>
      </c>
      <c r="V116" s="256">
        <v>0</v>
      </c>
      <c r="W116" s="257">
        <v>130</v>
      </c>
      <c r="X116" s="256">
        <v>0</v>
      </c>
      <c r="Y116" s="257">
        <v>130</v>
      </c>
      <c r="Z116" s="255">
        <v>2246</v>
      </c>
      <c r="AA116" s="256">
        <v>0</v>
      </c>
      <c r="AB116" s="257">
        <v>130</v>
      </c>
      <c r="AC116" s="256">
        <v>0</v>
      </c>
      <c r="AD116" s="257">
        <v>130</v>
      </c>
      <c r="AE116" s="255">
        <v>2246</v>
      </c>
    </row>
    <row r="117" spans="2:31">
      <c r="B117" s="241"/>
      <c r="C117" s="243"/>
      <c r="D117" s="248"/>
      <c r="E117" s="273"/>
      <c r="F117" s="260"/>
      <c r="G117" s="261"/>
      <c r="H117" s="262"/>
      <c r="I117" s="261"/>
      <c r="J117" s="263"/>
      <c r="K117" s="260"/>
      <c r="L117" s="261"/>
      <c r="M117" s="262"/>
      <c r="N117" s="261"/>
      <c r="O117" s="263"/>
      <c r="P117" s="260"/>
      <c r="Q117" s="261"/>
      <c r="R117" s="262"/>
      <c r="S117" s="261"/>
      <c r="T117" s="263"/>
      <c r="U117" s="264"/>
      <c r="V117" s="261"/>
      <c r="W117" s="262"/>
      <c r="X117" s="261"/>
      <c r="Y117" s="262"/>
      <c r="Z117" s="260"/>
      <c r="AA117" s="261"/>
      <c r="AB117" s="262"/>
      <c r="AC117" s="261"/>
      <c r="AD117" s="262"/>
      <c r="AE117" s="260"/>
    </row>
    <row r="118" spans="2:31">
      <c r="B118" s="241"/>
      <c r="C118" s="243"/>
      <c r="D118" s="248" t="s">
        <v>739</v>
      </c>
      <c r="E118" s="243"/>
      <c r="F118" s="260"/>
      <c r="G118" s="261"/>
      <c r="H118" s="262"/>
      <c r="I118" s="261"/>
      <c r="J118" s="263"/>
      <c r="K118" s="260"/>
      <c r="L118" s="261"/>
      <c r="M118" s="262"/>
      <c r="N118" s="261"/>
      <c r="O118" s="263"/>
      <c r="P118" s="260"/>
      <c r="Q118" s="261"/>
      <c r="R118" s="262"/>
      <c r="S118" s="261"/>
      <c r="T118" s="263"/>
      <c r="U118" s="264"/>
      <c r="V118" s="261"/>
      <c r="W118" s="262"/>
      <c r="X118" s="261"/>
      <c r="Y118" s="262"/>
      <c r="Z118" s="260"/>
      <c r="AA118" s="261"/>
      <c r="AB118" s="262"/>
      <c r="AC118" s="261"/>
      <c r="AD118" s="262"/>
      <c r="AE118" s="260"/>
    </row>
    <row r="119" spans="2:31">
      <c r="B119" s="241"/>
      <c r="C119" s="243"/>
      <c r="D119" s="248"/>
      <c r="E119" s="243" t="s">
        <v>594</v>
      </c>
      <c r="F119" s="255">
        <v>56</v>
      </c>
      <c r="G119" s="256">
        <v>0</v>
      </c>
      <c r="H119" s="257">
        <v>0</v>
      </c>
      <c r="I119" s="256">
        <v>0</v>
      </c>
      <c r="J119" s="259">
        <v>0</v>
      </c>
      <c r="K119" s="255">
        <v>56</v>
      </c>
      <c r="L119" s="256">
        <v>0</v>
      </c>
      <c r="M119" s="257">
        <v>0</v>
      </c>
      <c r="N119" s="256">
        <v>0</v>
      </c>
      <c r="O119" s="259">
        <v>0</v>
      </c>
      <c r="P119" s="255">
        <v>56</v>
      </c>
      <c r="Q119" s="256">
        <v>0</v>
      </c>
      <c r="R119" s="257">
        <v>0</v>
      </c>
      <c r="S119" s="256">
        <v>0</v>
      </c>
      <c r="T119" s="259">
        <v>0</v>
      </c>
      <c r="U119" s="258">
        <v>56</v>
      </c>
      <c r="V119" s="256">
        <v>0</v>
      </c>
      <c r="W119" s="257">
        <v>0</v>
      </c>
      <c r="X119" s="256">
        <v>0</v>
      </c>
      <c r="Y119" s="257">
        <v>0</v>
      </c>
      <c r="Z119" s="255">
        <v>56</v>
      </c>
      <c r="AA119" s="256">
        <v>0</v>
      </c>
      <c r="AB119" s="257">
        <v>0</v>
      </c>
      <c r="AC119" s="256">
        <v>0</v>
      </c>
      <c r="AD119" s="257">
        <v>0</v>
      </c>
      <c r="AE119" s="255">
        <v>56</v>
      </c>
    </row>
    <row r="120" spans="2:31">
      <c r="B120" s="241"/>
      <c r="C120" s="243"/>
      <c r="D120" s="248"/>
      <c r="E120" s="243" t="s">
        <v>595</v>
      </c>
      <c r="F120" s="255">
        <v>4569</v>
      </c>
      <c r="G120" s="256">
        <v>0</v>
      </c>
      <c r="H120" s="257">
        <v>7</v>
      </c>
      <c r="I120" s="256">
        <v>0</v>
      </c>
      <c r="J120" s="259">
        <v>7</v>
      </c>
      <c r="K120" s="255">
        <v>4569</v>
      </c>
      <c r="L120" s="256">
        <v>7</v>
      </c>
      <c r="M120" s="257">
        <v>0</v>
      </c>
      <c r="N120" s="256">
        <v>0</v>
      </c>
      <c r="O120" s="259">
        <v>0</v>
      </c>
      <c r="P120" s="255">
        <v>4562</v>
      </c>
      <c r="Q120" s="256">
        <v>0</v>
      </c>
      <c r="R120" s="257">
        <v>0</v>
      </c>
      <c r="S120" s="256">
        <v>0</v>
      </c>
      <c r="T120" s="259">
        <v>0</v>
      </c>
      <c r="U120" s="258">
        <v>4562</v>
      </c>
      <c r="V120" s="256">
        <v>0</v>
      </c>
      <c r="W120" s="257">
        <v>5</v>
      </c>
      <c r="X120" s="256">
        <v>0</v>
      </c>
      <c r="Y120" s="257">
        <v>5</v>
      </c>
      <c r="Z120" s="255">
        <v>4562</v>
      </c>
      <c r="AA120" s="256">
        <v>0</v>
      </c>
      <c r="AB120" s="257">
        <v>4</v>
      </c>
      <c r="AC120" s="256">
        <v>0</v>
      </c>
      <c r="AD120" s="257">
        <v>4</v>
      </c>
      <c r="AE120" s="255">
        <v>4562</v>
      </c>
    </row>
    <row r="121" spans="2:31">
      <c r="B121" s="241"/>
      <c r="C121" s="243"/>
      <c r="D121" s="248"/>
      <c r="E121" s="273" t="s">
        <v>438</v>
      </c>
      <c r="F121" s="255">
        <v>9138</v>
      </c>
      <c r="G121" s="256">
        <v>0</v>
      </c>
      <c r="H121" s="257">
        <v>0</v>
      </c>
      <c r="I121" s="256">
        <v>0</v>
      </c>
      <c r="J121" s="259">
        <v>0</v>
      </c>
      <c r="K121" s="255">
        <v>9138</v>
      </c>
      <c r="L121" s="256">
        <v>14</v>
      </c>
      <c r="M121" s="257">
        <v>0</v>
      </c>
      <c r="N121" s="256">
        <v>0</v>
      </c>
      <c r="O121" s="259">
        <v>0</v>
      </c>
      <c r="P121" s="255">
        <v>9124</v>
      </c>
      <c r="Q121" s="256">
        <v>0</v>
      </c>
      <c r="R121" s="257">
        <v>0</v>
      </c>
      <c r="S121" s="256">
        <v>0</v>
      </c>
      <c r="T121" s="259">
        <v>0</v>
      </c>
      <c r="U121" s="258">
        <v>9124</v>
      </c>
      <c r="V121" s="256">
        <v>0</v>
      </c>
      <c r="W121" s="257">
        <v>49</v>
      </c>
      <c r="X121" s="256">
        <v>0</v>
      </c>
      <c r="Y121" s="257">
        <v>49</v>
      </c>
      <c r="Z121" s="255">
        <v>9124</v>
      </c>
      <c r="AA121" s="256">
        <v>0</v>
      </c>
      <c r="AB121" s="257">
        <v>45</v>
      </c>
      <c r="AC121" s="256">
        <v>0</v>
      </c>
      <c r="AD121" s="257">
        <v>45</v>
      </c>
      <c r="AE121" s="255">
        <v>9124</v>
      </c>
    </row>
    <row r="122" spans="2:31">
      <c r="B122" s="241"/>
      <c r="C122" s="243"/>
      <c r="D122" s="243"/>
      <c r="E122" s="243"/>
      <c r="F122" s="260"/>
      <c r="G122" s="261"/>
      <c r="H122" s="262"/>
      <c r="I122" s="261"/>
      <c r="J122" s="263"/>
      <c r="K122" s="260"/>
      <c r="L122" s="261"/>
      <c r="M122" s="262"/>
      <c r="N122" s="261"/>
      <c r="O122" s="263"/>
      <c r="P122" s="260"/>
      <c r="Q122" s="261"/>
      <c r="R122" s="262"/>
      <c r="S122" s="261"/>
      <c r="T122" s="263"/>
      <c r="U122" s="264"/>
      <c r="V122" s="261"/>
      <c r="W122" s="262"/>
      <c r="X122" s="261"/>
      <c r="Y122" s="262"/>
      <c r="Z122" s="260"/>
      <c r="AA122" s="261"/>
      <c r="AB122" s="262"/>
      <c r="AC122" s="261"/>
      <c r="AD122" s="262"/>
      <c r="AE122" s="260"/>
    </row>
    <row r="123" spans="2:31">
      <c r="B123" s="241"/>
      <c r="C123" s="243"/>
      <c r="D123" s="248" t="s">
        <v>763</v>
      </c>
      <c r="E123" s="243"/>
      <c r="F123" s="260"/>
      <c r="G123" s="261"/>
      <c r="H123" s="262"/>
      <c r="I123" s="261"/>
      <c r="J123" s="263"/>
      <c r="K123" s="260"/>
      <c r="L123" s="261"/>
      <c r="M123" s="262"/>
      <c r="N123" s="261"/>
      <c r="O123" s="263"/>
      <c r="P123" s="260"/>
      <c r="Q123" s="261"/>
      <c r="R123" s="262"/>
      <c r="S123" s="261"/>
      <c r="T123" s="263"/>
      <c r="U123" s="264"/>
      <c r="V123" s="261"/>
      <c r="W123" s="262"/>
      <c r="X123" s="261"/>
      <c r="Y123" s="262"/>
      <c r="Z123" s="260"/>
      <c r="AA123" s="261"/>
      <c r="AB123" s="262"/>
      <c r="AC123" s="261"/>
      <c r="AD123" s="262"/>
      <c r="AE123" s="260"/>
    </row>
    <row r="124" spans="2:31">
      <c r="B124" s="241"/>
      <c r="C124" s="243"/>
      <c r="D124" s="243"/>
      <c r="E124" s="243" t="s">
        <v>704</v>
      </c>
      <c r="F124" s="255">
        <v>34</v>
      </c>
      <c r="G124" s="256">
        <v>0</v>
      </c>
      <c r="H124" s="257">
        <v>0</v>
      </c>
      <c r="I124" s="256">
        <v>0</v>
      </c>
      <c r="J124" s="259">
        <v>0</v>
      </c>
      <c r="K124" s="255">
        <v>34</v>
      </c>
      <c r="L124" s="256">
        <v>0</v>
      </c>
      <c r="M124" s="257">
        <v>0</v>
      </c>
      <c r="N124" s="256">
        <v>1</v>
      </c>
      <c r="O124" s="259">
        <v>0</v>
      </c>
      <c r="P124" s="255">
        <v>35</v>
      </c>
      <c r="Q124" s="256">
        <v>0</v>
      </c>
      <c r="R124" s="257">
        <v>0</v>
      </c>
      <c r="S124" s="256">
        <v>0</v>
      </c>
      <c r="T124" s="259">
        <v>0</v>
      </c>
      <c r="U124" s="258">
        <v>35</v>
      </c>
      <c r="V124" s="256">
        <v>0</v>
      </c>
      <c r="W124" s="257">
        <v>0</v>
      </c>
      <c r="X124" s="256">
        <v>7</v>
      </c>
      <c r="Y124" s="257">
        <v>0</v>
      </c>
      <c r="Z124" s="255">
        <v>42</v>
      </c>
      <c r="AA124" s="256">
        <v>0</v>
      </c>
      <c r="AB124" s="257">
        <v>0</v>
      </c>
      <c r="AC124" s="256">
        <v>0</v>
      </c>
      <c r="AD124" s="257">
        <v>0</v>
      </c>
      <c r="AE124" s="255">
        <v>42</v>
      </c>
    </row>
    <row r="125" spans="2:31">
      <c r="B125" s="241"/>
      <c r="C125" s="243"/>
      <c r="D125" s="243"/>
      <c r="E125" s="243" t="s">
        <v>703</v>
      </c>
      <c r="F125" s="255">
        <v>164</v>
      </c>
      <c r="G125" s="256">
        <v>0</v>
      </c>
      <c r="H125" s="257">
        <v>0</v>
      </c>
      <c r="I125" s="256">
        <v>0</v>
      </c>
      <c r="J125" s="259">
        <v>0</v>
      </c>
      <c r="K125" s="255">
        <v>164</v>
      </c>
      <c r="L125" s="256">
        <v>0</v>
      </c>
      <c r="M125" s="257">
        <v>0</v>
      </c>
      <c r="N125" s="256">
        <v>0</v>
      </c>
      <c r="O125" s="259">
        <v>0</v>
      </c>
      <c r="P125" s="255">
        <v>164</v>
      </c>
      <c r="Q125" s="256">
        <v>0</v>
      </c>
      <c r="R125" s="257">
        <v>0</v>
      </c>
      <c r="S125" s="256">
        <v>0</v>
      </c>
      <c r="T125" s="259">
        <v>0</v>
      </c>
      <c r="U125" s="258">
        <v>164</v>
      </c>
      <c r="V125" s="256">
        <v>0</v>
      </c>
      <c r="W125" s="257">
        <v>0</v>
      </c>
      <c r="X125" s="256">
        <v>0</v>
      </c>
      <c r="Y125" s="257">
        <v>0</v>
      </c>
      <c r="Z125" s="255">
        <v>164</v>
      </c>
      <c r="AA125" s="256">
        <v>0</v>
      </c>
      <c r="AB125" s="257">
        <v>0</v>
      </c>
      <c r="AC125" s="256">
        <v>0</v>
      </c>
      <c r="AD125" s="257">
        <v>0</v>
      </c>
      <c r="AE125" s="255">
        <v>164</v>
      </c>
    </row>
    <row r="126" spans="2:31">
      <c r="B126" s="241"/>
      <c r="C126" s="243"/>
      <c r="D126" s="243"/>
      <c r="E126" s="243" t="s">
        <v>667</v>
      </c>
      <c r="F126" s="255">
        <v>0</v>
      </c>
      <c r="G126" s="256">
        <v>0</v>
      </c>
      <c r="H126" s="257">
        <v>0</v>
      </c>
      <c r="I126" s="256">
        <v>0</v>
      </c>
      <c r="J126" s="259">
        <v>0</v>
      </c>
      <c r="K126" s="255">
        <v>0</v>
      </c>
      <c r="L126" s="256">
        <v>0</v>
      </c>
      <c r="M126" s="257">
        <v>0</v>
      </c>
      <c r="N126" s="256">
        <v>0</v>
      </c>
      <c r="O126" s="259">
        <v>0</v>
      </c>
      <c r="P126" s="255">
        <v>0</v>
      </c>
      <c r="Q126" s="256">
        <v>0</v>
      </c>
      <c r="R126" s="257">
        <v>0</v>
      </c>
      <c r="S126" s="256">
        <v>0</v>
      </c>
      <c r="T126" s="259">
        <v>0</v>
      </c>
      <c r="U126" s="258">
        <v>0</v>
      </c>
      <c r="V126" s="256">
        <v>0</v>
      </c>
      <c r="W126" s="257">
        <v>0</v>
      </c>
      <c r="X126" s="256">
        <v>0</v>
      </c>
      <c r="Y126" s="257">
        <v>0</v>
      </c>
      <c r="Z126" s="255">
        <v>0</v>
      </c>
      <c r="AA126" s="256">
        <v>0</v>
      </c>
      <c r="AB126" s="257">
        <v>0</v>
      </c>
      <c r="AC126" s="256">
        <v>0</v>
      </c>
      <c r="AD126" s="257">
        <v>0</v>
      </c>
      <c r="AE126" s="255">
        <v>0</v>
      </c>
    </row>
    <row r="127" spans="2:31">
      <c r="B127" s="241"/>
      <c r="C127" s="243"/>
      <c r="D127" s="243"/>
      <c r="E127" s="243"/>
      <c r="F127" s="260"/>
      <c r="G127" s="261"/>
      <c r="H127" s="262"/>
      <c r="I127" s="261"/>
      <c r="J127" s="263"/>
      <c r="K127" s="260"/>
      <c r="L127" s="261"/>
      <c r="M127" s="262"/>
      <c r="N127" s="261"/>
      <c r="O127" s="263"/>
      <c r="P127" s="260"/>
      <c r="Q127" s="261"/>
      <c r="R127" s="262"/>
      <c r="S127" s="261"/>
      <c r="T127" s="263"/>
      <c r="U127" s="264"/>
      <c r="V127" s="261"/>
      <c r="W127" s="262"/>
      <c r="X127" s="261"/>
      <c r="Y127" s="262"/>
      <c r="Z127" s="260"/>
      <c r="AA127" s="261"/>
      <c r="AB127" s="262"/>
      <c r="AC127" s="261"/>
      <c r="AD127" s="262"/>
      <c r="AE127" s="260"/>
    </row>
    <row r="128" spans="2:31">
      <c r="B128" s="241"/>
      <c r="C128" s="243"/>
      <c r="D128" s="248" t="s">
        <v>68</v>
      </c>
      <c r="E128" s="243"/>
      <c r="F128" s="260"/>
      <c r="G128" s="261"/>
      <c r="H128" s="262"/>
      <c r="I128" s="261"/>
      <c r="J128" s="263"/>
      <c r="K128" s="260"/>
      <c r="L128" s="261"/>
      <c r="M128" s="262"/>
      <c r="N128" s="261"/>
      <c r="O128" s="263"/>
      <c r="P128" s="260"/>
      <c r="Q128" s="261"/>
      <c r="R128" s="262"/>
      <c r="S128" s="261"/>
      <c r="T128" s="263"/>
      <c r="U128" s="264"/>
      <c r="V128" s="261"/>
      <c r="W128" s="262"/>
      <c r="X128" s="261"/>
      <c r="Y128" s="262"/>
      <c r="Z128" s="260"/>
      <c r="AA128" s="261"/>
      <c r="AB128" s="262"/>
      <c r="AC128" s="261"/>
      <c r="AD128" s="262"/>
      <c r="AE128" s="260"/>
    </row>
    <row r="129" spans="2:31">
      <c r="B129" s="241"/>
      <c r="C129" s="243"/>
      <c r="D129" s="243"/>
      <c r="E129" s="273" t="s">
        <v>668</v>
      </c>
      <c r="F129" s="255">
        <v>0</v>
      </c>
      <c r="G129" s="256">
        <v>0</v>
      </c>
      <c r="H129" s="257">
        <v>0</v>
      </c>
      <c r="I129" s="256">
        <v>0</v>
      </c>
      <c r="J129" s="259">
        <v>0</v>
      </c>
      <c r="K129" s="255">
        <v>0</v>
      </c>
      <c r="L129" s="256">
        <v>0</v>
      </c>
      <c r="M129" s="257">
        <v>0</v>
      </c>
      <c r="N129" s="256">
        <v>0</v>
      </c>
      <c r="O129" s="259">
        <v>0</v>
      </c>
      <c r="P129" s="255">
        <v>0</v>
      </c>
      <c r="Q129" s="256">
        <v>0</v>
      </c>
      <c r="R129" s="257">
        <v>0</v>
      </c>
      <c r="S129" s="256">
        <v>0</v>
      </c>
      <c r="T129" s="259">
        <v>0</v>
      </c>
      <c r="U129" s="258">
        <v>0</v>
      </c>
      <c r="V129" s="256">
        <v>0</v>
      </c>
      <c r="W129" s="257">
        <v>0</v>
      </c>
      <c r="X129" s="256">
        <v>0</v>
      </c>
      <c r="Y129" s="257">
        <v>0</v>
      </c>
      <c r="Z129" s="255">
        <v>0</v>
      </c>
      <c r="AA129" s="256">
        <v>0</v>
      </c>
      <c r="AB129" s="257">
        <v>0</v>
      </c>
      <c r="AC129" s="256">
        <v>0</v>
      </c>
      <c r="AD129" s="257">
        <v>0</v>
      </c>
      <c r="AE129" s="255">
        <v>0</v>
      </c>
    </row>
    <row r="130" spans="2:31">
      <c r="B130" s="241"/>
      <c r="C130" s="243"/>
      <c r="D130" s="243"/>
      <c r="E130" s="243"/>
      <c r="F130" s="260"/>
      <c r="G130" s="261"/>
      <c r="H130" s="262"/>
      <c r="I130" s="261"/>
      <c r="J130" s="263"/>
      <c r="K130" s="260"/>
      <c r="L130" s="261"/>
      <c r="M130" s="262"/>
      <c r="N130" s="261"/>
      <c r="O130" s="263"/>
      <c r="P130" s="260"/>
      <c r="Q130" s="261"/>
      <c r="R130" s="262"/>
      <c r="S130" s="261"/>
      <c r="T130" s="263"/>
      <c r="U130" s="264"/>
      <c r="V130" s="261"/>
      <c r="W130" s="262"/>
      <c r="X130" s="261"/>
      <c r="Y130" s="262"/>
      <c r="Z130" s="260"/>
      <c r="AA130" s="261"/>
      <c r="AB130" s="262"/>
      <c r="AC130" s="261"/>
      <c r="AD130" s="262"/>
      <c r="AE130" s="260"/>
    </row>
    <row r="131" spans="2:31">
      <c r="B131" s="241"/>
      <c r="C131" s="243"/>
      <c r="D131" s="248" t="s">
        <v>631</v>
      </c>
      <c r="E131" s="243"/>
      <c r="F131" s="260"/>
      <c r="G131" s="261"/>
      <c r="H131" s="262"/>
      <c r="I131" s="261"/>
      <c r="J131" s="263"/>
      <c r="K131" s="260"/>
      <c r="L131" s="261"/>
      <c r="M131" s="262"/>
      <c r="N131" s="261"/>
      <c r="O131" s="263"/>
      <c r="P131" s="260"/>
      <c r="Q131" s="261"/>
      <c r="R131" s="262"/>
      <c r="S131" s="261"/>
      <c r="T131" s="263"/>
      <c r="U131" s="264"/>
      <c r="V131" s="261"/>
      <c r="W131" s="262"/>
      <c r="X131" s="261"/>
      <c r="Y131" s="262"/>
      <c r="Z131" s="260"/>
      <c r="AA131" s="261"/>
      <c r="AB131" s="262"/>
      <c r="AC131" s="261"/>
      <c r="AD131" s="262"/>
      <c r="AE131" s="260"/>
    </row>
    <row r="132" spans="2:31">
      <c r="B132" s="241"/>
      <c r="C132" s="243"/>
      <c r="D132" s="243"/>
      <c r="E132" s="243" t="s">
        <v>669</v>
      </c>
      <c r="F132" s="255">
        <v>264</v>
      </c>
      <c r="G132" s="256">
        <v>44</v>
      </c>
      <c r="H132" s="257">
        <v>0</v>
      </c>
      <c r="I132" s="256">
        <v>4</v>
      </c>
      <c r="J132" s="259">
        <v>0</v>
      </c>
      <c r="K132" s="255">
        <v>224</v>
      </c>
      <c r="L132" s="256">
        <v>0</v>
      </c>
      <c r="M132" s="257">
        <v>0</v>
      </c>
      <c r="N132" s="256">
        <v>12</v>
      </c>
      <c r="O132" s="259">
        <v>0</v>
      </c>
      <c r="P132" s="255">
        <v>236</v>
      </c>
      <c r="Q132" s="256">
        <v>0</v>
      </c>
      <c r="R132" s="257">
        <v>3</v>
      </c>
      <c r="S132" s="256">
        <v>0</v>
      </c>
      <c r="T132" s="259">
        <v>12</v>
      </c>
      <c r="U132" s="258">
        <v>245</v>
      </c>
      <c r="V132" s="256">
        <v>0</v>
      </c>
      <c r="W132" s="257">
        <v>0</v>
      </c>
      <c r="X132" s="256">
        <v>0</v>
      </c>
      <c r="Y132" s="257">
        <v>0</v>
      </c>
      <c r="Z132" s="255">
        <v>245</v>
      </c>
      <c r="AA132" s="256">
        <v>0</v>
      </c>
      <c r="AB132" s="257">
        <v>10</v>
      </c>
      <c r="AC132" s="256">
        <v>0</v>
      </c>
      <c r="AD132" s="257">
        <v>10</v>
      </c>
      <c r="AE132" s="255">
        <v>245</v>
      </c>
    </row>
    <row r="133" spans="2:31">
      <c r="B133" s="241"/>
      <c r="C133" s="243"/>
      <c r="D133" s="243"/>
      <c r="E133" s="243" t="s">
        <v>670</v>
      </c>
      <c r="F133" s="255">
        <v>1618</v>
      </c>
      <c r="G133" s="256">
        <v>0</v>
      </c>
      <c r="H133" s="257">
        <v>0</v>
      </c>
      <c r="I133" s="256">
        <v>0</v>
      </c>
      <c r="J133" s="259">
        <v>0</v>
      </c>
      <c r="K133" s="255">
        <v>1618</v>
      </c>
      <c r="L133" s="256">
        <v>0</v>
      </c>
      <c r="M133" s="257">
        <v>0</v>
      </c>
      <c r="N133" s="256">
        <v>0</v>
      </c>
      <c r="O133" s="259">
        <v>0</v>
      </c>
      <c r="P133" s="255">
        <v>1618</v>
      </c>
      <c r="Q133" s="256">
        <v>0</v>
      </c>
      <c r="R133" s="257">
        <v>36</v>
      </c>
      <c r="S133" s="256">
        <v>0</v>
      </c>
      <c r="T133" s="259">
        <v>80</v>
      </c>
      <c r="U133" s="258">
        <v>1662</v>
      </c>
      <c r="V133" s="256">
        <v>0</v>
      </c>
      <c r="W133" s="257">
        <v>0</v>
      </c>
      <c r="X133" s="256">
        <v>0</v>
      </c>
      <c r="Y133" s="257">
        <v>0</v>
      </c>
      <c r="Z133" s="255">
        <v>1662</v>
      </c>
      <c r="AA133" s="256">
        <v>0</v>
      </c>
      <c r="AB133" s="257">
        <v>0</v>
      </c>
      <c r="AC133" s="256">
        <v>0</v>
      </c>
      <c r="AD133" s="257">
        <v>0</v>
      </c>
      <c r="AE133" s="255">
        <v>1662</v>
      </c>
    </row>
    <row r="134" spans="2:31">
      <c r="B134" s="241"/>
      <c r="C134" s="243"/>
      <c r="D134" s="243"/>
      <c r="E134" s="243"/>
      <c r="F134" s="260"/>
      <c r="G134" s="261"/>
      <c r="H134" s="262"/>
      <c r="I134" s="261"/>
      <c r="J134" s="263"/>
      <c r="K134" s="260"/>
      <c r="L134" s="261"/>
      <c r="M134" s="262"/>
      <c r="N134" s="261"/>
      <c r="O134" s="263"/>
      <c r="P134" s="260"/>
      <c r="Q134" s="261"/>
      <c r="R134" s="262"/>
      <c r="S134" s="261"/>
      <c r="T134" s="263"/>
      <c r="U134" s="264"/>
      <c r="V134" s="261"/>
      <c r="W134" s="262"/>
      <c r="X134" s="261"/>
      <c r="Y134" s="262"/>
      <c r="Z134" s="260"/>
      <c r="AA134" s="261"/>
      <c r="AB134" s="262"/>
      <c r="AC134" s="261"/>
      <c r="AD134" s="262"/>
      <c r="AE134" s="260"/>
    </row>
    <row r="135" spans="2:31">
      <c r="B135" s="241"/>
      <c r="C135" s="243"/>
      <c r="D135" s="248" t="s">
        <v>506</v>
      </c>
      <c r="E135" s="243"/>
      <c r="F135" s="260"/>
      <c r="G135" s="261"/>
      <c r="H135" s="262"/>
      <c r="I135" s="261"/>
      <c r="J135" s="263"/>
      <c r="K135" s="260"/>
      <c r="L135" s="261"/>
      <c r="M135" s="262"/>
      <c r="N135" s="261"/>
      <c r="O135" s="263"/>
      <c r="P135" s="260"/>
      <c r="Q135" s="261"/>
      <c r="R135" s="262"/>
      <c r="S135" s="261"/>
      <c r="T135" s="263"/>
      <c r="U135" s="264"/>
      <c r="V135" s="261"/>
      <c r="W135" s="262"/>
      <c r="X135" s="261"/>
      <c r="Y135" s="262"/>
      <c r="Z135" s="260"/>
      <c r="AA135" s="261"/>
      <c r="AB135" s="262"/>
      <c r="AC135" s="261"/>
      <c r="AD135" s="262"/>
      <c r="AE135" s="260"/>
    </row>
    <row r="136" spans="2:31">
      <c r="B136" s="241"/>
      <c r="C136" s="243"/>
      <c r="D136" s="243"/>
      <c r="E136" s="273" t="s">
        <v>671</v>
      </c>
      <c r="F136" s="255">
        <v>189</v>
      </c>
      <c r="G136" s="256">
        <v>0</v>
      </c>
      <c r="H136" s="257">
        <v>0</v>
      </c>
      <c r="I136" s="256">
        <v>2</v>
      </c>
      <c r="J136" s="259">
        <v>0</v>
      </c>
      <c r="K136" s="255">
        <v>191</v>
      </c>
      <c r="L136" s="256">
        <v>1</v>
      </c>
      <c r="M136" s="257">
        <v>0</v>
      </c>
      <c r="N136" s="256">
        <v>0</v>
      </c>
      <c r="O136" s="259">
        <v>0</v>
      </c>
      <c r="P136" s="255">
        <v>190</v>
      </c>
      <c r="Q136" s="256">
        <v>9</v>
      </c>
      <c r="R136" s="257">
        <v>0</v>
      </c>
      <c r="S136" s="256">
        <v>7</v>
      </c>
      <c r="T136" s="259">
        <v>0</v>
      </c>
      <c r="U136" s="258">
        <v>188</v>
      </c>
      <c r="V136" s="256">
        <v>4</v>
      </c>
      <c r="W136" s="257">
        <v>0</v>
      </c>
      <c r="X136" s="256">
        <v>7</v>
      </c>
      <c r="Y136" s="257">
        <v>0</v>
      </c>
      <c r="Z136" s="255">
        <v>191</v>
      </c>
      <c r="AA136" s="256">
        <v>0</v>
      </c>
      <c r="AB136" s="257">
        <v>2</v>
      </c>
      <c r="AC136" s="256">
        <v>0</v>
      </c>
      <c r="AD136" s="257">
        <v>2</v>
      </c>
      <c r="AE136" s="255">
        <v>191</v>
      </c>
    </row>
    <row r="137" spans="2:31">
      <c r="B137" s="241"/>
      <c r="C137" s="243"/>
      <c r="D137" s="243"/>
      <c r="E137" s="273" t="s">
        <v>672</v>
      </c>
      <c r="F137" s="255">
        <v>327</v>
      </c>
      <c r="G137" s="256">
        <v>0</v>
      </c>
      <c r="H137" s="257">
        <v>0</v>
      </c>
      <c r="I137" s="256">
        <v>0</v>
      </c>
      <c r="J137" s="259">
        <v>0</v>
      </c>
      <c r="K137" s="255">
        <v>327</v>
      </c>
      <c r="L137" s="256">
        <v>0</v>
      </c>
      <c r="M137" s="257">
        <v>0</v>
      </c>
      <c r="N137" s="256">
        <v>0</v>
      </c>
      <c r="O137" s="259">
        <v>0</v>
      </c>
      <c r="P137" s="255">
        <v>327</v>
      </c>
      <c r="Q137" s="256">
        <v>0</v>
      </c>
      <c r="R137" s="257">
        <v>8</v>
      </c>
      <c r="S137" s="256">
        <v>0</v>
      </c>
      <c r="T137" s="259">
        <v>17</v>
      </c>
      <c r="U137" s="258">
        <v>336</v>
      </c>
      <c r="V137" s="256">
        <v>2</v>
      </c>
      <c r="W137" s="257">
        <v>0</v>
      </c>
      <c r="X137" s="256">
        <v>2</v>
      </c>
      <c r="Y137" s="257">
        <v>0</v>
      </c>
      <c r="Z137" s="255">
        <v>336</v>
      </c>
      <c r="AA137" s="256">
        <v>0</v>
      </c>
      <c r="AB137" s="257">
        <v>0</v>
      </c>
      <c r="AC137" s="256">
        <v>0</v>
      </c>
      <c r="AD137" s="257">
        <v>0</v>
      </c>
      <c r="AE137" s="255">
        <v>336</v>
      </c>
    </row>
    <row r="138" spans="2:31" ht="13.5" thickBot="1">
      <c r="B138" s="239"/>
      <c r="C138" s="240"/>
      <c r="D138" s="240"/>
      <c r="E138" s="240"/>
      <c r="F138" s="265"/>
      <c r="G138" s="266"/>
      <c r="H138" s="267"/>
      <c r="I138" s="266"/>
      <c r="J138" s="268"/>
      <c r="K138" s="269"/>
      <c r="L138" s="266"/>
      <c r="M138" s="267"/>
      <c r="N138" s="266"/>
      <c r="O138" s="268"/>
      <c r="P138" s="269"/>
      <c r="Q138" s="266"/>
      <c r="R138" s="267"/>
      <c r="S138" s="266"/>
      <c r="T138" s="268"/>
      <c r="U138" s="270"/>
      <c r="V138" s="266"/>
      <c r="W138" s="267"/>
      <c r="X138" s="266"/>
      <c r="Y138" s="267"/>
      <c r="Z138" s="269"/>
      <c r="AA138" s="266"/>
      <c r="AB138" s="267"/>
      <c r="AC138" s="266"/>
      <c r="AD138" s="267"/>
      <c r="AE138" s="269"/>
    </row>
    <row r="139" spans="2:31">
      <c r="B139" s="271"/>
      <c r="C139" s="272" t="s">
        <v>677</v>
      </c>
      <c r="D139" s="272"/>
      <c r="E139" s="273"/>
      <c r="F139" s="260"/>
      <c r="G139" s="261"/>
      <c r="H139" s="262"/>
      <c r="I139" s="261"/>
      <c r="J139" s="263"/>
      <c r="K139" s="260"/>
      <c r="L139" s="261"/>
      <c r="M139" s="262"/>
      <c r="N139" s="261"/>
      <c r="O139" s="263"/>
      <c r="P139" s="260"/>
      <c r="Q139" s="261"/>
      <c r="R139" s="262"/>
      <c r="S139" s="261"/>
      <c r="T139" s="263"/>
      <c r="U139" s="264"/>
      <c r="V139" s="261"/>
      <c r="W139" s="262"/>
      <c r="X139" s="261"/>
      <c r="Y139" s="262"/>
      <c r="Z139" s="260"/>
      <c r="AA139" s="261"/>
      <c r="AB139" s="262"/>
      <c r="AC139" s="261"/>
      <c r="AD139" s="262"/>
      <c r="AE139" s="260"/>
    </row>
    <row r="140" spans="2:31">
      <c r="B140" s="241"/>
      <c r="C140" s="243"/>
      <c r="D140" s="248" t="s">
        <v>678</v>
      </c>
      <c r="E140" s="243"/>
      <c r="F140" s="260"/>
      <c r="G140" s="261"/>
      <c r="H140" s="262"/>
      <c r="I140" s="261"/>
      <c r="J140" s="263"/>
      <c r="K140" s="260"/>
      <c r="L140" s="261"/>
      <c r="M140" s="262"/>
      <c r="N140" s="261"/>
      <c r="O140" s="263"/>
      <c r="P140" s="260"/>
      <c r="Q140" s="261"/>
      <c r="R140" s="262"/>
      <c r="S140" s="261"/>
      <c r="T140" s="263"/>
      <c r="U140" s="264"/>
      <c r="V140" s="261"/>
      <c r="W140" s="262"/>
      <c r="X140" s="261"/>
      <c r="Y140" s="262"/>
      <c r="Z140" s="260"/>
      <c r="AA140" s="261"/>
      <c r="AB140" s="262"/>
      <c r="AC140" s="261"/>
      <c r="AD140" s="262"/>
      <c r="AE140" s="260"/>
    </row>
    <row r="141" spans="2:31">
      <c r="B141" s="241"/>
      <c r="C141" s="243"/>
      <c r="D141" s="243"/>
      <c r="E141" s="273" t="s">
        <v>679</v>
      </c>
      <c r="F141" s="255">
        <v>0</v>
      </c>
      <c r="G141" s="256">
        <v>0</v>
      </c>
      <c r="H141" s="257">
        <v>0</v>
      </c>
      <c r="I141" s="256">
        <v>0</v>
      </c>
      <c r="J141" s="259">
        <v>0</v>
      </c>
      <c r="K141" s="255">
        <v>0</v>
      </c>
      <c r="L141" s="256">
        <v>0</v>
      </c>
      <c r="M141" s="257">
        <v>0</v>
      </c>
      <c r="N141" s="256">
        <v>0</v>
      </c>
      <c r="O141" s="259">
        <v>0</v>
      </c>
      <c r="P141" s="255">
        <v>0</v>
      </c>
      <c r="Q141" s="256">
        <v>0</v>
      </c>
      <c r="R141" s="257">
        <v>0</v>
      </c>
      <c r="S141" s="256">
        <v>0</v>
      </c>
      <c r="T141" s="259">
        <v>2</v>
      </c>
      <c r="U141" s="258">
        <v>2</v>
      </c>
      <c r="V141" s="256">
        <v>0</v>
      </c>
      <c r="W141" s="257">
        <v>0</v>
      </c>
      <c r="X141" s="256">
        <v>0</v>
      </c>
      <c r="Y141" s="257">
        <v>0</v>
      </c>
      <c r="Z141" s="255">
        <v>2</v>
      </c>
      <c r="AA141" s="256">
        <v>0</v>
      </c>
      <c r="AB141" s="257">
        <v>0</v>
      </c>
      <c r="AC141" s="256">
        <v>0</v>
      </c>
      <c r="AD141" s="257">
        <v>0</v>
      </c>
      <c r="AE141" s="255">
        <v>2</v>
      </c>
    </row>
    <row r="142" spans="2:31">
      <c r="B142" s="241"/>
      <c r="C142" s="243"/>
      <c r="D142" s="243"/>
      <c r="E142" s="273" t="s">
        <v>848</v>
      </c>
      <c r="F142" s="255">
        <v>462</v>
      </c>
      <c r="G142" s="256">
        <v>0</v>
      </c>
      <c r="H142" s="257">
        <v>0</v>
      </c>
      <c r="I142" s="256">
        <v>0</v>
      </c>
      <c r="J142" s="259">
        <v>0</v>
      </c>
      <c r="K142" s="255">
        <v>462</v>
      </c>
      <c r="L142" s="256">
        <v>0</v>
      </c>
      <c r="M142" s="257">
        <v>0</v>
      </c>
      <c r="N142" s="256">
        <v>0</v>
      </c>
      <c r="O142" s="259">
        <v>5</v>
      </c>
      <c r="P142" s="255">
        <v>467</v>
      </c>
      <c r="Q142" s="256">
        <v>0</v>
      </c>
      <c r="R142" s="257">
        <v>0</v>
      </c>
      <c r="S142" s="256">
        <v>0</v>
      </c>
      <c r="T142" s="259">
        <v>17</v>
      </c>
      <c r="U142" s="258">
        <v>484</v>
      </c>
      <c r="V142" s="256">
        <v>0</v>
      </c>
      <c r="W142" s="257">
        <v>0</v>
      </c>
      <c r="X142" s="256">
        <v>0</v>
      </c>
      <c r="Y142" s="257">
        <v>0</v>
      </c>
      <c r="Z142" s="255">
        <v>484</v>
      </c>
      <c r="AA142" s="256">
        <v>0</v>
      </c>
      <c r="AB142" s="257">
        <v>0</v>
      </c>
      <c r="AC142" s="256">
        <v>0</v>
      </c>
      <c r="AD142" s="257">
        <v>0</v>
      </c>
      <c r="AE142" s="255">
        <v>484</v>
      </c>
    </row>
    <row r="143" spans="2:31">
      <c r="B143" s="241"/>
      <c r="C143" s="273"/>
      <c r="D143" s="248"/>
      <c r="E143" s="243"/>
      <c r="F143" s="260"/>
      <c r="G143" s="261"/>
      <c r="H143" s="262"/>
      <c r="I143" s="261"/>
      <c r="J143" s="263"/>
      <c r="K143" s="260"/>
      <c r="L143" s="261"/>
      <c r="M143" s="262"/>
      <c r="N143" s="261"/>
      <c r="O143" s="263"/>
      <c r="P143" s="260"/>
      <c r="Q143" s="261"/>
      <c r="R143" s="262"/>
      <c r="S143" s="261"/>
      <c r="T143" s="263"/>
      <c r="U143" s="264"/>
      <c r="V143" s="261"/>
      <c r="W143" s="262"/>
      <c r="X143" s="261"/>
      <c r="Y143" s="262"/>
      <c r="Z143" s="260"/>
      <c r="AA143" s="261"/>
      <c r="AB143" s="262"/>
      <c r="AC143" s="261"/>
      <c r="AD143" s="262"/>
      <c r="AE143" s="260"/>
    </row>
    <row r="144" spans="2:31">
      <c r="B144" s="241"/>
      <c r="C144" s="243"/>
      <c r="D144" s="248" t="s">
        <v>849</v>
      </c>
      <c r="E144" s="243"/>
      <c r="F144" s="260"/>
      <c r="G144" s="261"/>
      <c r="H144" s="262"/>
      <c r="I144" s="261"/>
      <c r="J144" s="263"/>
      <c r="K144" s="260"/>
      <c r="L144" s="261"/>
      <c r="M144" s="262"/>
      <c r="N144" s="261"/>
      <c r="O144" s="263"/>
      <c r="P144" s="260"/>
      <c r="Q144" s="261"/>
      <c r="R144" s="262"/>
      <c r="S144" s="261"/>
      <c r="T144" s="263"/>
      <c r="U144" s="264"/>
      <c r="V144" s="261"/>
      <c r="W144" s="262"/>
      <c r="X144" s="261"/>
      <c r="Y144" s="262"/>
      <c r="Z144" s="260"/>
      <c r="AA144" s="261"/>
      <c r="AB144" s="262"/>
      <c r="AC144" s="261"/>
      <c r="AD144" s="262"/>
      <c r="AE144" s="260"/>
    </row>
    <row r="145" spans="2:31">
      <c r="B145" s="241"/>
      <c r="C145" s="243"/>
      <c r="D145" s="243"/>
      <c r="E145" s="273" t="s">
        <v>681</v>
      </c>
      <c r="F145" s="255">
        <v>829</v>
      </c>
      <c r="G145" s="256">
        <v>0</v>
      </c>
      <c r="H145" s="257">
        <v>0</v>
      </c>
      <c r="I145" s="256">
        <v>0</v>
      </c>
      <c r="J145" s="259">
        <v>0</v>
      </c>
      <c r="K145" s="255">
        <v>829</v>
      </c>
      <c r="L145" s="256">
        <v>0</v>
      </c>
      <c r="M145" s="257">
        <v>0</v>
      </c>
      <c r="N145" s="256">
        <v>0</v>
      </c>
      <c r="O145" s="259">
        <v>335</v>
      </c>
      <c r="P145" s="255">
        <v>1164</v>
      </c>
      <c r="Q145" s="256">
        <v>0</v>
      </c>
      <c r="R145" s="257">
        <v>0</v>
      </c>
      <c r="S145" s="256">
        <v>0</v>
      </c>
      <c r="T145" s="259">
        <v>327</v>
      </c>
      <c r="U145" s="258">
        <v>1491</v>
      </c>
      <c r="V145" s="256">
        <v>0</v>
      </c>
      <c r="W145" s="257">
        <v>0</v>
      </c>
      <c r="X145" s="256">
        <v>0</v>
      </c>
      <c r="Y145" s="257">
        <v>0</v>
      </c>
      <c r="Z145" s="255">
        <v>1491</v>
      </c>
      <c r="AA145" s="256">
        <v>0</v>
      </c>
      <c r="AB145" s="257">
        <v>0</v>
      </c>
      <c r="AC145" s="256">
        <v>0</v>
      </c>
      <c r="AD145" s="257">
        <v>0</v>
      </c>
      <c r="AE145" s="255">
        <v>1491</v>
      </c>
    </row>
    <row r="146" spans="2:31">
      <c r="B146" s="241"/>
      <c r="C146" s="243"/>
      <c r="D146" s="243"/>
      <c r="E146" s="273" t="s">
        <v>682</v>
      </c>
      <c r="F146" s="255">
        <v>224</v>
      </c>
      <c r="G146" s="256">
        <v>0</v>
      </c>
      <c r="H146" s="257">
        <v>0</v>
      </c>
      <c r="I146" s="256">
        <v>0</v>
      </c>
      <c r="J146" s="259">
        <v>0</v>
      </c>
      <c r="K146" s="255">
        <v>224</v>
      </c>
      <c r="L146" s="256">
        <v>0</v>
      </c>
      <c r="M146" s="257">
        <v>0</v>
      </c>
      <c r="N146" s="256">
        <v>0</v>
      </c>
      <c r="O146" s="259">
        <v>32</v>
      </c>
      <c r="P146" s="255">
        <v>256</v>
      </c>
      <c r="Q146" s="256">
        <v>0</v>
      </c>
      <c r="R146" s="257">
        <v>0</v>
      </c>
      <c r="S146" s="256">
        <v>0</v>
      </c>
      <c r="T146" s="259">
        <v>495</v>
      </c>
      <c r="U146" s="258">
        <v>751</v>
      </c>
      <c r="V146" s="256">
        <v>0</v>
      </c>
      <c r="W146" s="257">
        <v>0</v>
      </c>
      <c r="X146" s="256">
        <v>0</v>
      </c>
      <c r="Y146" s="257">
        <v>0</v>
      </c>
      <c r="Z146" s="255">
        <v>751</v>
      </c>
      <c r="AA146" s="256">
        <v>0</v>
      </c>
      <c r="AB146" s="257">
        <v>0</v>
      </c>
      <c r="AC146" s="256">
        <v>0</v>
      </c>
      <c r="AD146" s="257">
        <v>0</v>
      </c>
      <c r="AE146" s="255">
        <v>751</v>
      </c>
    </row>
    <row r="147" spans="2:31" ht="13.5" thickBot="1">
      <c r="B147" s="239"/>
      <c r="C147" s="240"/>
      <c r="D147" s="240"/>
      <c r="E147" s="240"/>
      <c r="F147" s="265"/>
      <c r="G147" s="266"/>
      <c r="H147" s="267"/>
      <c r="I147" s="266"/>
      <c r="J147" s="268"/>
      <c r="K147" s="269"/>
      <c r="L147" s="266"/>
      <c r="M147" s="267"/>
      <c r="N147" s="266"/>
      <c r="O147" s="268"/>
      <c r="P147" s="269"/>
      <c r="Q147" s="266"/>
      <c r="R147" s="267"/>
      <c r="S147" s="266"/>
      <c r="T147" s="268"/>
      <c r="U147" s="279"/>
      <c r="V147" s="266"/>
      <c r="W147" s="267"/>
      <c r="X147" s="266"/>
      <c r="Y147" s="267"/>
      <c r="Z147" s="269"/>
      <c r="AA147" s="266"/>
      <c r="AB147" s="267"/>
      <c r="AC147" s="266"/>
      <c r="AD147" s="267"/>
      <c r="AE147" s="269"/>
    </row>
  </sheetData>
  <mergeCells count="17">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 ref="V8:W8"/>
    <mergeCell ref="X8:Y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workbookViewId="0">
      <selection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1342" t="s">
        <v>852</v>
      </c>
      <c r="F1" s="230" t="s">
        <v>1021</v>
      </c>
    </row>
    <row r="3" spans="1:20">
      <c r="A3" s="1342" t="s">
        <v>66</v>
      </c>
    </row>
    <row r="6" spans="1:20" s="852" customFormat="1" ht="15.75" customHeight="1">
      <c r="A6" s="980"/>
      <c r="B6" s="1350" t="s">
        <v>67</v>
      </c>
      <c r="C6" s="295"/>
      <c r="D6" s="784"/>
      <c r="E6" s="784"/>
      <c r="F6" s="784"/>
      <c r="G6" s="784"/>
      <c r="H6" s="784"/>
      <c r="I6" s="784"/>
      <c r="J6" s="784"/>
      <c r="K6" s="784"/>
      <c r="L6" s="784"/>
      <c r="M6" s="784"/>
      <c r="N6" s="784"/>
      <c r="O6" s="989"/>
      <c r="P6" s="989"/>
      <c r="Q6" s="989"/>
      <c r="R6" s="982"/>
      <c r="S6" s="784"/>
      <c r="T6" s="784"/>
    </row>
    <row r="7" spans="1:20" ht="13.5" thickBot="1">
      <c r="A7" s="231"/>
      <c r="B7" s="231"/>
      <c r="C7" s="291"/>
      <c r="D7" s="231"/>
      <c r="E7" s="231"/>
      <c r="F7" s="231"/>
      <c r="G7" s="231"/>
      <c r="H7" s="231"/>
      <c r="I7" s="231"/>
      <c r="J7" s="231"/>
      <c r="K7" s="231"/>
      <c r="L7" s="231"/>
      <c r="M7" s="231"/>
      <c r="N7" s="231"/>
      <c r="O7" s="231"/>
      <c r="P7" s="231"/>
      <c r="Q7" s="231"/>
      <c r="R7" s="235"/>
      <c r="S7" s="231"/>
      <c r="T7" s="231"/>
    </row>
    <row r="8" spans="1:20" ht="15.75" customHeight="1">
      <c r="A8" s="231"/>
      <c r="B8" s="1892" t="s">
        <v>67</v>
      </c>
      <c r="C8" s="1896" t="s">
        <v>31</v>
      </c>
      <c r="D8" s="1351" t="s">
        <v>116</v>
      </c>
      <c r="E8" s="1352"/>
      <c r="F8" s="1352"/>
      <c r="G8" s="1352"/>
      <c r="H8" s="292"/>
      <c r="I8" s="1352" t="s">
        <v>117</v>
      </c>
      <c r="J8" s="293"/>
      <c r="K8" s="293"/>
      <c r="L8" s="293"/>
      <c r="M8" s="292"/>
      <c r="N8" s="231"/>
      <c r="O8" s="1353" t="s">
        <v>116</v>
      </c>
      <c r="P8" s="1354"/>
      <c r="Q8" s="1355"/>
      <c r="R8" s="235"/>
      <c r="S8" s="1353" t="s">
        <v>117</v>
      </c>
      <c r="T8" s="1355"/>
    </row>
    <row r="9" spans="1:20" ht="25.5">
      <c r="A9" s="231"/>
      <c r="B9" s="1893"/>
      <c r="C9" s="1897"/>
      <c r="D9" s="1356" t="s">
        <v>32</v>
      </c>
      <c r="E9" s="1357" t="s">
        <v>33</v>
      </c>
      <c r="F9" s="1357" t="s">
        <v>29</v>
      </c>
      <c r="G9" s="1357" t="s">
        <v>34</v>
      </c>
      <c r="H9" s="1358" t="s">
        <v>35</v>
      </c>
      <c r="I9" s="1359" t="s">
        <v>118</v>
      </c>
      <c r="J9" s="1357" t="s">
        <v>136</v>
      </c>
      <c r="K9" s="1357" t="s">
        <v>137</v>
      </c>
      <c r="L9" s="1357" t="s">
        <v>138</v>
      </c>
      <c r="M9" s="1358" t="s">
        <v>139</v>
      </c>
      <c r="N9" s="231"/>
      <c r="O9" s="1360" t="s">
        <v>126</v>
      </c>
      <c r="P9" s="1361" t="s">
        <v>127</v>
      </c>
      <c r="Q9" s="1362" t="s">
        <v>245</v>
      </c>
      <c r="R9" s="235"/>
      <c r="S9" s="1360" t="s">
        <v>127</v>
      </c>
      <c r="T9" s="1362" t="s">
        <v>128</v>
      </c>
    </row>
    <row r="10" spans="1:20" s="852" customFormat="1" ht="15.75" customHeight="1">
      <c r="A10" s="980"/>
      <c r="B10" s="988" t="s">
        <v>185</v>
      </c>
      <c r="C10" s="981" t="s">
        <v>14</v>
      </c>
      <c r="D10" s="1363">
        <v>54.23058330661577</v>
      </c>
      <c r="E10" s="1364">
        <v>38.837901397590365</v>
      </c>
      <c r="F10" s="1364">
        <v>91.674549507870751</v>
      </c>
      <c r="G10" s="1364">
        <v>60.626197243589743</v>
      </c>
      <c r="H10" s="1365">
        <v>65.682752663900402</v>
      </c>
      <c r="I10" s="1364">
        <v>67.834798536622969</v>
      </c>
      <c r="J10" s="1366">
        <v>68.956879235521228</v>
      </c>
      <c r="K10" s="1366">
        <v>73.553938336271187</v>
      </c>
      <c r="L10" s="1366">
        <v>77.272654105263157</v>
      </c>
      <c r="M10" s="1365">
        <v>81.348229883553415</v>
      </c>
      <c r="N10" s="989"/>
      <c r="O10" s="505">
        <v>184.74303421207688</v>
      </c>
      <c r="P10" s="506">
        <v>126.30894990749015</v>
      </c>
      <c r="Q10" s="507">
        <v>311.05198411956701</v>
      </c>
      <c r="R10" s="235"/>
      <c r="S10" s="505">
        <v>368.96650009723197</v>
      </c>
      <c r="T10" s="1367">
        <v>0.18618918680616059</v>
      </c>
    </row>
    <row r="11" spans="1:20" s="852" customFormat="1" ht="15.75" customHeight="1">
      <c r="A11" s="980"/>
      <c r="B11" s="988" t="s">
        <v>186</v>
      </c>
      <c r="C11" s="981" t="s">
        <v>14</v>
      </c>
      <c r="D11" s="1368">
        <v>47.9</v>
      </c>
      <c r="E11" s="1369">
        <v>34.199999999999996</v>
      </c>
      <c r="F11" s="1369">
        <v>74.400000000000006</v>
      </c>
      <c r="G11" s="1369">
        <v>47.7</v>
      </c>
      <c r="H11" s="1370">
        <v>49.6</v>
      </c>
      <c r="I11" s="1369">
        <v>50.599999999999994</v>
      </c>
      <c r="J11" s="1371">
        <v>53</v>
      </c>
      <c r="K11" s="1371">
        <v>56.9</v>
      </c>
      <c r="L11" s="1371">
        <v>60.2</v>
      </c>
      <c r="M11" s="1370">
        <v>63.6</v>
      </c>
      <c r="N11" s="989"/>
      <c r="O11" s="505">
        <v>156.5</v>
      </c>
      <c r="P11" s="506">
        <v>97.300000000000011</v>
      </c>
      <c r="Q11" s="507">
        <v>253.79999999999998</v>
      </c>
      <c r="R11" s="235"/>
      <c r="S11" s="505">
        <v>284.3</v>
      </c>
      <c r="T11" s="1367">
        <v>0.12017336485421604</v>
      </c>
    </row>
    <row r="12" spans="1:20" s="852" customFormat="1" ht="15.75" customHeight="1">
      <c r="A12" s="980"/>
      <c r="B12" s="988" t="s">
        <v>660</v>
      </c>
      <c r="C12" s="981" t="s">
        <v>14</v>
      </c>
      <c r="D12" s="1372">
        <v>6.3305833066157717</v>
      </c>
      <c r="E12" s="1373">
        <v>4.6379013975903689</v>
      </c>
      <c r="F12" s="1373">
        <v>17.274549507870745</v>
      </c>
      <c r="G12" s="1373">
        <v>12.926197243589741</v>
      </c>
      <c r="H12" s="1374">
        <v>16.082752663900401</v>
      </c>
      <c r="I12" s="1375">
        <v>17.234798536622975</v>
      </c>
      <c r="J12" s="1373">
        <v>15.956879235521228</v>
      </c>
      <c r="K12" s="1373">
        <v>16.653938336271189</v>
      </c>
      <c r="L12" s="1373">
        <v>17.072654105263155</v>
      </c>
      <c r="M12" s="1374">
        <v>17.748229883553414</v>
      </c>
      <c r="N12" s="989"/>
      <c r="O12" s="505">
        <v>28.243034212076886</v>
      </c>
      <c r="P12" s="506">
        <v>29.008949907490141</v>
      </c>
      <c r="Q12" s="507">
        <v>57.251984119567027</v>
      </c>
      <c r="R12" s="235"/>
      <c r="S12" s="505">
        <v>84.66650009723196</v>
      </c>
      <c r="T12" s="1367">
        <v>0.47883957908622887</v>
      </c>
    </row>
    <row r="13" spans="1:20" s="852" customFormat="1" ht="15.75" customHeight="1">
      <c r="A13" s="980"/>
      <c r="B13" s="988" t="s">
        <v>188</v>
      </c>
      <c r="C13" s="981" t="s">
        <v>14</v>
      </c>
      <c r="D13" s="1368">
        <v>12.7</v>
      </c>
      <c r="E13" s="1369">
        <v>16.3</v>
      </c>
      <c r="F13" s="1369">
        <v>7.4</v>
      </c>
      <c r="G13" s="1369">
        <v>2.6</v>
      </c>
      <c r="H13" s="1370">
        <v>4.5</v>
      </c>
      <c r="I13" s="1369">
        <v>5.7</v>
      </c>
      <c r="J13" s="1371">
        <v>5.9</v>
      </c>
      <c r="K13" s="1371">
        <v>6.3</v>
      </c>
      <c r="L13" s="1371">
        <v>6.7</v>
      </c>
      <c r="M13" s="1370">
        <v>7</v>
      </c>
      <c r="N13" s="989"/>
      <c r="O13" s="505">
        <v>36.4</v>
      </c>
      <c r="P13" s="506">
        <v>7.1</v>
      </c>
      <c r="Q13" s="507">
        <v>43.5</v>
      </c>
      <c r="R13" s="235"/>
      <c r="S13" s="505">
        <v>31.6</v>
      </c>
      <c r="T13" s="1367">
        <v>-0.27356321839080455</v>
      </c>
    </row>
    <row r="14" spans="1:20" s="852" customFormat="1" ht="15.75" customHeight="1" thickBot="1">
      <c r="A14" s="980"/>
      <c r="B14" s="990" t="s">
        <v>420</v>
      </c>
      <c r="C14" s="983" t="s">
        <v>14</v>
      </c>
      <c r="D14" s="775">
        <v>-6.3694166933842276</v>
      </c>
      <c r="E14" s="778">
        <v>-11.662098602409632</v>
      </c>
      <c r="F14" s="778">
        <v>9.8745495078707446</v>
      </c>
      <c r="G14" s="778">
        <v>10.326197243589741</v>
      </c>
      <c r="H14" s="777">
        <v>11.582752663900401</v>
      </c>
      <c r="I14" s="776">
        <v>11.534798536622976</v>
      </c>
      <c r="J14" s="778">
        <v>10.056879235521228</v>
      </c>
      <c r="K14" s="778">
        <v>10.353938336271188</v>
      </c>
      <c r="L14" s="778">
        <v>10.372654105263155</v>
      </c>
      <c r="M14" s="777">
        <v>10.748229883553414</v>
      </c>
      <c r="N14" s="989"/>
      <c r="O14" s="1376">
        <v>-8.1569657879231148</v>
      </c>
      <c r="P14" s="1377">
        <v>21.90894990749014</v>
      </c>
      <c r="Q14" s="1378">
        <v>13.751984119567027</v>
      </c>
      <c r="R14" s="235"/>
      <c r="S14" s="1376">
        <v>53.066500097231959</v>
      </c>
      <c r="T14" s="1379">
        <v>2.8588249983306939</v>
      </c>
    </row>
    <row r="15" spans="1:20">
      <c r="A15" s="231"/>
      <c r="B15" s="231"/>
      <c r="C15" s="291"/>
      <c r="D15" s="782"/>
      <c r="E15" s="782"/>
      <c r="F15" s="782"/>
      <c r="G15" s="782"/>
      <c r="H15" s="782"/>
      <c r="I15" s="782"/>
      <c r="J15" s="782"/>
      <c r="K15" s="782"/>
      <c r="L15" s="782"/>
      <c r="M15" s="782"/>
      <c r="N15" s="782"/>
      <c r="O15" s="782"/>
      <c r="P15" s="782"/>
      <c r="Q15" s="782"/>
      <c r="R15" s="783"/>
      <c r="S15" s="782"/>
      <c r="T15" s="782"/>
    </row>
    <row r="16" spans="1:20" s="852" customFormat="1" ht="15.75" customHeight="1">
      <c r="A16" s="980"/>
      <c r="B16" s="1350" t="s">
        <v>421</v>
      </c>
      <c r="C16" s="295"/>
      <c r="D16" s="784"/>
      <c r="E16" s="784"/>
      <c r="F16" s="784"/>
      <c r="G16" s="784"/>
      <c r="H16" s="784"/>
      <c r="I16" s="784"/>
      <c r="J16" s="784"/>
      <c r="K16" s="784"/>
      <c r="L16" s="784"/>
      <c r="M16" s="784"/>
      <c r="N16" s="784"/>
      <c r="O16" s="989"/>
      <c r="P16" s="989"/>
      <c r="Q16" s="989"/>
      <c r="R16" s="982"/>
      <c r="S16" s="784"/>
      <c r="T16" s="784"/>
    </row>
    <row r="17" spans="1:20" ht="13.5" thickBot="1">
      <c r="A17" s="231"/>
      <c r="B17" s="1380"/>
      <c r="C17" s="291"/>
      <c r="D17" s="784"/>
      <c r="E17" s="784"/>
      <c r="F17" s="784"/>
      <c r="G17" s="784"/>
      <c r="H17" s="784"/>
      <c r="I17" s="784"/>
      <c r="J17" s="784"/>
      <c r="K17" s="784"/>
      <c r="L17" s="784"/>
      <c r="M17" s="784"/>
      <c r="N17" s="783"/>
      <c r="O17" s="783"/>
      <c r="P17" s="783"/>
      <c r="Q17" s="783"/>
      <c r="R17" s="783"/>
      <c r="S17" s="783"/>
      <c r="T17" s="783"/>
    </row>
    <row r="18" spans="1:20" ht="15.75" customHeight="1">
      <c r="A18" s="231"/>
      <c r="B18" s="1892" t="s">
        <v>421</v>
      </c>
      <c r="C18" s="1896" t="s">
        <v>31</v>
      </c>
      <c r="D18" s="785" t="s">
        <v>116</v>
      </c>
      <c r="E18" s="786"/>
      <c r="F18" s="786"/>
      <c r="G18" s="786"/>
      <c r="H18" s="787"/>
      <c r="I18" s="786" t="s">
        <v>117</v>
      </c>
      <c r="J18" s="788"/>
      <c r="K18" s="788"/>
      <c r="L18" s="788"/>
      <c r="M18" s="787"/>
      <c r="N18" s="783"/>
      <c r="O18" s="783"/>
      <c r="P18" s="783"/>
      <c r="Q18" s="783"/>
      <c r="R18" s="783"/>
      <c r="S18" s="783"/>
      <c r="T18" s="783"/>
    </row>
    <row r="19" spans="1:20" ht="26.25" customHeight="1">
      <c r="A19" s="231"/>
      <c r="B19" s="1893"/>
      <c r="C19" s="1897"/>
      <c r="D19" s="789" t="s">
        <v>32</v>
      </c>
      <c r="E19" s="790" t="s">
        <v>33</v>
      </c>
      <c r="F19" s="790" t="s">
        <v>29</v>
      </c>
      <c r="G19" s="790" t="s">
        <v>34</v>
      </c>
      <c r="H19" s="791" t="s">
        <v>35</v>
      </c>
      <c r="I19" s="792" t="s">
        <v>118</v>
      </c>
      <c r="J19" s="790" t="s">
        <v>136</v>
      </c>
      <c r="K19" s="790" t="s">
        <v>137</v>
      </c>
      <c r="L19" s="790" t="s">
        <v>138</v>
      </c>
      <c r="M19" s="791" t="s">
        <v>139</v>
      </c>
      <c r="N19" s="783"/>
      <c r="O19" s="783"/>
      <c r="P19" s="783"/>
      <c r="Q19" s="783"/>
      <c r="R19" s="783"/>
      <c r="S19" s="783"/>
      <c r="T19" s="783"/>
    </row>
    <row r="20" spans="1:20">
      <c r="A20" s="231"/>
      <c r="B20" s="1381"/>
      <c r="C20" s="296"/>
      <c r="D20" s="793"/>
      <c r="E20" s="794"/>
      <c r="F20" s="794"/>
      <c r="G20" s="794"/>
      <c r="H20" s="795"/>
      <c r="I20" s="794"/>
      <c r="J20" s="794"/>
      <c r="K20" s="794"/>
      <c r="L20" s="794"/>
      <c r="M20" s="795"/>
      <c r="N20" s="783"/>
      <c r="O20" s="783"/>
      <c r="P20" s="783"/>
      <c r="Q20" s="783"/>
      <c r="R20" s="783"/>
      <c r="S20" s="783"/>
      <c r="T20" s="783"/>
    </row>
    <row r="21" spans="1:20" ht="15.75" customHeight="1">
      <c r="A21" s="231"/>
      <c r="B21" s="1382" t="s">
        <v>422</v>
      </c>
      <c r="C21" s="486" t="s">
        <v>243</v>
      </c>
      <c r="D21" s="1383">
        <v>5142</v>
      </c>
      <c r="E21" s="1369">
        <v>5071.9969813739526</v>
      </c>
      <c r="F21" s="1369">
        <v>5165.0399372894481</v>
      </c>
      <c r="G21" s="1369">
        <v>5268.9998729061226</v>
      </c>
      <c r="H21" s="1370">
        <v>5307.952969828777</v>
      </c>
      <c r="I21" s="1369">
        <v>5347.0146139487642</v>
      </c>
      <c r="J21" s="1371">
        <v>5386.0263758444116</v>
      </c>
      <c r="K21" s="1371">
        <v>5424.9980447425833</v>
      </c>
      <c r="L21" s="1371">
        <v>5464.0472450535744</v>
      </c>
      <c r="M21" s="1370">
        <v>5503.044901736067</v>
      </c>
      <c r="N21" s="783"/>
      <c r="O21" s="783"/>
      <c r="P21" s="783"/>
      <c r="Q21" s="783"/>
      <c r="R21" s="783"/>
      <c r="S21" s="783"/>
      <c r="T21" s="783"/>
    </row>
    <row r="22" spans="1:20" ht="15.75" customHeight="1">
      <c r="A22" s="231"/>
      <c r="B22" s="1382" t="s">
        <v>583</v>
      </c>
      <c r="C22" s="486" t="s">
        <v>243</v>
      </c>
      <c r="D22" s="1368">
        <v>29.88360892237084</v>
      </c>
      <c r="E22" s="1369">
        <v>-70.003018626047691</v>
      </c>
      <c r="F22" s="1369">
        <v>93.042955915494986</v>
      </c>
      <c r="G22" s="1369">
        <v>103.95993561667426</v>
      </c>
      <c r="H22" s="1370">
        <v>38.953096922654105</v>
      </c>
      <c r="I22" s="1369">
        <v>39.061644119987612</v>
      </c>
      <c r="J22" s="1371">
        <v>39.011761895647439</v>
      </c>
      <c r="K22" s="1371">
        <v>38.971668898171487</v>
      </c>
      <c r="L22" s="1371">
        <v>39.049200310991523</v>
      </c>
      <c r="M22" s="1370">
        <v>38.997656682492938</v>
      </c>
      <c r="N22" s="783"/>
      <c r="O22" s="783"/>
      <c r="P22" s="783"/>
      <c r="Q22" s="783"/>
      <c r="R22" s="783"/>
      <c r="S22" s="783"/>
      <c r="T22" s="783"/>
    </row>
    <row r="23" spans="1:20" ht="15.75" customHeight="1">
      <c r="A23" s="231"/>
      <c r="B23" s="991" t="s">
        <v>580</v>
      </c>
      <c r="C23" s="486" t="s">
        <v>243</v>
      </c>
      <c r="D23" s="280">
        <v>61.223229983654413</v>
      </c>
      <c r="E23" s="281">
        <v>86.57903988436783</v>
      </c>
      <c r="F23" s="281">
        <v>67.934097110053727</v>
      </c>
      <c r="G23" s="281">
        <v>50.460195454410112</v>
      </c>
      <c r="H23" s="282">
        <v>45.683369752276747</v>
      </c>
      <c r="I23" s="281">
        <v>47.180403308129122</v>
      </c>
      <c r="J23" s="283">
        <v>51.4786451649748</v>
      </c>
      <c r="K23" s="283">
        <v>56.838552167498847</v>
      </c>
      <c r="L23" s="283">
        <v>63.016083580318885</v>
      </c>
      <c r="M23" s="282">
        <v>70.064539951820294</v>
      </c>
      <c r="N23" s="783"/>
      <c r="O23" s="783"/>
      <c r="P23" s="783"/>
      <c r="Q23" s="783"/>
      <c r="R23" s="783"/>
      <c r="S23" s="783"/>
      <c r="T23" s="783"/>
    </row>
    <row r="24" spans="1:20" ht="15.75" customHeight="1">
      <c r="A24" s="231"/>
      <c r="B24" s="991" t="s">
        <v>581</v>
      </c>
      <c r="C24" s="486" t="s">
        <v>243</v>
      </c>
      <c r="D24" s="280">
        <v>-31.339621061283573</v>
      </c>
      <c r="E24" s="281">
        <v>-35.582058510415521</v>
      </c>
      <c r="F24" s="281">
        <v>-23.691141194558739</v>
      </c>
      <c r="G24" s="281">
        <v>-32.600259837735848</v>
      </c>
      <c r="H24" s="282">
        <v>-34.230272829622642</v>
      </c>
      <c r="I24" s="281">
        <v>-32.518759188141509</v>
      </c>
      <c r="J24" s="283">
        <v>-29.266883269327359</v>
      </c>
      <c r="K24" s="283">
        <v>-29.266883269327359</v>
      </c>
      <c r="L24" s="283">
        <v>-29.266883269327359</v>
      </c>
      <c r="M24" s="282">
        <v>-29.266883269327359</v>
      </c>
      <c r="N24" s="783"/>
      <c r="O24" s="783"/>
      <c r="P24" s="783"/>
      <c r="Q24" s="783"/>
      <c r="R24" s="783"/>
      <c r="S24" s="783"/>
      <c r="T24" s="783"/>
    </row>
    <row r="25" spans="1:20" ht="15.75" customHeight="1">
      <c r="A25" s="231"/>
      <c r="B25" s="991" t="s">
        <v>584</v>
      </c>
      <c r="C25" s="486" t="s">
        <v>243</v>
      </c>
      <c r="D25" s="280">
        <v>0</v>
      </c>
      <c r="E25" s="281">
        <v>-121</v>
      </c>
      <c r="F25" s="281">
        <v>48.8</v>
      </c>
      <c r="G25" s="281">
        <v>86.1</v>
      </c>
      <c r="H25" s="282">
        <v>27.5</v>
      </c>
      <c r="I25" s="281">
        <v>24.4</v>
      </c>
      <c r="J25" s="283">
        <v>16.8</v>
      </c>
      <c r="K25" s="283">
        <v>11.4</v>
      </c>
      <c r="L25" s="283">
        <v>5.3</v>
      </c>
      <c r="M25" s="282">
        <v>-1.8</v>
      </c>
      <c r="N25" s="783"/>
      <c r="O25" s="783"/>
      <c r="P25" s="783"/>
      <c r="Q25" s="783"/>
      <c r="R25" s="783"/>
      <c r="S25" s="783"/>
      <c r="T25" s="783"/>
    </row>
    <row r="26" spans="1:20" ht="15.75" customHeight="1">
      <c r="A26" s="231"/>
      <c r="B26" s="1384"/>
      <c r="C26" s="297"/>
      <c r="D26" s="1385"/>
      <c r="E26" s="1386"/>
      <c r="F26" s="1386"/>
      <c r="G26" s="1386"/>
      <c r="H26" s="1387"/>
      <c r="I26" s="1386"/>
      <c r="J26" s="1386"/>
      <c r="K26" s="1386"/>
      <c r="L26" s="1386"/>
      <c r="M26" s="1387"/>
      <c r="N26" s="783"/>
      <c r="O26" s="783"/>
      <c r="P26" s="783"/>
      <c r="Q26" s="783"/>
      <c r="R26" s="783"/>
      <c r="S26" s="783"/>
      <c r="T26" s="783"/>
    </row>
    <row r="27" spans="1:20" ht="15.75" customHeight="1">
      <c r="A27" s="231"/>
      <c r="B27" s="1382" t="s">
        <v>427</v>
      </c>
      <c r="C27" s="486" t="s">
        <v>51</v>
      </c>
      <c r="D27" s="1383">
        <v>30104.9</v>
      </c>
      <c r="E27" s="1369">
        <v>29508.87294690101</v>
      </c>
      <c r="F27" s="1369">
        <v>29665.403522061137</v>
      </c>
      <c r="G27" s="1369">
        <v>29133.779123498996</v>
      </c>
      <c r="H27" s="1370">
        <v>27786.10373262026</v>
      </c>
      <c r="I27" s="1369">
        <v>27637.566456374068</v>
      </c>
      <c r="J27" s="1371">
        <v>28143.049712027703</v>
      </c>
      <c r="K27" s="1371">
        <v>28347.761310734062</v>
      </c>
      <c r="L27" s="1371">
        <v>28504.659507964814</v>
      </c>
      <c r="M27" s="1370">
        <v>28539.062081679618</v>
      </c>
      <c r="N27" s="783"/>
      <c r="O27" s="783"/>
      <c r="P27" s="783"/>
      <c r="Q27" s="783"/>
      <c r="R27" s="783"/>
      <c r="S27" s="783"/>
      <c r="T27" s="783"/>
    </row>
    <row r="28" spans="1:20" ht="15.75" customHeight="1">
      <c r="A28" s="231"/>
      <c r="B28" s="1388" t="s">
        <v>424</v>
      </c>
      <c r="C28" s="486" t="s">
        <v>51</v>
      </c>
      <c r="D28" s="1368">
        <v>0</v>
      </c>
      <c r="E28" s="1369">
        <v>-596.02705309899238</v>
      </c>
      <c r="F28" s="1369">
        <v>156.53057516012572</v>
      </c>
      <c r="G28" s="1369">
        <v>-531.62439856214178</v>
      </c>
      <c r="H28" s="1370">
        <v>-1347.6753908787359</v>
      </c>
      <c r="I28" s="1369">
        <v>-148.53727624619205</v>
      </c>
      <c r="J28" s="1371">
        <v>505.48325565363473</v>
      </c>
      <c r="K28" s="1371">
        <v>204.71159870635893</v>
      </c>
      <c r="L28" s="1371">
        <v>156.89819723075198</v>
      </c>
      <c r="M28" s="1370">
        <v>34.402573714804021</v>
      </c>
      <c r="N28" s="783"/>
      <c r="O28" s="783"/>
      <c r="P28" s="783"/>
      <c r="Q28" s="783"/>
      <c r="R28" s="783"/>
      <c r="S28" s="783"/>
      <c r="T28" s="783"/>
    </row>
    <row r="29" spans="1:20" ht="15.75" customHeight="1">
      <c r="A29" s="231"/>
      <c r="B29" s="992" t="s">
        <v>661</v>
      </c>
      <c r="C29" s="486" t="s">
        <v>51</v>
      </c>
      <c r="D29" s="280">
        <v>0</v>
      </c>
      <c r="E29" s="281">
        <v>-383.7</v>
      </c>
      <c r="F29" s="281">
        <v>204.4</v>
      </c>
      <c r="G29" s="281">
        <v>603.29999999999995</v>
      </c>
      <c r="H29" s="282">
        <v>-364.49012888832817</v>
      </c>
      <c r="I29" s="281">
        <v>-76.965111835070687</v>
      </c>
      <c r="J29" s="283">
        <v>595.75834551226376</v>
      </c>
      <c r="K29" s="283">
        <v>321.99765507629519</v>
      </c>
      <c r="L29" s="283">
        <v>311.59367679810094</v>
      </c>
      <c r="M29" s="282">
        <v>227.41184967661448</v>
      </c>
      <c r="N29" s="783"/>
      <c r="O29" s="783"/>
      <c r="P29" s="783"/>
      <c r="Q29" s="783"/>
      <c r="R29" s="783"/>
      <c r="S29" s="783"/>
      <c r="T29" s="783"/>
    </row>
    <row r="30" spans="1:20" ht="15.75" customHeight="1">
      <c r="A30" s="231"/>
      <c r="B30" s="992" t="s">
        <v>662</v>
      </c>
      <c r="C30" s="486" t="s">
        <v>51</v>
      </c>
      <c r="D30" s="280">
        <v>0</v>
      </c>
      <c r="E30" s="281">
        <v>-60.209720749855599</v>
      </c>
      <c r="F30" s="281">
        <v>-59.017893965620345</v>
      </c>
      <c r="G30" s="281">
        <v>-59.33072492490443</v>
      </c>
      <c r="H30" s="282">
        <v>-58.267515192878832</v>
      </c>
      <c r="I30" s="281">
        <v>-55.572164411121364</v>
      </c>
      <c r="J30" s="283">
        <v>-55.275089858628981</v>
      </c>
      <c r="K30" s="283">
        <v>-56.286056369936247</v>
      </c>
      <c r="L30" s="283">
        <v>-56.695479567348968</v>
      </c>
      <c r="M30" s="282">
        <v>-57.009275961810467</v>
      </c>
      <c r="N30" s="783"/>
      <c r="O30" s="783"/>
      <c r="P30" s="783"/>
      <c r="Q30" s="783"/>
      <c r="R30" s="783"/>
      <c r="S30" s="783"/>
      <c r="T30" s="783"/>
    </row>
    <row r="31" spans="1:20" ht="15.75" customHeight="1">
      <c r="A31" s="231"/>
      <c r="B31" s="992" t="s">
        <v>663</v>
      </c>
      <c r="C31" s="486" t="s">
        <v>51</v>
      </c>
      <c r="D31" s="280">
        <v>0</v>
      </c>
      <c r="E31" s="281">
        <v>0</v>
      </c>
      <c r="F31" s="281">
        <v>0</v>
      </c>
      <c r="G31" s="281">
        <v>0</v>
      </c>
      <c r="H31" s="282">
        <v>-1</v>
      </c>
      <c r="I31" s="281">
        <v>-16</v>
      </c>
      <c r="J31" s="283">
        <v>-35</v>
      </c>
      <c r="K31" s="283">
        <v>-61</v>
      </c>
      <c r="L31" s="283">
        <v>-98</v>
      </c>
      <c r="M31" s="282">
        <v>-136</v>
      </c>
      <c r="N31" s="783"/>
      <c r="O31" s="783"/>
      <c r="P31" s="783"/>
      <c r="Q31" s="783"/>
      <c r="R31" s="783"/>
      <c r="S31" s="783"/>
      <c r="T31" s="783"/>
    </row>
    <row r="32" spans="1:20" ht="15.75" customHeight="1">
      <c r="A32" s="231"/>
      <c r="B32" s="992" t="s">
        <v>585</v>
      </c>
      <c r="C32" s="486" t="s">
        <v>51</v>
      </c>
      <c r="D32" s="280">
        <v>0</v>
      </c>
      <c r="E32" s="281">
        <v>0</v>
      </c>
      <c r="F32" s="281">
        <v>0</v>
      </c>
      <c r="G32" s="281">
        <v>0</v>
      </c>
      <c r="H32" s="282">
        <v>0</v>
      </c>
      <c r="I32" s="281">
        <v>0</v>
      </c>
      <c r="J32" s="283">
        <v>0</v>
      </c>
      <c r="K32" s="283">
        <v>0</v>
      </c>
      <c r="L32" s="283">
        <v>0</v>
      </c>
      <c r="M32" s="282">
        <v>0</v>
      </c>
      <c r="N32" s="783"/>
      <c r="O32" s="783"/>
      <c r="P32" s="783"/>
      <c r="Q32" s="783"/>
      <c r="R32" s="783"/>
      <c r="S32" s="783"/>
      <c r="T32" s="783"/>
    </row>
    <row r="33" spans="1:20" ht="15.75" customHeight="1">
      <c r="A33" s="231"/>
      <c r="B33" s="992" t="s">
        <v>586</v>
      </c>
      <c r="C33" s="486" t="s">
        <v>51</v>
      </c>
      <c r="D33" s="280">
        <v>0</v>
      </c>
      <c r="E33" s="281">
        <v>-152.11733234913683</v>
      </c>
      <c r="F33" s="281">
        <v>11.14846912574607</v>
      </c>
      <c r="G33" s="281">
        <v>-176.78738964835989</v>
      </c>
      <c r="H33" s="282">
        <v>0</v>
      </c>
      <c r="I33" s="281">
        <v>0</v>
      </c>
      <c r="J33" s="283">
        <v>0</v>
      </c>
      <c r="K33" s="283">
        <v>0</v>
      </c>
      <c r="L33" s="283">
        <v>0</v>
      </c>
      <c r="M33" s="282">
        <v>0</v>
      </c>
      <c r="N33" s="783"/>
      <c r="O33" s="783"/>
      <c r="P33" s="783"/>
      <c r="Q33" s="783"/>
      <c r="R33" s="783"/>
      <c r="S33" s="783"/>
      <c r="T33" s="783"/>
    </row>
    <row r="34" spans="1:20" ht="15.75" customHeight="1">
      <c r="A34" s="231"/>
      <c r="B34" s="992" t="s">
        <v>587</v>
      </c>
      <c r="C34" s="486" t="s">
        <v>51</v>
      </c>
      <c r="D34" s="280">
        <v>0</v>
      </c>
      <c r="E34" s="281">
        <v>0</v>
      </c>
      <c r="F34" s="281">
        <v>0</v>
      </c>
      <c r="G34" s="281">
        <v>-898.80628398887745</v>
      </c>
      <c r="H34" s="282">
        <v>-923.91774679752893</v>
      </c>
      <c r="I34" s="281">
        <v>0</v>
      </c>
      <c r="J34" s="283">
        <v>0</v>
      </c>
      <c r="K34" s="283">
        <v>0</v>
      </c>
      <c r="L34" s="283">
        <v>0</v>
      </c>
      <c r="M34" s="282">
        <v>0</v>
      </c>
      <c r="N34" s="783"/>
      <c r="O34" s="783"/>
      <c r="P34" s="783"/>
      <c r="Q34" s="783"/>
      <c r="R34" s="783"/>
      <c r="S34" s="783"/>
      <c r="T34" s="783"/>
    </row>
    <row r="35" spans="1:20" ht="15.75" customHeight="1">
      <c r="A35" s="231"/>
      <c r="B35" s="1384"/>
      <c r="C35" s="297"/>
      <c r="D35" s="1389"/>
      <c r="E35" s="503"/>
      <c r="F35" s="503"/>
      <c r="G35" s="503"/>
      <c r="H35" s="504"/>
      <c r="I35" s="503"/>
      <c r="J35" s="503"/>
      <c r="K35" s="503"/>
      <c r="L35" s="503"/>
      <c r="M35" s="504"/>
      <c r="N35" s="783"/>
      <c r="O35" s="783"/>
      <c r="P35" s="783"/>
      <c r="Q35" s="783"/>
      <c r="R35" s="783"/>
      <c r="S35" s="783"/>
      <c r="T35" s="783"/>
    </row>
    <row r="36" spans="1:20" ht="15.75" customHeight="1">
      <c r="A36" s="231"/>
      <c r="B36" s="1382" t="s">
        <v>427</v>
      </c>
      <c r="C36" s="486"/>
      <c r="D36" s="1390"/>
      <c r="E36" s="1391"/>
      <c r="F36" s="1391"/>
      <c r="G36" s="1391"/>
      <c r="H36" s="1392"/>
      <c r="I36" s="1391"/>
      <c r="J36" s="1391"/>
      <c r="K36" s="1391"/>
      <c r="L36" s="1391"/>
      <c r="M36" s="1392"/>
      <c r="N36" s="783"/>
      <c r="O36" s="783"/>
      <c r="P36" s="783"/>
      <c r="Q36" s="783"/>
      <c r="R36" s="783"/>
      <c r="S36" s="783"/>
      <c r="T36" s="783"/>
    </row>
    <row r="37" spans="1:20" ht="15.75" customHeight="1">
      <c r="A37" s="231"/>
      <c r="B37" s="991" t="s">
        <v>239</v>
      </c>
      <c r="C37" s="486" t="s">
        <v>51</v>
      </c>
      <c r="D37" s="280">
        <v>19523.266459129649</v>
      </c>
      <c r="E37" s="281">
        <v>19016.929435043203</v>
      </c>
      <c r="F37" s="281">
        <v>19286.227944554696</v>
      </c>
      <c r="G37" s="281">
        <v>19229.074695564028</v>
      </c>
      <c r="H37" s="282">
        <v>18354.625369378955</v>
      </c>
      <c r="I37" s="281">
        <v>18249.277296070482</v>
      </c>
      <c r="J37" s="283">
        <v>18625.949514491527</v>
      </c>
      <c r="K37" s="283">
        <v>18839.156840147247</v>
      </c>
      <c r="L37" s="283">
        <v>18968.934447947027</v>
      </c>
      <c r="M37" s="282">
        <v>19043.032656457795</v>
      </c>
      <c r="N37" s="783"/>
      <c r="O37" s="783"/>
      <c r="P37" s="783"/>
      <c r="Q37" s="783"/>
      <c r="R37" s="783"/>
      <c r="S37" s="783"/>
      <c r="T37" s="783"/>
    </row>
    <row r="38" spans="1:20" ht="15.75" customHeight="1">
      <c r="A38" s="231"/>
      <c r="B38" s="991" t="s">
        <v>238</v>
      </c>
      <c r="C38" s="486" t="s">
        <v>51</v>
      </c>
      <c r="D38" s="280">
        <v>9858.5454833604635</v>
      </c>
      <c r="E38" s="281">
        <v>9824.4309793401699</v>
      </c>
      <c r="F38" s="281">
        <v>9669.4932603255311</v>
      </c>
      <c r="G38" s="281">
        <v>9284.365647030776</v>
      </c>
      <c r="H38" s="282">
        <v>8814.1175596317244</v>
      </c>
      <c r="I38" s="281">
        <v>8770.9283566940048</v>
      </c>
      <c r="J38" s="283">
        <v>8899.7393939265985</v>
      </c>
      <c r="K38" s="283">
        <v>8891.2436669772342</v>
      </c>
      <c r="L38" s="283">
        <v>8918.3642564082056</v>
      </c>
      <c r="M38" s="282">
        <v>8878.6686216122453</v>
      </c>
      <c r="N38" s="783"/>
      <c r="O38" s="783"/>
      <c r="P38" s="783"/>
      <c r="Q38" s="783"/>
      <c r="R38" s="783"/>
      <c r="S38" s="783"/>
      <c r="T38" s="783"/>
    </row>
    <row r="39" spans="1:20" ht="15.75" customHeight="1">
      <c r="A39" s="231"/>
      <c r="B39" s="991" t="s">
        <v>588</v>
      </c>
      <c r="C39" s="486" t="s">
        <v>51</v>
      </c>
      <c r="D39" s="280">
        <v>723.04843243768596</v>
      </c>
      <c r="E39" s="281">
        <v>667.58656842679875</v>
      </c>
      <c r="F39" s="281">
        <v>709.64125757199179</v>
      </c>
      <c r="G39" s="281">
        <v>620.31725384461356</v>
      </c>
      <c r="H39" s="282">
        <v>617.33927655000002</v>
      </c>
      <c r="I39" s="281">
        <v>617.33927655000002</v>
      </c>
      <c r="J39" s="283">
        <v>617.33927655000002</v>
      </c>
      <c r="K39" s="283">
        <v>617.33927655000002</v>
      </c>
      <c r="L39" s="283">
        <v>617.33927655000002</v>
      </c>
      <c r="M39" s="282">
        <v>617.33927655000002</v>
      </c>
      <c r="N39" s="783"/>
      <c r="O39" s="783"/>
      <c r="P39" s="783"/>
      <c r="Q39" s="783"/>
      <c r="R39" s="783"/>
      <c r="S39" s="783"/>
      <c r="T39" s="783"/>
    </row>
    <row r="40" spans="1:20" ht="15.75" customHeight="1">
      <c r="A40" s="231"/>
      <c r="B40" s="1382" t="s">
        <v>582</v>
      </c>
      <c r="C40" s="486" t="s">
        <v>51</v>
      </c>
      <c r="D40" s="1372">
        <v>30104.860374927797</v>
      </c>
      <c r="E40" s="1375">
        <v>29508.946982810172</v>
      </c>
      <c r="F40" s="1375">
        <v>29665.362462452216</v>
      </c>
      <c r="G40" s="1375">
        <v>29133.757596439416</v>
      </c>
      <c r="H40" s="1374">
        <v>27786.08220556068</v>
      </c>
      <c r="I40" s="1375">
        <v>27637.544929314488</v>
      </c>
      <c r="J40" s="1373">
        <v>28143.028184968123</v>
      </c>
      <c r="K40" s="1373">
        <v>28347.739783674482</v>
      </c>
      <c r="L40" s="1373">
        <v>28504.637980905234</v>
      </c>
      <c r="M40" s="1374">
        <v>28539.040554620038</v>
      </c>
      <c r="N40" s="783"/>
      <c r="O40" s="783"/>
      <c r="P40" s="783"/>
      <c r="Q40" s="783"/>
      <c r="R40" s="783"/>
      <c r="S40" s="783"/>
      <c r="T40" s="783"/>
    </row>
    <row r="41" spans="1:20" ht="15.75" customHeight="1">
      <c r="A41" s="231"/>
      <c r="B41" s="1388"/>
      <c r="C41" s="486"/>
      <c r="D41" s="1385"/>
      <c r="E41" s="1386"/>
      <c r="F41" s="1386"/>
      <c r="G41" s="1386"/>
      <c r="H41" s="1387"/>
      <c r="I41" s="1386"/>
      <c r="J41" s="1386"/>
      <c r="K41" s="1386"/>
      <c r="L41" s="1386"/>
      <c r="M41" s="1387"/>
      <c r="N41" s="783"/>
      <c r="O41" s="783"/>
      <c r="P41" s="783"/>
      <c r="Q41" s="783"/>
      <c r="R41" s="783"/>
      <c r="S41" s="783"/>
      <c r="T41" s="783"/>
    </row>
    <row r="42" spans="1:20" ht="15.75" customHeight="1">
      <c r="A42" s="231"/>
      <c r="B42" s="1388" t="s">
        <v>700</v>
      </c>
      <c r="C42" s="486"/>
      <c r="D42" s="1390"/>
      <c r="E42" s="1391"/>
      <c r="F42" s="1391"/>
      <c r="G42" s="1391"/>
      <c r="H42" s="1392"/>
      <c r="I42" s="1391"/>
      <c r="J42" s="1391"/>
      <c r="K42" s="1391"/>
      <c r="L42" s="1391"/>
      <c r="M42" s="1392"/>
      <c r="N42" s="783"/>
      <c r="O42" s="783"/>
      <c r="P42" s="783"/>
      <c r="Q42" s="783"/>
      <c r="R42" s="783"/>
      <c r="S42" s="783"/>
      <c r="T42" s="783"/>
    </row>
    <row r="43" spans="1:20" ht="15.75" customHeight="1">
      <c r="A43" s="231"/>
      <c r="B43" s="991" t="s">
        <v>239</v>
      </c>
      <c r="C43" s="486" t="s">
        <v>701</v>
      </c>
      <c r="D43" s="280">
        <v>203209.96209810363</v>
      </c>
      <c r="E43" s="281">
        <v>253590.32384568275</v>
      </c>
      <c r="F43" s="281">
        <v>247138.81248500801</v>
      </c>
      <c r="G43" s="281">
        <v>162407.16110561299</v>
      </c>
      <c r="H43" s="282">
        <v>149722.57225309103</v>
      </c>
      <c r="I43" s="281">
        <v>153294.52527383162</v>
      </c>
      <c r="J43" s="283">
        <v>166488.8696913333</v>
      </c>
      <c r="K43" s="283">
        <v>183276.66213915555</v>
      </c>
      <c r="L43" s="283">
        <v>202079.72137829248</v>
      </c>
      <c r="M43" s="282">
        <v>223108.77229215583</v>
      </c>
      <c r="N43" s="783"/>
      <c r="O43" s="783"/>
      <c r="P43" s="783"/>
      <c r="Q43" s="783"/>
      <c r="R43" s="783"/>
      <c r="S43" s="783"/>
      <c r="T43" s="783"/>
    </row>
    <row r="44" spans="1:20" ht="15.75" customHeight="1">
      <c r="A44" s="231"/>
      <c r="B44" s="991" t="s">
        <v>238</v>
      </c>
      <c r="C44" s="486" t="s">
        <v>701</v>
      </c>
      <c r="D44" s="280">
        <v>196300.37897250504</v>
      </c>
      <c r="E44" s="281">
        <v>316771.32806155022</v>
      </c>
      <c r="F44" s="281">
        <v>192019.68535005167</v>
      </c>
      <c r="G44" s="281">
        <v>167619.73170206739</v>
      </c>
      <c r="H44" s="282">
        <v>148778.564486669</v>
      </c>
      <c r="I44" s="281">
        <v>155157.10374795471</v>
      </c>
      <c r="J44" s="283">
        <v>170132.01575159584</v>
      </c>
      <c r="K44" s="283">
        <v>188455.3599958031</v>
      </c>
      <c r="L44" s="283">
        <v>210209.41272066924</v>
      </c>
      <c r="M44" s="282">
        <v>235525.00613990793</v>
      </c>
      <c r="N44" s="783"/>
      <c r="O44" s="783"/>
      <c r="P44" s="783"/>
      <c r="Q44" s="783"/>
      <c r="R44" s="783"/>
      <c r="S44" s="783"/>
      <c r="T44" s="783"/>
    </row>
    <row r="45" spans="1:20" ht="15.75" customHeight="1">
      <c r="A45" s="231"/>
      <c r="B45" s="991" t="s">
        <v>588</v>
      </c>
      <c r="C45" s="486" t="s">
        <v>701</v>
      </c>
      <c r="D45" s="280">
        <v>0</v>
      </c>
      <c r="E45" s="281">
        <v>0</v>
      </c>
      <c r="F45" s="281">
        <v>0</v>
      </c>
      <c r="G45" s="281">
        <v>0</v>
      </c>
      <c r="H45" s="282">
        <v>0</v>
      </c>
      <c r="I45" s="281">
        <v>0</v>
      </c>
      <c r="J45" s="283">
        <v>0</v>
      </c>
      <c r="K45" s="283">
        <v>0</v>
      </c>
      <c r="L45" s="283">
        <v>0</v>
      </c>
      <c r="M45" s="282">
        <v>0</v>
      </c>
      <c r="N45" s="783"/>
      <c r="O45" s="783"/>
      <c r="P45" s="783"/>
      <c r="Q45" s="783"/>
      <c r="R45" s="783"/>
      <c r="S45" s="783"/>
      <c r="T45" s="783"/>
    </row>
    <row r="46" spans="1:20" ht="15.75" customHeight="1" thickBot="1">
      <c r="A46" s="231"/>
      <c r="B46" s="1393" t="s">
        <v>702</v>
      </c>
      <c r="C46" s="487" t="s">
        <v>701</v>
      </c>
      <c r="D46" s="775">
        <v>399510.3410706087</v>
      </c>
      <c r="E46" s="776">
        <v>570361.65190723294</v>
      </c>
      <c r="F46" s="776">
        <v>439158.49783505965</v>
      </c>
      <c r="G46" s="776">
        <v>330026.89280768041</v>
      </c>
      <c r="H46" s="777">
        <v>298501.13673976006</v>
      </c>
      <c r="I46" s="776">
        <v>308451.62902178633</v>
      </c>
      <c r="J46" s="778">
        <v>336620.88544292911</v>
      </c>
      <c r="K46" s="778">
        <v>371732.02213495865</v>
      </c>
      <c r="L46" s="778">
        <v>412289.13409896172</v>
      </c>
      <c r="M46" s="777">
        <v>458633.77843206376</v>
      </c>
      <c r="N46" s="801"/>
      <c r="O46" s="783"/>
      <c r="P46" s="783"/>
      <c r="Q46" s="783"/>
      <c r="R46" s="783"/>
      <c r="S46" s="783"/>
      <c r="T46" s="783"/>
    </row>
    <row r="47" spans="1:20">
      <c r="A47" s="235"/>
      <c r="B47" s="235"/>
      <c r="C47" s="235"/>
      <c r="D47" s="783"/>
      <c r="E47" s="783"/>
      <c r="F47" s="783"/>
      <c r="G47" s="783"/>
      <c r="H47" s="783"/>
      <c r="I47" s="783"/>
      <c r="J47" s="783"/>
      <c r="K47" s="783"/>
      <c r="L47" s="783"/>
      <c r="M47" s="783"/>
      <c r="N47" s="783"/>
      <c r="O47" s="783"/>
      <c r="P47" s="783"/>
      <c r="Q47" s="783"/>
      <c r="R47" s="783"/>
      <c r="S47" s="783"/>
      <c r="T47" s="783"/>
    </row>
    <row r="48" spans="1:20">
      <c r="A48" s="231"/>
      <c r="B48" s="231"/>
      <c r="C48" s="291"/>
      <c r="D48" s="784"/>
      <c r="E48" s="784"/>
      <c r="F48" s="784"/>
      <c r="G48" s="784"/>
      <c r="H48" s="784"/>
      <c r="I48" s="784"/>
      <c r="J48" s="784"/>
      <c r="K48" s="784"/>
      <c r="L48" s="784"/>
      <c r="M48" s="784"/>
      <c r="N48" s="783"/>
      <c r="O48" s="783"/>
      <c r="P48" s="783"/>
      <c r="Q48" s="783"/>
      <c r="R48" s="783"/>
      <c r="S48" s="783"/>
      <c r="T48" s="783"/>
    </row>
    <row r="49" spans="1:20" s="852" customFormat="1" ht="15.75" customHeight="1">
      <c r="A49" s="980"/>
      <c r="B49" s="1350" t="s">
        <v>439</v>
      </c>
      <c r="C49" s="295"/>
      <c r="D49" s="784"/>
      <c r="E49" s="784"/>
      <c r="F49" s="784"/>
      <c r="G49" s="784"/>
      <c r="H49" s="784"/>
      <c r="I49" s="784"/>
      <c r="J49" s="784"/>
      <c r="K49" s="784"/>
      <c r="L49" s="784"/>
      <c r="M49" s="784"/>
      <c r="N49" s="784"/>
      <c r="O49" s="989"/>
      <c r="P49" s="989"/>
      <c r="Q49" s="989"/>
      <c r="R49" s="982"/>
      <c r="S49" s="784"/>
      <c r="T49" s="784"/>
    </row>
    <row r="50" spans="1:20" ht="13.5" thickBot="1">
      <c r="A50" s="231"/>
      <c r="B50" s="1380"/>
      <c r="C50" s="291"/>
      <c r="D50" s="784"/>
      <c r="E50" s="784"/>
      <c r="F50" s="784"/>
      <c r="G50" s="784"/>
      <c r="H50" s="784"/>
      <c r="I50" s="784"/>
      <c r="J50" s="784"/>
      <c r="K50" s="784"/>
      <c r="L50" s="784"/>
      <c r="M50" s="784"/>
      <c r="N50" s="783"/>
      <c r="O50" s="783"/>
      <c r="P50" s="783"/>
      <c r="Q50" s="783"/>
      <c r="R50" s="783"/>
      <c r="S50" s="783"/>
      <c r="T50" s="783"/>
    </row>
    <row r="51" spans="1:20" ht="15.75" customHeight="1">
      <c r="A51" s="231"/>
      <c r="B51" s="1892" t="s">
        <v>439</v>
      </c>
      <c r="C51" s="1896" t="s">
        <v>31</v>
      </c>
      <c r="D51" s="785" t="s">
        <v>116</v>
      </c>
      <c r="E51" s="786"/>
      <c r="F51" s="786"/>
      <c r="G51" s="786"/>
      <c r="H51" s="787"/>
      <c r="I51" s="786" t="s">
        <v>117</v>
      </c>
      <c r="J51" s="788"/>
      <c r="K51" s="788"/>
      <c r="L51" s="788"/>
      <c r="M51" s="787"/>
      <c r="N51" s="783"/>
      <c r="O51" s="783"/>
      <c r="P51" s="783"/>
      <c r="Q51" s="783"/>
      <c r="R51" s="783"/>
      <c r="S51" s="783"/>
      <c r="T51" s="783"/>
    </row>
    <row r="52" spans="1:20" ht="26.25" customHeight="1">
      <c r="A52" s="231"/>
      <c r="B52" s="1893"/>
      <c r="C52" s="1897"/>
      <c r="D52" s="789" t="s">
        <v>32</v>
      </c>
      <c r="E52" s="790" t="s">
        <v>33</v>
      </c>
      <c r="F52" s="790" t="s">
        <v>29</v>
      </c>
      <c r="G52" s="790" t="s">
        <v>34</v>
      </c>
      <c r="H52" s="791" t="s">
        <v>35</v>
      </c>
      <c r="I52" s="792" t="s">
        <v>118</v>
      </c>
      <c r="J52" s="790" t="s">
        <v>136</v>
      </c>
      <c r="K52" s="790" t="s">
        <v>137</v>
      </c>
      <c r="L52" s="790" t="s">
        <v>138</v>
      </c>
      <c r="M52" s="791" t="s">
        <v>139</v>
      </c>
      <c r="N52" s="783"/>
      <c r="O52" s="783"/>
      <c r="P52" s="783"/>
      <c r="Q52" s="783"/>
      <c r="R52" s="783"/>
      <c r="S52" s="783"/>
      <c r="T52" s="783"/>
    </row>
    <row r="53" spans="1:20" ht="15.75" customHeight="1">
      <c r="A53" s="231"/>
      <c r="B53" s="1394" t="s">
        <v>440</v>
      </c>
      <c r="C53" s="1395"/>
      <c r="D53" s="802"/>
      <c r="E53" s="803"/>
      <c r="F53" s="803"/>
      <c r="G53" s="803"/>
      <c r="H53" s="804"/>
      <c r="I53" s="797"/>
      <c r="J53" s="797"/>
      <c r="K53" s="797"/>
      <c r="L53" s="797"/>
      <c r="M53" s="798"/>
      <c r="N53" s="805"/>
      <c r="O53" s="783"/>
      <c r="P53" s="783"/>
      <c r="Q53" s="783"/>
      <c r="R53" s="783"/>
      <c r="S53" s="783"/>
      <c r="T53" s="783"/>
    </row>
    <row r="54" spans="1:20" ht="15.75" customHeight="1">
      <c r="A54" s="231"/>
      <c r="B54" s="1384" t="s">
        <v>513</v>
      </c>
      <c r="C54" s="488"/>
      <c r="D54" s="806"/>
      <c r="E54" s="807"/>
      <c r="F54" s="807"/>
      <c r="G54" s="807"/>
      <c r="H54" s="808"/>
      <c r="I54" s="799"/>
      <c r="J54" s="799"/>
      <c r="K54" s="799"/>
      <c r="L54" s="799"/>
      <c r="M54" s="800"/>
      <c r="N54" s="805"/>
      <c r="O54" s="783"/>
      <c r="P54" s="783"/>
      <c r="Q54" s="783"/>
      <c r="R54" s="783"/>
      <c r="S54" s="783"/>
      <c r="T54" s="783"/>
    </row>
    <row r="55" spans="1:20" ht="15.75" customHeight="1">
      <c r="A55" s="231"/>
      <c r="B55" s="993" t="s">
        <v>514</v>
      </c>
      <c r="C55" s="488" t="s">
        <v>515</v>
      </c>
      <c r="D55" s="1396">
        <v>2</v>
      </c>
      <c r="E55" s="1397">
        <v>2</v>
      </c>
      <c r="F55" s="1397">
        <v>4</v>
      </c>
      <c r="G55" s="1397">
        <v>3.6</v>
      </c>
      <c r="H55" s="1398">
        <v>3.2</v>
      </c>
      <c r="I55" s="1397">
        <v>3.4</v>
      </c>
      <c r="J55" s="1399">
        <v>3.7</v>
      </c>
      <c r="K55" s="1399">
        <v>4.2</v>
      </c>
      <c r="L55" s="1399">
        <v>4.7</v>
      </c>
      <c r="M55" s="1398">
        <v>5.3</v>
      </c>
      <c r="N55" s="783"/>
      <c r="O55" s="783"/>
      <c r="P55" s="783"/>
      <c r="Q55" s="783"/>
      <c r="R55" s="783"/>
      <c r="S55" s="783"/>
      <c r="T55" s="783"/>
    </row>
    <row r="56" spans="1:20" ht="15.75" customHeight="1">
      <c r="A56" s="231"/>
      <c r="B56" s="993" t="s">
        <v>516</v>
      </c>
      <c r="C56" s="488" t="s">
        <v>515</v>
      </c>
      <c r="D56" s="1396">
        <v>34184</v>
      </c>
      <c r="E56" s="1397">
        <v>34314.800000000003</v>
      </c>
      <c r="F56" s="1397">
        <v>33331</v>
      </c>
      <c r="G56" s="1397">
        <v>27899.8</v>
      </c>
      <c r="H56" s="1398">
        <v>28372.2</v>
      </c>
      <c r="I56" s="1397">
        <v>30153.7</v>
      </c>
      <c r="J56" s="1399">
        <v>31706.1</v>
      </c>
      <c r="K56" s="1399">
        <v>34216.199999999997</v>
      </c>
      <c r="L56" s="1399">
        <v>36957.800000000003</v>
      </c>
      <c r="M56" s="1398">
        <v>39945.800000000003</v>
      </c>
      <c r="N56" s="783"/>
      <c r="O56" s="783"/>
      <c r="P56" s="783"/>
      <c r="Q56" s="783"/>
      <c r="R56" s="783"/>
      <c r="S56" s="783"/>
      <c r="T56" s="783"/>
    </row>
    <row r="57" spans="1:20" ht="15.75" customHeight="1">
      <c r="A57" s="231"/>
      <c r="B57" s="993" t="s">
        <v>844</v>
      </c>
      <c r="C57" s="488" t="s">
        <v>515</v>
      </c>
      <c r="D57" s="1396">
        <v>9236.7000000000007</v>
      </c>
      <c r="E57" s="1397">
        <v>10487.1</v>
      </c>
      <c r="F57" s="1397">
        <v>6982.5</v>
      </c>
      <c r="G57" s="1397">
        <v>9608.2000000000007</v>
      </c>
      <c r="H57" s="1398">
        <v>10088.700000000001</v>
      </c>
      <c r="I57" s="1397">
        <v>9584.2000000000007</v>
      </c>
      <c r="J57" s="1399">
        <v>8625.7999999999993</v>
      </c>
      <c r="K57" s="1399">
        <v>8625.7999999999993</v>
      </c>
      <c r="L57" s="1399">
        <v>8625.7999999999993</v>
      </c>
      <c r="M57" s="1398">
        <v>8625.7999999999993</v>
      </c>
      <c r="N57" s="783"/>
      <c r="O57" s="783"/>
      <c r="P57" s="783"/>
      <c r="Q57" s="783"/>
      <c r="R57" s="783"/>
      <c r="S57" s="783"/>
      <c r="T57" s="783"/>
    </row>
    <row r="58" spans="1:20" ht="15.75" customHeight="1">
      <c r="A58" s="231"/>
      <c r="B58" s="1384" t="s">
        <v>676</v>
      </c>
      <c r="C58" s="488"/>
      <c r="D58" s="1400"/>
      <c r="E58" s="1401"/>
      <c r="F58" s="1401"/>
      <c r="G58" s="1401"/>
      <c r="H58" s="1402"/>
      <c r="I58" s="1403"/>
      <c r="J58" s="1403"/>
      <c r="K58" s="1403"/>
      <c r="L58" s="1403"/>
      <c r="M58" s="1404"/>
      <c r="N58" s="805"/>
      <c r="O58" s="783"/>
      <c r="P58" s="783"/>
      <c r="Q58" s="783"/>
      <c r="R58" s="783"/>
      <c r="S58" s="783"/>
      <c r="T58" s="783"/>
    </row>
    <row r="59" spans="1:20" ht="15.75" customHeight="1">
      <c r="A59" s="231"/>
      <c r="B59" s="993" t="s">
        <v>514</v>
      </c>
      <c r="C59" s="488" t="s">
        <v>515</v>
      </c>
      <c r="D59" s="1396">
        <v>0</v>
      </c>
      <c r="E59" s="1397">
        <v>6</v>
      </c>
      <c r="F59" s="1397">
        <v>10</v>
      </c>
      <c r="G59" s="1397">
        <v>9</v>
      </c>
      <c r="H59" s="1398">
        <v>8.1</v>
      </c>
      <c r="I59" s="1397">
        <v>8.5</v>
      </c>
      <c r="J59" s="1399">
        <v>9.4</v>
      </c>
      <c r="K59" s="1399">
        <v>10.4</v>
      </c>
      <c r="L59" s="1399">
        <v>11.6</v>
      </c>
      <c r="M59" s="1398">
        <v>13.1</v>
      </c>
      <c r="N59" s="783"/>
      <c r="O59" s="783"/>
      <c r="P59" s="783"/>
      <c r="Q59" s="783"/>
      <c r="R59" s="783"/>
      <c r="S59" s="783"/>
      <c r="T59" s="783"/>
    </row>
    <row r="60" spans="1:20" ht="15.75" customHeight="1">
      <c r="A60" s="231"/>
      <c r="B60" s="993" t="s">
        <v>516</v>
      </c>
      <c r="C60" s="488" t="s">
        <v>515</v>
      </c>
      <c r="D60" s="1396">
        <v>81</v>
      </c>
      <c r="E60" s="1397">
        <v>396</v>
      </c>
      <c r="F60" s="1397">
        <v>196</v>
      </c>
      <c r="G60" s="1397">
        <v>174.7</v>
      </c>
      <c r="H60" s="1398">
        <v>156.6</v>
      </c>
      <c r="I60" s="1397">
        <v>164</v>
      </c>
      <c r="J60" s="1399">
        <v>180.3</v>
      </c>
      <c r="K60" s="1399">
        <v>200</v>
      </c>
      <c r="L60" s="1399">
        <v>223.7</v>
      </c>
      <c r="M60" s="1398">
        <v>252.1</v>
      </c>
      <c r="N60" s="783"/>
      <c r="O60" s="783"/>
      <c r="P60" s="783"/>
      <c r="Q60" s="783"/>
      <c r="R60" s="783"/>
      <c r="S60" s="783"/>
      <c r="T60" s="783"/>
    </row>
    <row r="61" spans="1:20" ht="15.75" customHeight="1">
      <c r="A61" s="231"/>
      <c r="B61" s="993" t="s">
        <v>844</v>
      </c>
      <c r="C61" s="488" t="s">
        <v>515</v>
      </c>
      <c r="D61" s="1396">
        <v>93.3</v>
      </c>
      <c r="E61" s="1397">
        <v>105.9</v>
      </c>
      <c r="F61" s="1397">
        <v>70.5</v>
      </c>
      <c r="G61" s="1397">
        <v>97.1</v>
      </c>
      <c r="H61" s="1398">
        <v>101.9</v>
      </c>
      <c r="I61" s="1397">
        <v>96.8</v>
      </c>
      <c r="J61" s="1399">
        <v>87.1</v>
      </c>
      <c r="K61" s="1399">
        <v>87.1</v>
      </c>
      <c r="L61" s="1399">
        <v>87.1</v>
      </c>
      <c r="M61" s="1398">
        <v>87.1</v>
      </c>
      <c r="N61" s="783"/>
      <c r="O61" s="783"/>
      <c r="P61" s="783"/>
      <c r="Q61" s="783"/>
      <c r="R61" s="783"/>
      <c r="S61" s="783"/>
      <c r="T61" s="783"/>
    </row>
    <row r="62" spans="1:20" ht="15.75" customHeight="1">
      <c r="A62" s="231"/>
      <c r="B62" s="1384" t="s">
        <v>843</v>
      </c>
      <c r="C62" s="488"/>
      <c r="D62" s="1400"/>
      <c r="E62" s="1401"/>
      <c r="F62" s="1401"/>
      <c r="G62" s="1401"/>
      <c r="H62" s="1402"/>
      <c r="I62" s="1403"/>
      <c r="J62" s="1403"/>
      <c r="K62" s="1403"/>
      <c r="L62" s="1403"/>
      <c r="M62" s="1404"/>
      <c r="N62" s="805"/>
      <c r="O62" s="783"/>
      <c r="P62" s="783"/>
      <c r="Q62" s="783"/>
      <c r="R62" s="783"/>
      <c r="S62" s="783"/>
      <c r="T62" s="783"/>
    </row>
    <row r="63" spans="1:20" ht="15.75" customHeight="1">
      <c r="A63" s="231"/>
      <c r="B63" s="993" t="s">
        <v>514</v>
      </c>
      <c r="C63" s="488" t="s">
        <v>515</v>
      </c>
      <c r="D63" s="1396">
        <v>0</v>
      </c>
      <c r="E63" s="1397">
        <v>0</v>
      </c>
      <c r="F63" s="1397">
        <v>0</v>
      </c>
      <c r="G63" s="1397">
        <v>0</v>
      </c>
      <c r="H63" s="1398">
        <v>0</v>
      </c>
      <c r="I63" s="1397">
        <v>0</v>
      </c>
      <c r="J63" s="1399">
        <v>0</v>
      </c>
      <c r="K63" s="1399">
        <v>0</v>
      </c>
      <c r="L63" s="1399">
        <v>0</v>
      </c>
      <c r="M63" s="1398">
        <v>0</v>
      </c>
      <c r="N63" s="783"/>
      <c r="O63" s="783"/>
      <c r="P63" s="783"/>
      <c r="Q63" s="783"/>
      <c r="R63" s="783"/>
      <c r="S63" s="783"/>
      <c r="T63" s="783"/>
    </row>
    <row r="64" spans="1:20" ht="15.75" customHeight="1">
      <c r="A64" s="231"/>
      <c r="B64" s="993" t="s">
        <v>516</v>
      </c>
      <c r="C64" s="488" t="s">
        <v>515</v>
      </c>
      <c r="D64" s="1396">
        <v>0</v>
      </c>
      <c r="E64" s="1397">
        <v>0</v>
      </c>
      <c r="F64" s="1397">
        <v>0</v>
      </c>
      <c r="G64" s="1397">
        <v>0</v>
      </c>
      <c r="H64" s="1398">
        <v>0</v>
      </c>
      <c r="I64" s="1397">
        <v>0</v>
      </c>
      <c r="J64" s="1399">
        <v>0</v>
      </c>
      <c r="K64" s="1399">
        <v>0</v>
      </c>
      <c r="L64" s="1399">
        <v>0</v>
      </c>
      <c r="M64" s="1398">
        <v>0</v>
      </c>
      <c r="N64" s="783"/>
      <c r="O64" s="783"/>
      <c r="P64" s="783"/>
      <c r="Q64" s="783"/>
      <c r="R64" s="783"/>
      <c r="S64" s="783"/>
      <c r="T64" s="783"/>
    </row>
    <row r="65" spans="1:20" ht="15.75" customHeight="1">
      <c r="A65" s="231"/>
      <c r="B65" s="993" t="s">
        <v>844</v>
      </c>
      <c r="C65" s="488" t="s">
        <v>515</v>
      </c>
      <c r="D65" s="1396">
        <v>0</v>
      </c>
      <c r="E65" s="1397">
        <v>0</v>
      </c>
      <c r="F65" s="1397">
        <v>0</v>
      </c>
      <c r="G65" s="1397">
        <v>0</v>
      </c>
      <c r="H65" s="1398">
        <v>0</v>
      </c>
      <c r="I65" s="1397">
        <v>0</v>
      </c>
      <c r="J65" s="1399">
        <v>0</v>
      </c>
      <c r="K65" s="1399">
        <v>0</v>
      </c>
      <c r="L65" s="1399">
        <v>0</v>
      </c>
      <c r="M65" s="1398">
        <v>0</v>
      </c>
      <c r="N65" s="783"/>
      <c r="O65" s="783"/>
      <c r="P65" s="783"/>
      <c r="Q65" s="783"/>
      <c r="R65" s="783"/>
      <c r="S65" s="783"/>
      <c r="T65" s="783"/>
    </row>
    <row r="66" spans="1:20" ht="15.75" customHeight="1">
      <c r="A66" s="231"/>
      <c r="B66" s="1384" t="s">
        <v>846</v>
      </c>
      <c r="C66" s="488"/>
      <c r="D66" s="1400"/>
      <c r="E66" s="1401"/>
      <c r="F66" s="1401"/>
      <c r="G66" s="1401"/>
      <c r="H66" s="1402"/>
      <c r="I66" s="1403"/>
      <c r="J66" s="1403"/>
      <c r="K66" s="1403"/>
      <c r="L66" s="1403"/>
      <c r="M66" s="1404"/>
      <c r="N66" s="805"/>
      <c r="O66" s="783"/>
      <c r="P66" s="783"/>
      <c r="Q66" s="783"/>
      <c r="R66" s="783"/>
      <c r="S66" s="783"/>
      <c r="T66" s="783"/>
    </row>
    <row r="67" spans="1:20" ht="15.75" customHeight="1">
      <c r="A67" s="231"/>
      <c r="B67" s="993" t="s">
        <v>514</v>
      </c>
      <c r="C67" s="488" t="s">
        <v>515</v>
      </c>
      <c r="D67" s="1405">
        <v>0</v>
      </c>
      <c r="E67" s="1406">
        <v>0</v>
      </c>
      <c r="F67" s="1406">
        <v>0</v>
      </c>
      <c r="G67" s="1406">
        <v>0</v>
      </c>
      <c r="H67" s="1407">
        <v>0</v>
      </c>
      <c r="I67" s="1406">
        <v>0</v>
      </c>
      <c r="J67" s="1408">
        <v>0</v>
      </c>
      <c r="K67" s="1408">
        <v>0</v>
      </c>
      <c r="L67" s="1408">
        <v>0</v>
      </c>
      <c r="M67" s="1407">
        <v>0</v>
      </c>
      <c r="N67" s="783"/>
      <c r="O67" s="783"/>
      <c r="P67" s="783"/>
      <c r="Q67" s="783"/>
      <c r="R67" s="783"/>
      <c r="S67" s="783"/>
      <c r="T67" s="783"/>
    </row>
    <row r="68" spans="1:20" ht="15.75" customHeight="1">
      <c r="A68" s="231"/>
      <c r="B68" s="993" t="s">
        <v>516</v>
      </c>
      <c r="C68" s="488" t="s">
        <v>515</v>
      </c>
      <c r="D68" s="1405">
        <v>0</v>
      </c>
      <c r="E68" s="1406">
        <v>0</v>
      </c>
      <c r="F68" s="1406">
        <v>0</v>
      </c>
      <c r="G68" s="1406">
        <v>0</v>
      </c>
      <c r="H68" s="1407">
        <v>0</v>
      </c>
      <c r="I68" s="1406">
        <v>0</v>
      </c>
      <c r="J68" s="1408">
        <v>0</v>
      </c>
      <c r="K68" s="1408">
        <v>0</v>
      </c>
      <c r="L68" s="1408">
        <v>0</v>
      </c>
      <c r="M68" s="1407">
        <v>0</v>
      </c>
      <c r="N68" s="783"/>
      <c r="O68" s="783"/>
      <c r="P68" s="783"/>
      <c r="Q68" s="783"/>
      <c r="R68" s="783"/>
      <c r="S68" s="783"/>
      <c r="T68" s="783"/>
    </row>
    <row r="69" spans="1:20" ht="15.75" customHeight="1">
      <c r="A69" s="231"/>
      <c r="B69" s="993" t="s">
        <v>844</v>
      </c>
      <c r="C69" s="488" t="s">
        <v>515</v>
      </c>
      <c r="D69" s="1396">
        <v>0</v>
      </c>
      <c r="E69" s="1397">
        <v>0</v>
      </c>
      <c r="F69" s="1397">
        <v>0</v>
      </c>
      <c r="G69" s="1397">
        <v>0</v>
      </c>
      <c r="H69" s="1398">
        <v>0</v>
      </c>
      <c r="I69" s="1397">
        <v>0</v>
      </c>
      <c r="J69" s="1399">
        <v>0</v>
      </c>
      <c r="K69" s="1399">
        <v>0</v>
      </c>
      <c r="L69" s="1399">
        <v>0</v>
      </c>
      <c r="M69" s="1398">
        <v>0</v>
      </c>
      <c r="N69" s="783"/>
      <c r="O69" s="783"/>
      <c r="P69" s="783"/>
      <c r="Q69" s="783"/>
      <c r="R69" s="783"/>
      <c r="S69" s="783"/>
      <c r="T69" s="783"/>
    </row>
    <row r="70" spans="1:20" ht="15.75" customHeight="1">
      <c r="A70" s="231"/>
      <c r="B70" s="1382" t="s">
        <v>847</v>
      </c>
      <c r="C70" s="488" t="s">
        <v>515</v>
      </c>
      <c r="D70" s="1409">
        <v>34267</v>
      </c>
      <c r="E70" s="1410">
        <v>34718.800000000003</v>
      </c>
      <c r="F70" s="1410">
        <v>33541</v>
      </c>
      <c r="G70" s="1410">
        <v>28087.1</v>
      </c>
      <c r="H70" s="1411">
        <v>28540.1</v>
      </c>
      <c r="I70" s="1412">
        <v>30329.600000000002</v>
      </c>
      <c r="J70" s="1410">
        <v>31899.5</v>
      </c>
      <c r="K70" s="1410">
        <v>34430.799999999996</v>
      </c>
      <c r="L70" s="1410">
        <v>37197.799999999996</v>
      </c>
      <c r="M70" s="1411">
        <v>40216.300000000003</v>
      </c>
      <c r="N70" s="809"/>
      <c r="O70" s="783"/>
      <c r="P70" s="783"/>
      <c r="Q70" s="783"/>
      <c r="R70" s="783"/>
      <c r="S70" s="783"/>
      <c r="T70" s="783"/>
    </row>
    <row r="71" spans="1:20" ht="15.75" customHeight="1" thickBot="1">
      <c r="A71" s="231"/>
      <c r="B71" s="1413" t="s">
        <v>850</v>
      </c>
      <c r="C71" s="489" t="s">
        <v>515</v>
      </c>
      <c r="D71" s="1414">
        <v>9330</v>
      </c>
      <c r="E71" s="1415">
        <v>10593</v>
      </c>
      <c r="F71" s="1415">
        <v>7053</v>
      </c>
      <c r="G71" s="1415">
        <v>9705.3000000000011</v>
      </c>
      <c r="H71" s="1416">
        <v>10190.6</v>
      </c>
      <c r="I71" s="1417">
        <v>9681</v>
      </c>
      <c r="J71" s="1415">
        <v>8712.9</v>
      </c>
      <c r="K71" s="1415">
        <v>8712.9</v>
      </c>
      <c r="L71" s="1415">
        <v>8712.9</v>
      </c>
      <c r="M71" s="1416">
        <v>8712.9</v>
      </c>
      <c r="N71" s="809"/>
      <c r="O71" s="783"/>
      <c r="P71" s="783"/>
      <c r="Q71" s="783"/>
      <c r="R71" s="783"/>
      <c r="S71" s="783"/>
      <c r="T71" s="783"/>
    </row>
    <row r="72" spans="1:20">
      <c r="A72" s="231"/>
      <c r="B72" s="1418"/>
      <c r="C72" s="302"/>
      <c r="D72" s="783"/>
      <c r="E72" s="783"/>
      <c r="F72" s="783"/>
      <c r="G72" s="783"/>
      <c r="H72" s="783"/>
      <c r="I72" s="783"/>
      <c r="J72" s="783"/>
      <c r="K72" s="783"/>
      <c r="L72" s="783"/>
      <c r="M72" s="783"/>
      <c r="N72" s="783"/>
      <c r="O72" s="783"/>
      <c r="P72" s="783"/>
      <c r="Q72" s="783"/>
      <c r="R72" s="783"/>
      <c r="S72" s="783"/>
      <c r="T72" s="783"/>
    </row>
    <row r="73" spans="1:20">
      <c r="A73" s="231"/>
      <c r="B73" s="1419"/>
      <c r="C73" s="490"/>
      <c r="D73" s="810"/>
      <c r="E73" s="810"/>
      <c r="F73" s="810"/>
      <c r="G73" s="810"/>
      <c r="H73" s="810"/>
      <c r="I73" s="810"/>
      <c r="J73" s="810"/>
      <c r="K73" s="810"/>
      <c r="L73" s="810"/>
      <c r="M73" s="810"/>
      <c r="N73" s="783"/>
      <c r="O73" s="810"/>
      <c r="P73" s="810"/>
      <c r="Q73" s="810"/>
      <c r="R73" s="783"/>
      <c r="S73" s="810"/>
      <c r="T73" s="810"/>
    </row>
    <row r="74" spans="1:20" s="852" customFormat="1" ht="15.75" customHeight="1">
      <c r="A74" s="980"/>
      <c r="B74" s="1350" t="s">
        <v>851</v>
      </c>
      <c r="C74" s="295"/>
      <c r="D74" s="784"/>
      <c r="E74" s="784"/>
      <c r="F74" s="784"/>
      <c r="G74" s="784"/>
      <c r="H74" s="784"/>
      <c r="I74" s="784"/>
      <c r="J74" s="784"/>
      <c r="K74" s="784"/>
      <c r="L74" s="784"/>
      <c r="M74" s="784"/>
      <c r="N74" s="784"/>
      <c r="O74" s="989"/>
      <c r="P74" s="989"/>
      <c r="Q74" s="989"/>
      <c r="R74" s="982"/>
      <c r="S74" s="784"/>
      <c r="T74" s="784"/>
    </row>
    <row r="75" spans="1:20" ht="13.5" thickBot="1">
      <c r="A75" s="231"/>
      <c r="B75" s="1380"/>
      <c r="C75" s="490"/>
      <c r="D75" s="810"/>
      <c r="E75" s="810"/>
      <c r="F75" s="810"/>
      <c r="G75" s="810"/>
      <c r="H75" s="810"/>
      <c r="I75" s="810"/>
      <c r="J75" s="810"/>
      <c r="K75" s="810"/>
      <c r="L75" s="810"/>
      <c r="M75" s="810"/>
      <c r="N75" s="783"/>
      <c r="O75" s="810"/>
      <c r="P75" s="810"/>
      <c r="Q75" s="810"/>
      <c r="R75" s="783"/>
      <c r="S75" s="810"/>
      <c r="T75" s="810"/>
    </row>
    <row r="76" spans="1:20" ht="15.75" customHeight="1">
      <c r="A76" s="231"/>
      <c r="B76" s="1892" t="s">
        <v>851</v>
      </c>
      <c r="C76" s="1896" t="s">
        <v>31</v>
      </c>
      <c r="D76" s="785" t="s">
        <v>116</v>
      </c>
      <c r="E76" s="786"/>
      <c r="F76" s="786"/>
      <c r="G76" s="786"/>
      <c r="H76" s="787"/>
      <c r="I76" s="786" t="s">
        <v>117</v>
      </c>
      <c r="J76" s="788"/>
      <c r="K76" s="788"/>
      <c r="L76" s="788"/>
      <c r="M76" s="787"/>
      <c r="N76" s="783"/>
      <c r="O76" s="811" t="s">
        <v>116</v>
      </c>
      <c r="P76" s="812"/>
      <c r="Q76" s="813"/>
      <c r="R76" s="783"/>
      <c r="S76" s="811" t="s">
        <v>117</v>
      </c>
      <c r="T76" s="813"/>
    </row>
    <row r="77" spans="1:20" ht="25.5">
      <c r="A77" s="231"/>
      <c r="B77" s="1893"/>
      <c r="C77" s="1897"/>
      <c r="D77" s="789" t="s">
        <v>32</v>
      </c>
      <c r="E77" s="790" t="s">
        <v>33</v>
      </c>
      <c r="F77" s="790" t="s">
        <v>29</v>
      </c>
      <c r="G77" s="790" t="s">
        <v>34</v>
      </c>
      <c r="H77" s="791" t="s">
        <v>35</v>
      </c>
      <c r="I77" s="792" t="s">
        <v>118</v>
      </c>
      <c r="J77" s="790" t="s">
        <v>136</v>
      </c>
      <c r="K77" s="790" t="s">
        <v>137</v>
      </c>
      <c r="L77" s="790" t="s">
        <v>138</v>
      </c>
      <c r="M77" s="791" t="s">
        <v>139</v>
      </c>
      <c r="N77" s="783"/>
      <c r="O77" s="814" t="s">
        <v>126</v>
      </c>
      <c r="P77" s="815" t="s">
        <v>127</v>
      </c>
      <c r="Q77" s="816" t="s">
        <v>245</v>
      </c>
      <c r="R77" s="783"/>
      <c r="S77" s="814" t="s">
        <v>127</v>
      </c>
      <c r="T77" s="816" t="s">
        <v>128</v>
      </c>
    </row>
    <row r="78" spans="1:20" ht="15.75" customHeight="1">
      <c r="A78" s="231"/>
      <c r="B78" s="1420" t="s">
        <v>856</v>
      </c>
      <c r="C78" s="1421"/>
      <c r="D78" s="802"/>
      <c r="E78" s="803"/>
      <c r="F78" s="803"/>
      <c r="G78" s="803"/>
      <c r="H78" s="804"/>
      <c r="I78" s="797"/>
      <c r="J78" s="797"/>
      <c r="K78" s="797"/>
      <c r="L78" s="797"/>
      <c r="M78" s="798"/>
      <c r="N78" s="783"/>
      <c r="O78" s="796"/>
      <c r="P78" s="797"/>
      <c r="Q78" s="798"/>
      <c r="R78" s="783"/>
      <c r="S78" s="796"/>
      <c r="T78" s="798"/>
    </row>
    <row r="79" spans="1:20" ht="15.75" customHeight="1">
      <c r="A79" s="231"/>
      <c r="B79" s="1422" t="s">
        <v>665</v>
      </c>
      <c r="C79" s="304"/>
      <c r="D79" s="793"/>
      <c r="E79" s="794"/>
      <c r="F79" s="794"/>
      <c r="G79" s="794"/>
      <c r="H79" s="795"/>
      <c r="I79" s="794"/>
      <c r="J79" s="794"/>
      <c r="K79" s="794"/>
      <c r="L79" s="794"/>
      <c r="M79" s="795"/>
      <c r="N79" s="783"/>
      <c r="O79" s="817"/>
      <c r="P79" s="818"/>
      <c r="Q79" s="819"/>
      <c r="R79" s="783"/>
      <c r="S79" s="793"/>
      <c r="T79" s="795"/>
    </row>
    <row r="80" spans="1:20" ht="15.75" customHeight="1">
      <c r="A80" s="231"/>
      <c r="B80" s="994" t="s">
        <v>857</v>
      </c>
      <c r="C80" s="488" t="s">
        <v>14</v>
      </c>
      <c r="D80" s="280">
        <v>0</v>
      </c>
      <c r="E80" s="281">
        <v>0</v>
      </c>
      <c r="F80" s="281">
        <v>0</v>
      </c>
      <c r="G80" s="281">
        <v>27.973664081196581</v>
      </c>
      <c r="H80" s="282">
        <v>25.438403452282159</v>
      </c>
      <c r="I80" s="281">
        <v>25.226996820354664</v>
      </c>
      <c r="J80" s="283">
        <v>26.987440506563704</v>
      </c>
      <c r="K80" s="283">
        <v>29.540530490847459</v>
      </c>
      <c r="L80" s="283">
        <v>31.602534178947366</v>
      </c>
      <c r="M80" s="282">
        <v>33.746650109843941</v>
      </c>
      <c r="N80" s="783"/>
      <c r="O80" s="505">
        <v>0</v>
      </c>
      <c r="P80" s="506">
        <v>53.412067533478741</v>
      </c>
      <c r="Q80" s="507">
        <v>53.412067533478741</v>
      </c>
      <c r="R80" s="235"/>
      <c r="S80" s="505">
        <v>147.10415210655714</v>
      </c>
      <c r="T80" s="1367">
        <v>1.7541370124710507</v>
      </c>
    </row>
    <row r="81" spans="1:20" ht="15.75" customHeight="1">
      <c r="A81" s="231"/>
      <c r="B81" s="994" t="s">
        <v>858</v>
      </c>
      <c r="C81" s="488" t="s">
        <v>14</v>
      </c>
      <c r="D81" s="280">
        <v>43.165151786332039</v>
      </c>
      <c r="E81" s="281">
        <v>30.970736755514366</v>
      </c>
      <c r="F81" s="281">
        <v>58.955014971873361</v>
      </c>
      <c r="G81" s="281">
        <v>15.828514551282051</v>
      </c>
      <c r="H81" s="282">
        <v>12.222357908713693</v>
      </c>
      <c r="I81" s="281">
        <v>12.1169039845798</v>
      </c>
      <c r="J81" s="283">
        <v>12.997627596911197</v>
      </c>
      <c r="K81" s="283">
        <v>14.274618760677967</v>
      </c>
      <c r="L81" s="283">
        <v>15.256395810526316</v>
      </c>
      <c r="M81" s="282">
        <v>16.32902424669868</v>
      </c>
      <c r="N81" s="783"/>
      <c r="O81" s="505">
        <v>133.09090351371978</v>
      </c>
      <c r="P81" s="506">
        <v>28.050872459995745</v>
      </c>
      <c r="Q81" s="507">
        <v>161.14177597371551</v>
      </c>
      <c r="R81" s="235"/>
      <c r="S81" s="505">
        <v>70.974570399393954</v>
      </c>
      <c r="T81" s="1367">
        <v>-0.55955201579154179</v>
      </c>
    </row>
    <row r="82" spans="1:20" ht="15.75" customHeight="1">
      <c r="A82" s="231"/>
      <c r="B82" s="1423" t="s">
        <v>859</v>
      </c>
      <c r="C82" s="488" t="s">
        <v>14</v>
      </c>
      <c r="D82" s="505">
        <v>43.165151786332039</v>
      </c>
      <c r="E82" s="1424">
        <v>30.970736755514366</v>
      </c>
      <c r="F82" s="1424">
        <v>58.955014971873361</v>
      </c>
      <c r="G82" s="1424">
        <v>43.802178632478629</v>
      </c>
      <c r="H82" s="507">
        <v>37.660761360995849</v>
      </c>
      <c r="I82" s="1424">
        <v>37.343900804934464</v>
      </c>
      <c r="J82" s="506">
        <v>39.985068103474902</v>
      </c>
      <c r="K82" s="506">
        <v>43.815149251525426</v>
      </c>
      <c r="L82" s="506">
        <v>46.85892998947368</v>
      </c>
      <c r="M82" s="507">
        <v>50.075674356542621</v>
      </c>
      <c r="N82" s="783"/>
      <c r="O82" s="505">
        <v>133.09090351371978</v>
      </c>
      <c r="P82" s="506">
        <v>81.462939993474478</v>
      </c>
      <c r="Q82" s="507">
        <v>214.55384350719427</v>
      </c>
      <c r="R82" s="235"/>
      <c r="S82" s="505">
        <v>218.07872250595108</v>
      </c>
      <c r="T82" s="1367">
        <v>1.6428878369818673E-2</v>
      </c>
    </row>
    <row r="83" spans="1:20" ht="15.75" customHeight="1">
      <c r="A83" s="231"/>
      <c r="B83" s="1422" t="s">
        <v>666</v>
      </c>
      <c r="C83" s="305"/>
      <c r="D83" s="1425"/>
      <c r="E83" s="1426"/>
      <c r="F83" s="1426"/>
      <c r="G83" s="1426"/>
      <c r="H83" s="1427"/>
      <c r="I83" s="1426"/>
      <c r="J83" s="1426"/>
      <c r="K83" s="1426"/>
      <c r="L83" s="1426"/>
      <c r="M83" s="1427"/>
      <c r="N83" s="783"/>
      <c r="O83" s="1428"/>
      <c r="P83" s="1426"/>
      <c r="Q83" s="1427"/>
      <c r="R83" s="235"/>
      <c r="S83" s="1425"/>
      <c r="T83" s="1427"/>
    </row>
    <row r="84" spans="1:20" ht="15.75" customHeight="1">
      <c r="A84" s="231"/>
      <c r="B84" s="994" t="s">
        <v>857</v>
      </c>
      <c r="C84" s="488" t="s">
        <v>14</v>
      </c>
      <c r="D84" s="280">
        <v>0</v>
      </c>
      <c r="E84" s="281">
        <v>0</v>
      </c>
      <c r="F84" s="281">
        <v>0</v>
      </c>
      <c r="G84" s="281">
        <v>5.6743731410256411</v>
      </c>
      <c r="H84" s="282">
        <v>8.9431887136929458</v>
      </c>
      <c r="I84" s="281">
        <v>9.7332507417116432</v>
      </c>
      <c r="J84" s="283">
        <v>9.624197533590733</v>
      </c>
      <c r="K84" s="283">
        <v>9.9129296949152543</v>
      </c>
      <c r="L84" s="283">
        <v>10.104885536842104</v>
      </c>
      <c r="M84" s="282">
        <v>10.391197247899159</v>
      </c>
      <c r="N84" s="783"/>
      <c r="O84" s="505">
        <v>0</v>
      </c>
      <c r="P84" s="506">
        <v>14.617561854718588</v>
      </c>
      <c r="Q84" s="507">
        <v>14.617561854718588</v>
      </c>
      <c r="R84" s="235"/>
      <c r="S84" s="505">
        <v>49.766460754958892</v>
      </c>
      <c r="T84" s="1367">
        <v>2.4045664557180682</v>
      </c>
    </row>
    <row r="85" spans="1:20" ht="15.75" customHeight="1">
      <c r="A85" s="231"/>
      <c r="B85" s="994" t="s">
        <v>858</v>
      </c>
      <c r="C85" s="488" t="s">
        <v>14</v>
      </c>
      <c r="D85" s="280">
        <v>10.766365803519308</v>
      </c>
      <c r="E85" s="281">
        <v>7.6679959169601482</v>
      </c>
      <c r="F85" s="281">
        <v>32.121006465216958</v>
      </c>
      <c r="G85" s="281">
        <v>11.149645470085469</v>
      </c>
      <c r="H85" s="282">
        <v>19.078802589211616</v>
      </c>
      <c r="I85" s="281">
        <v>20.75764698997687</v>
      </c>
      <c r="J85" s="283">
        <v>19.347613598455599</v>
      </c>
      <c r="K85" s="283">
        <v>19.825859389830509</v>
      </c>
      <c r="L85" s="283">
        <v>20.30883857894737</v>
      </c>
      <c r="M85" s="282">
        <v>20.881358279111645</v>
      </c>
      <c r="N85" s="783"/>
      <c r="O85" s="505">
        <v>50.555368185696416</v>
      </c>
      <c r="P85" s="506">
        <v>30.228448059297087</v>
      </c>
      <c r="Q85" s="507">
        <v>80.783816244993503</v>
      </c>
      <c r="R85" s="235"/>
      <c r="S85" s="505">
        <v>101.12131683632199</v>
      </c>
      <c r="T85" s="1367">
        <v>0.25175216443911053</v>
      </c>
    </row>
    <row r="86" spans="1:20" ht="15.75" customHeight="1">
      <c r="A86" s="231"/>
      <c r="B86" s="1423" t="s">
        <v>860</v>
      </c>
      <c r="C86" s="488" t="s">
        <v>14</v>
      </c>
      <c r="D86" s="505">
        <v>10.766365803519308</v>
      </c>
      <c r="E86" s="1424">
        <v>7.6679959169601482</v>
      </c>
      <c r="F86" s="1424">
        <v>32.121006465216958</v>
      </c>
      <c r="G86" s="1424">
        <v>16.824018611111111</v>
      </c>
      <c r="H86" s="507">
        <v>28.02199130290456</v>
      </c>
      <c r="I86" s="1424">
        <v>30.490897731688513</v>
      </c>
      <c r="J86" s="506">
        <v>28.971811132046334</v>
      </c>
      <c r="K86" s="506">
        <v>29.738789084745761</v>
      </c>
      <c r="L86" s="506">
        <v>30.413724115789474</v>
      </c>
      <c r="M86" s="507">
        <v>31.272555527010802</v>
      </c>
      <c r="N86" s="783"/>
      <c r="O86" s="505">
        <v>50.555368185696416</v>
      </c>
      <c r="P86" s="506">
        <v>44.846009914015667</v>
      </c>
      <c r="Q86" s="507">
        <v>95.401378099712076</v>
      </c>
      <c r="R86" s="235"/>
      <c r="S86" s="505">
        <v>150.88777759128089</v>
      </c>
      <c r="T86" s="1367">
        <v>0.58161004166601526</v>
      </c>
    </row>
    <row r="87" spans="1:20" ht="15.75" customHeight="1">
      <c r="A87" s="231"/>
      <c r="B87" s="1422" t="s">
        <v>839</v>
      </c>
      <c r="C87" s="305"/>
      <c r="D87" s="1425"/>
      <c r="E87" s="1426"/>
      <c r="F87" s="1426"/>
      <c r="G87" s="1426"/>
      <c r="H87" s="1427"/>
      <c r="I87" s="1426"/>
      <c r="J87" s="1426"/>
      <c r="K87" s="1426"/>
      <c r="L87" s="1426"/>
      <c r="M87" s="1427"/>
      <c r="N87" s="783"/>
      <c r="O87" s="1425"/>
      <c r="P87" s="1426"/>
      <c r="Q87" s="1427"/>
      <c r="R87" s="235"/>
      <c r="S87" s="1425"/>
      <c r="T87" s="1427"/>
    </row>
    <row r="88" spans="1:20" ht="15.75" customHeight="1">
      <c r="A88" s="231"/>
      <c r="B88" s="994" t="s">
        <v>857</v>
      </c>
      <c r="C88" s="488" t="s">
        <v>14</v>
      </c>
      <c r="D88" s="280">
        <v>0</v>
      </c>
      <c r="E88" s="281">
        <v>0</v>
      </c>
      <c r="F88" s="281">
        <v>0</v>
      </c>
      <c r="G88" s="281">
        <v>0</v>
      </c>
      <c r="H88" s="282">
        <v>0</v>
      </c>
      <c r="I88" s="281">
        <v>0</v>
      </c>
      <c r="J88" s="283">
        <v>0</v>
      </c>
      <c r="K88" s="283">
        <v>0</v>
      </c>
      <c r="L88" s="283">
        <v>0</v>
      </c>
      <c r="M88" s="282">
        <v>0</v>
      </c>
      <c r="N88" s="783"/>
      <c r="O88" s="505">
        <v>0</v>
      </c>
      <c r="P88" s="506">
        <v>0</v>
      </c>
      <c r="Q88" s="507">
        <v>0</v>
      </c>
      <c r="R88" s="235"/>
      <c r="S88" s="505">
        <v>0</v>
      </c>
      <c r="T88" s="1367" t="s">
        <v>1023</v>
      </c>
    </row>
    <row r="89" spans="1:20" ht="15.75" customHeight="1">
      <c r="A89" s="231"/>
      <c r="B89" s="994" t="s">
        <v>858</v>
      </c>
      <c r="C89" s="488" t="s">
        <v>14</v>
      </c>
      <c r="D89" s="280">
        <v>0.29906571676442523</v>
      </c>
      <c r="E89" s="281">
        <v>0.19916872511584802</v>
      </c>
      <c r="F89" s="281">
        <v>0.59852807078044012</v>
      </c>
      <c r="G89" s="281">
        <v>0</v>
      </c>
      <c r="H89" s="282">
        <v>0</v>
      </c>
      <c r="I89" s="281">
        <v>0</v>
      </c>
      <c r="J89" s="283">
        <v>0</v>
      </c>
      <c r="K89" s="283">
        <v>0</v>
      </c>
      <c r="L89" s="283">
        <v>0</v>
      </c>
      <c r="M89" s="282">
        <v>0</v>
      </c>
      <c r="N89" s="783"/>
      <c r="O89" s="505">
        <v>1.0967625126607135</v>
      </c>
      <c r="P89" s="506">
        <v>0</v>
      </c>
      <c r="Q89" s="507">
        <v>1.0967625126607135</v>
      </c>
      <c r="R89" s="235"/>
      <c r="S89" s="505">
        <v>0</v>
      </c>
      <c r="T89" s="1367">
        <v>-1</v>
      </c>
    </row>
    <row r="90" spans="1:20" ht="15.75" customHeight="1">
      <c r="A90" s="231"/>
      <c r="B90" s="1423" t="s">
        <v>861</v>
      </c>
      <c r="C90" s="488" t="s">
        <v>14</v>
      </c>
      <c r="D90" s="505">
        <v>0.29906571676442523</v>
      </c>
      <c r="E90" s="1424">
        <v>0.19916872511584802</v>
      </c>
      <c r="F90" s="1424">
        <v>0.59852807078044012</v>
      </c>
      <c r="G90" s="1424">
        <v>0</v>
      </c>
      <c r="H90" s="507">
        <v>0</v>
      </c>
      <c r="I90" s="1424">
        <v>0</v>
      </c>
      <c r="J90" s="506">
        <v>0</v>
      </c>
      <c r="K90" s="506">
        <v>0</v>
      </c>
      <c r="L90" s="506">
        <v>0</v>
      </c>
      <c r="M90" s="507">
        <v>0</v>
      </c>
      <c r="N90" s="783"/>
      <c r="O90" s="505">
        <v>1.0967625126607135</v>
      </c>
      <c r="P90" s="506">
        <v>0</v>
      </c>
      <c r="Q90" s="507">
        <v>1.0967625126607135</v>
      </c>
      <c r="R90" s="235"/>
      <c r="S90" s="505">
        <v>0</v>
      </c>
      <c r="T90" s="1367">
        <v>-1</v>
      </c>
    </row>
    <row r="91" spans="1:20" ht="15.75" customHeight="1">
      <c r="A91" s="231"/>
      <c r="B91" s="1422" t="s">
        <v>840</v>
      </c>
      <c r="C91" s="305"/>
      <c r="D91" s="1425"/>
      <c r="E91" s="1426"/>
      <c r="F91" s="1426"/>
      <c r="G91" s="1426"/>
      <c r="H91" s="1427"/>
      <c r="I91" s="1426"/>
      <c r="J91" s="1426"/>
      <c r="K91" s="1426"/>
      <c r="L91" s="1426"/>
      <c r="M91" s="1427"/>
      <c r="N91" s="783"/>
      <c r="O91" s="1425"/>
      <c r="P91" s="1426"/>
      <c r="Q91" s="1427"/>
      <c r="R91" s="235"/>
      <c r="S91" s="1425"/>
      <c r="T91" s="1427"/>
    </row>
    <row r="92" spans="1:20" ht="15.75" customHeight="1">
      <c r="A92" s="231"/>
      <c r="B92" s="994" t="s">
        <v>857</v>
      </c>
      <c r="C92" s="488" t="s">
        <v>14</v>
      </c>
      <c r="D92" s="280">
        <v>0</v>
      </c>
      <c r="E92" s="281">
        <v>0</v>
      </c>
      <c r="F92" s="281">
        <v>0</v>
      </c>
      <c r="G92" s="281">
        <v>0</v>
      </c>
      <c r="H92" s="282">
        <v>0</v>
      </c>
      <c r="I92" s="281">
        <v>0</v>
      </c>
      <c r="J92" s="283">
        <v>0</v>
      </c>
      <c r="K92" s="283">
        <v>0</v>
      </c>
      <c r="L92" s="283">
        <v>0</v>
      </c>
      <c r="M92" s="282">
        <v>0</v>
      </c>
      <c r="N92" s="783"/>
      <c r="O92" s="505">
        <v>0</v>
      </c>
      <c r="P92" s="506">
        <v>0</v>
      </c>
      <c r="Q92" s="507">
        <v>0</v>
      </c>
      <c r="R92" s="235"/>
      <c r="S92" s="505">
        <v>0</v>
      </c>
      <c r="T92" s="1367" t="s">
        <v>1023</v>
      </c>
    </row>
    <row r="93" spans="1:20" ht="15.75" customHeight="1">
      <c r="A93" s="231"/>
      <c r="B93" s="994" t="s">
        <v>858</v>
      </c>
      <c r="C93" s="488" t="s">
        <v>14</v>
      </c>
      <c r="D93" s="280">
        <v>0</v>
      </c>
      <c r="E93" s="281">
        <v>0</v>
      </c>
      <c r="F93" s="281">
        <v>0</v>
      </c>
      <c r="G93" s="281">
        <v>0</v>
      </c>
      <c r="H93" s="282">
        <v>0</v>
      </c>
      <c r="I93" s="281">
        <v>0</v>
      </c>
      <c r="J93" s="283">
        <v>0</v>
      </c>
      <c r="K93" s="283">
        <v>0</v>
      </c>
      <c r="L93" s="283">
        <v>0</v>
      </c>
      <c r="M93" s="282">
        <v>0</v>
      </c>
      <c r="N93" s="783"/>
      <c r="O93" s="505">
        <v>0</v>
      </c>
      <c r="P93" s="506">
        <v>0</v>
      </c>
      <c r="Q93" s="507">
        <v>0</v>
      </c>
      <c r="R93" s="235"/>
      <c r="S93" s="505">
        <v>0</v>
      </c>
      <c r="T93" s="1367" t="s">
        <v>1023</v>
      </c>
    </row>
    <row r="94" spans="1:20" ht="15.75" customHeight="1">
      <c r="A94" s="231"/>
      <c r="B94" s="1423" t="s">
        <v>694</v>
      </c>
      <c r="C94" s="488" t="s">
        <v>14</v>
      </c>
      <c r="D94" s="505">
        <v>0</v>
      </c>
      <c r="E94" s="1424">
        <v>0</v>
      </c>
      <c r="F94" s="1424">
        <v>0</v>
      </c>
      <c r="G94" s="1424">
        <v>0</v>
      </c>
      <c r="H94" s="507">
        <v>0</v>
      </c>
      <c r="I94" s="1424">
        <v>0</v>
      </c>
      <c r="J94" s="506">
        <v>0</v>
      </c>
      <c r="K94" s="506">
        <v>0</v>
      </c>
      <c r="L94" s="506">
        <v>0</v>
      </c>
      <c r="M94" s="507">
        <v>0</v>
      </c>
      <c r="N94" s="783"/>
      <c r="O94" s="505">
        <v>0</v>
      </c>
      <c r="P94" s="506">
        <v>0</v>
      </c>
      <c r="Q94" s="507">
        <v>0</v>
      </c>
      <c r="R94" s="235"/>
      <c r="S94" s="505">
        <v>0</v>
      </c>
      <c r="T94" s="1367" t="s">
        <v>1023</v>
      </c>
    </row>
    <row r="95" spans="1:20" ht="15.75" customHeight="1">
      <c r="A95" s="231"/>
      <c r="B95" s="1388"/>
      <c r="C95" s="488"/>
      <c r="D95" s="1425"/>
      <c r="E95" s="1426"/>
      <c r="F95" s="1426"/>
      <c r="G95" s="1426"/>
      <c r="H95" s="1427"/>
      <c r="I95" s="1426"/>
      <c r="J95" s="1426"/>
      <c r="K95" s="1426"/>
      <c r="L95" s="1426"/>
      <c r="M95" s="1427"/>
      <c r="N95" s="783"/>
      <c r="O95" s="1425"/>
      <c r="P95" s="1426"/>
      <c r="Q95" s="1427"/>
      <c r="R95" s="235"/>
      <c r="S95" s="1425"/>
      <c r="T95" s="1427"/>
    </row>
    <row r="96" spans="1:20" ht="15.75" customHeight="1">
      <c r="A96" s="231"/>
      <c r="B96" s="1388" t="s">
        <v>695</v>
      </c>
      <c r="C96" s="488" t="s">
        <v>14</v>
      </c>
      <c r="D96" s="284"/>
      <c r="E96" s="285"/>
      <c r="F96" s="285"/>
      <c r="G96" s="281">
        <v>0</v>
      </c>
      <c r="H96" s="282">
        <v>0</v>
      </c>
      <c r="I96" s="281">
        <v>0</v>
      </c>
      <c r="J96" s="283">
        <v>0</v>
      </c>
      <c r="K96" s="283">
        <v>0</v>
      </c>
      <c r="L96" s="283">
        <v>0</v>
      </c>
      <c r="M96" s="282">
        <v>0</v>
      </c>
      <c r="N96" s="783"/>
      <c r="O96" s="505">
        <v>0</v>
      </c>
      <c r="P96" s="506">
        <v>0</v>
      </c>
      <c r="Q96" s="507">
        <v>0</v>
      </c>
      <c r="R96" s="235"/>
      <c r="S96" s="505">
        <v>0</v>
      </c>
      <c r="T96" s="1367" t="s">
        <v>1023</v>
      </c>
    </row>
    <row r="97" spans="1:20" ht="15.75" customHeight="1">
      <c r="A97" s="231"/>
      <c r="B97" s="1388" t="s">
        <v>696</v>
      </c>
      <c r="C97" s="488" t="s">
        <v>14</v>
      </c>
      <c r="D97" s="1372">
        <v>54.23058330661577</v>
      </c>
      <c r="E97" s="1375">
        <v>38.837901397590365</v>
      </c>
      <c r="F97" s="1375">
        <v>91.674549507870751</v>
      </c>
      <c r="G97" s="1375">
        <v>60.626197243589743</v>
      </c>
      <c r="H97" s="1374">
        <v>65.682752663900402</v>
      </c>
      <c r="I97" s="1375">
        <v>67.834798536622969</v>
      </c>
      <c r="J97" s="1373">
        <v>68.956879235521228</v>
      </c>
      <c r="K97" s="1373">
        <v>73.553938336271187</v>
      </c>
      <c r="L97" s="1373">
        <v>77.272654105263157</v>
      </c>
      <c r="M97" s="1374">
        <v>81.348229883553415</v>
      </c>
      <c r="N97" s="801"/>
      <c r="O97" s="1372">
        <v>184.74303421207688</v>
      </c>
      <c r="P97" s="1373">
        <v>126.30894990749015</v>
      </c>
      <c r="Q97" s="1374">
        <v>311.05198411956701</v>
      </c>
      <c r="R97" s="1429"/>
      <c r="S97" s="1372">
        <v>368.96650009723197</v>
      </c>
      <c r="T97" s="1430">
        <v>0.18618918680616059</v>
      </c>
    </row>
    <row r="98" spans="1:20" ht="15.75" customHeight="1">
      <c r="A98" s="231"/>
      <c r="B98" s="1388"/>
      <c r="C98" s="488"/>
      <c r="D98" s="1425"/>
      <c r="E98" s="1426"/>
      <c r="F98" s="1426"/>
      <c r="G98" s="1426"/>
      <c r="H98" s="1427"/>
      <c r="I98" s="1426"/>
      <c r="J98" s="1426"/>
      <c r="K98" s="1426"/>
      <c r="L98" s="1426"/>
      <c r="M98" s="1427"/>
      <c r="N98" s="783"/>
      <c r="O98" s="1425"/>
      <c r="P98" s="1426"/>
      <c r="Q98" s="1427"/>
      <c r="R98" s="235"/>
      <c r="S98" s="1425"/>
      <c r="T98" s="1427"/>
    </row>
    <row r="99" spans="1:20" ht="15.75" customHeight="1">
      <c r="A99" s="231"/>
      <c r="B99" s="1388" t="s">
        <v>745</v>
      </c>
      <c r="C99" s="486" t="s">
        <v>14</v>
      </c>
      <c r="D99" s="284"/>
      <c r="E99" s="285"/>
      <c r="F99" s="285"/>
      <c r="G99" s="281">
        <v>0</v>
      </c>
      <c r="H99" s="282">
        <v>0</v>
      </c>
      <c r="I99" s="281">
        <v>0</v>
      </c>
      <c r="J99" s="283">
        <v>0</v>
      </c>
      <c r="K99" s="283">
        <v>0</v>
      </c>
      <c r="L99" s="283">
        <v>0</v>
      </c>
      <c r="M99" s="282">
        <v>0</v>
      </c>
      <c r="N99" s="783"/>
      <c r="O99" s="505">
        <v>0</v>
      </c>
      <c r="P99" s="506">
        <v>0</v>
      </c>
      <c r="Q99" s="507">
        <v>0</v>
      </c>
      <c r="R99" s="235"/>
      <c r="S99" s="505">
        <v>0</v>
      </c>
      <c r="T99" s="1367" t="s">
        <v>1023</v>
      </c>
    </row>
    <row r="100" spans="1:20" ht="15.75" customHeight="1" thickBot="1">
      <c r="A100" s="231"/>
      <c r="B100" s="1393" t="s">
        <v>746</v>
      </c>
      <c r="C100" s="489" t="s">
        <v>14</v>
      </c>
      <c r="D100" s="286"/>
      <c r="E100" s="287"/>
      <c r="F100" s="287"/>
      <c r="G100" s="288">
        <v>0</v>
      </c>
      <c r="H100" s="289">
        <v>0</v>
      </c>
      <c r="I100" s="288">
        <v>0</v>
      </c>
      <c r="J100" s="290">
        <v>0</v>
      </c>
      <c r="K100" s="290">
        <v>0</v>
      </c>
      <c r="L100" s="290">
        <v>0</v>
      </c>
      <c r="M100" s="289">
        <v>0</v>
      </c>
      <c r="N100" s="783"/>
      <c r="O100" s="1376">
        <v>0</v>
      </c>
      <c r="P100" s="1377">
        <v>0</v>
      </c>
      <c r="Q100" s="1378">
        <v>0</v>
      </c>
      <c r="R100" s="235"/>
      <c r="S100" s="1376">
        <v>0</v>
      </c>
      <c r="T100" s="1379" t="s">
        <v>1023</v>
      </c>
    </row>
    <row r="101" spans="1:20">
      <c r="A101" s="231"/>
      <c r="B101" s="231"/>
      <c r="C101" s="231"/>
      <c r="D101" s="782"/>
      <c r="E101" s="782"/>
      <c r="F101" s="782"/>
      <c r="G101" s="782"/>
      <c r="H101" s="782"/>
      <c r="I101" s="782"/>
      <c r="J101" s="782"/>
      <c r="K101" s="782"/>
      <c r="L101" s="782"/>
      <c r="M101" s="782"/>
      <c r="N101" s="782"/>
      <c r="O101" s="782"/>
      <c r="P101" s="782"/>
      <c r="Q101" s="782"/>
      <c r="R101" s="782"/>
      <c r="S101" s="782"/>
      <c r="T101" s="782"/>
    </row>
    <row r="102" spans="1:20">
      <c r="A102" s="231"/>
      <c r="B102" s="231"/>
      <c r="C102" s="291"/>
      <c r="D102" s="784"/>
      <c r="E102" s="784"/>
      <c r="F102" s="784"/>
      <c r="G102" s="784"/>
      <c r="H102" s="784"/>
      <c r="I102" s="784"/>
      <c r="J102" s="784"/>
      <c r="K102" s="784"/>
      <c r="L102" s="784"/>
      <c r="M102" s="784"/>
      <c r="N102" s="783"/>
      <c r="O102" s="784"/>
      <c r="P102" s="784"/>
      <c r="Q102" s="784"/>
      <c r="R102" s="783"/>
      <c r="S102" s="784"/>
      <c r="T102" s="784"/>
    </row>
    <row r="103" spans="1:20" s="852" customFormat="1" ht="15.75" customHeight="1">
      <c r="A103" s="980"/>
      <c r="B103" s="1350" t="s">
        <v>140</v>
      </c>
      <c r="C103" s="295"/>
      <c r="D103" s="784"/>
      <c r="E103" s="784"/>
      <c r="F103" s="784"/>
      <c r="G103" s="784"/>
      <c r="H103" s="784"/>
      <c r="I103" s="784"/>
      <c r="J103" s="784"/>
      <c r="K103" s="784"/>
      <c r="L103" s="784"/>
      <c r="M103" s="784"/>
      <c r="N103" s="784"/>
      <c r="O103" s="989"/>
      <c r="P103" s="989"/>
      <c r="Q103" s="989"/>
      <c r="R103" s="982"/>
      <c r="S103" s="784"/>
      <c r="T103" s="784"/>
    </row>
    <row r="104" spans="1:20" ht="13.5" thickBot="1">
      <c r="A104" s="231"/>
      <c r="B104" s="1380"/>
      <c r="C104" s="490"/>
      <c r="D104" s="810"/>
      <c r="E104" s="810"/>
      <c r="F104" s="810"/>
      <c r="G104" s="810"/>
      <c r="H104" s="810"/>
      <c r="I104" s="810"/>
      <c r="J104" s="810"/>
      <c r="K104" s="810"/>
      <c r="L104" s="810"/>
      <c r="M104" s="810"/>
      <c r="N104" s="783"/>
      <c r="O104" s="810"/>
      <c r="P104" s="810"/>
      <c r="Q104" s="810"/>
      <c r="R104" s="783"/>
      <c r="S104" s="810"/>
      <c r="T104" s="810"/>
    </row>
    <row r="105" spans="1:20" ht="15.75" customHeight="1">
      <c r="A105" s="231"/>
      <c r="B105" s="1892" t="s">
        <v>140</v>
      </c>
      <c r="C105" s="1896" t="s">
        <v>31</v>
      </c>
      <c r="D105" s="785" t="s">
        <v>116</v>
      </c>
      <c r="E105" s="786"/>
      <c r="F105" s="786"/>
      <c r="G105" s="786"/>
      <c r="H105" s="787"/>
      <c r="I105" s="786" t="s">
        <v>117</v>
      </c>
      <c r="J105" s="788"/>
      <c r="K105" s="788"/>
      <c r="L105" s="788"/>
      <c r="M105" s="787"/>
      <c r="N105" s="783"/>
      <c r="O105" s="811" t="s">
        <v>116</v>
      </c>
      <c r="P105" s="812"/>
      <c r="Q105" s="813"/>
      <c r="R105" s="783"/>
      <c r="S105" s="811" t="s">
        <v>117</v>
      </c>
      <c r="T105" s="813"/>
    </row>
    <row r="106" spans="1:20" ht="25.5">
      <c r="A106" s="231"/>
      <c r="B106" s="1893"/>
      <c r="C106" s="1897"/>
      <c r="D106" s="789" t="s">
        <v>32</v>
      </c>
      <c r="E106" s="790" t="s">
        <v>33</v>
      </c>
      <c r="F106" s="790" t="s">
        <v>29</v>
      </c>
      <c r="G106" s="790" t="s">
        <v>34</v>
      </c>
      <c r="H106" s="791" t="s">
        <v>35</v>
      </c>
      <c r="I106" s="792" t="s">
        <v>118</v>
      </c>
      <c r="J106" s="790" t="s">
        <v>136</v>
      </c>
      <c r="K106" s="790" t="s">
        <v>137</v>
      </c>
      <c r="L106" s="790" t="s">
        <v>138</v>
      </c>
      <c r="M106" s="791" t="s">
        <v>139</v>
      </c>
      <c r="N106" s="783"/>
      <c r="O106" s="814" t="s">
        <v>126</v>
      </c>
      <c r="P106" s="815" t="s">
        <v>127</v>
      </c>
      <c r="Q106" s="816" t="s">
        <v>245</v>
      </c>
      <c r="R106" s="783"/>
      <c r="S106" s="814" t="s">
        <v>127</v>
      </c>
      <c r="T106" s="816" t="s">
        <v>128</v>
      </c>
    </row>
    <row r="107" spans="1:20" ht="15.75" customHeight="1">
      <c r="A107" s="231"/>
      <c r="B107" s="1431" t="s">
        <v>141</v>
      </c>
      <c r="C107" s="304"/>
      <c r="D107" s="793"/>
      <c r="E107" s="794"/>
      <c r="F107" s="794"/>
      <c r="G107" s="794"/>
      <c r="H107" s="795"/>
      <c r="I107" s="794"/>
      <c r="J107" s="794"/>
      <c r="K107" s="794"/>
      <c r="L107" s="794"/>
      <c r="M107" s="795"/>
      <c r="N107" s="783"/>
      <c r="O107" s="817"/>
      <c r="P107" s="818"/>
      <c r="Q107" s="819"/>
      <c r="R107" s="783"/>
      <c r="S107" s="793"/>
      <c r="T107" s="795"/>
    </row>
    <row r="108" spans="1:20" ht="15.75" customHeight="1">
      <c r="A108" s="231"/>
      <c r="B108" s="995" t="s">
        <v>857</v>
      </c>
      <c r="C108" s="488" t="s">
        <v>14</v>
      </c>
      <c r="D108" s="280">
        <v>0</v>
      </c>
      <c r="E108" s="281">
        <v>0</v>
      </c>
      <c r="F108" s="281">
        <v>0</v>
      </c>
      <c r="G108" s="281">
        <v>28.1</v>
      </c>
      <c r="H108" s="282">
        <v>25.6</v>
      </c>
      <c r="I108" s="281">
        <v>25.4</v>
      </c>
      <c r="J108" s="283">
        <v>27.2</v>
      </c>
      <c r="K108" s="283">
        <v>29.8</v>
      </c>
      <c r="L108" s="283">
        <v>31.9</v>
      </c>
      <c r="M108" s="282">
        <v>34.1</v>
      </c>
      <c r="N108" s="783"/>
      <c r="O108" s="505">
        <v>0</v>
      </c>
      <c r="P108" s="506">
        <v>53.7</v>
      </c>
      <c r="Q108" s="507">
        <v>53.7</v>
      </c>
      <c r="R108" s="235"/>
      <c r="S108" s="505">
        <v>148.39999999999998</v>
      </c>
      <c r="T108" s="1367">
        <v>1.763500931098696</v>
      </c>
    </row>
    <row r="109" spans="1:20" ht="15.75" customHeight="1">
      <c r="A109" s="231"/>
      <c r="B109" s="995" t="s">
        <v>142</v>
      </c>
      <c r="C109" s="488" t="s">
        <v>14</v>
      </c>
      <c r="D109" s="280">
        <v>38.1</v>
      </c>
      <c r="E109" s="281">
        <v>27.4</v>
      </c>
      <c r="F109" s="281">
        <v>49.1</v>
      </c>
      <c r="G109" s="281">
        <v>10.4</v>
      </c>
      <c r="H109" s="282">
        <v>9.5</v>
      </c>
      <c r="I109" s="281">
        <v>9.4</v>
      </c>
      <c r="J109" s="283">
        <v>10.1</v>
      </c>
      <c r="K109" s="283">
        <v>11</v>
      </c>
      <c r="L109" s="283">
        <v>11.8</v>
      </c>
      <c r="M109" s="282">
        <v>12.6</v>
      </c>
      <c r="N109" s="783"/>
      <c r="O109" s="505">
        <v>114.6</v>
      </c>
      <c r="P109" s="506">
        <v>19.899999999999999</v>
      </c>
      <c r="Q109" s="507">
        <v>134.5</v>
      </c>
      <c r="R109" s="235"/>
      <c r="S109" s="505">
        <v>54.9</v>
      </c>
      <c r="T109" s="1367">
        <v>-0.59182156133828989</v>
      </c>
    </row>
    <row r="110" spans="1:20" ht="15.75" customHeight="1">
      <c r="A110" s="231"/>
      <c r="B110" s="1432" t="s">
        <v>859</v>
      </c>
      <c r="C110" s="488" t="s">
        <v>14</v>
      </c>
      <c r="D110" s="505">
        <v>38.1</v>
      </c>
      <c r="E110" s="1424">
        <v>27.4</v>
      </c>
      <c r="F110" s="1424">
        <v>49.1</v>
      </c>
      <c r="G110" s="1424">
        <v>38.5</v>
      </c>
      <c r="H110" s="507">
        <v>35.1</v>
      </c>
      <c r="I110" s="1424">
        <v>34.799999999999997</v>
      </c>
      <c r="J110" s="506">
        <v>37.299999999999997</v>
      </c>
      <c r="K110" s="506">
        <v>40.799999999999997</v>
      </c>
      <c r="L110" s="506">
        <v>43.7</v>
      </c>
      <c r="M110" s="507">
        <v>46.7</v>
      </c>
      <c r="N110" s="783"/>
      <c r="O110" s="505">
        <v>114.6</v>
      </c>
      <c r="P110" s="506">
        <v>73.599999999999994</v>
      </c>
      <c r="Q110" s="507">
        <v>188.2</v>
      </c>
      <c r="R110" s="235"/>
      <c r="S110" s="505">
        <v>203.3</v>
      </c>
      <c r="T110" s="1367">
        <v>8.0233793836344436E-2</v>
      </c>
    </row>
    <row r="111" spans="1:20" ht="15.75" customHeight="1">
      <c r="A111" s="231"/>
      <c r="B111" s="1431" t="s">
        <v>871</v>
      </c>
      <c r="C111" s="305"/>
      <c r="D111" s="1425"/>
      <c r="E111" s="1426"/>
      <c r="F111" s="1426"/>
      <c r="G111" s="1426"/>
      <c r="H111" s="1427"/>
      <c r="I111" s="1426"/>
      <c r="J111" s="1426"/>
      <c r="K111" s="1426"/>
      <c r="L111" s="1426"/>
      <c r="M111" s="1427"/>
      <c r="N111" s="783"/>
      <c r="O111" s="1428"/>
      <c r="P111" s="1426"/>
      <c r="Q111" s="1427"/>
      <c r="R111" s="235"/>
      <c r="S111" s="1425"/>
      <c r="T111" s="1427"/>
    </row>
    <row r="112" spans="1:20" ht="15.75" customHeight="1">
      <c r="A112" s="231"/>
      <c r="B112" s="995" t="s">
        <v>857</v>
      </c>
      <c r="C112" s="488" t="s">
        <v>14</v>
      </c>
      <c r="D112" s="280">
        <v>0</v>
      </c>
      <c r="E112" s="281">
        <v>0</v>
      </c>
      <c r="F112" s="281">
        <v>0</v>
      </c>
      <c r="G112" s="281">
        <v>5.7</v>
      </c>
      <c r="H112" s="282">
        <v>9</v>
      </c>
      <c r="I112" s="281">
        <v>9.8000000000000007</v>
      </c>
      <c r="J112" s="283">
        <v>9.6999999999999993</v>
      </c>
      <c r="K112" s="283">
        <v>10</v>
      </c>
      <c r="L112" s="283">
        <v>10.199999999999999</v>
      </c>
      <c r="M112" s="282">
        <v>10.5</v>
      </c>
      <c r="N112" s="783"/>
      <c r="O112" s="505">
        <v>0</v>
      </c>
      <c r="P112" s="506">
        <v>14.7</v>
      </c>
      <c r="Q112" s="507">
        <v>14.7</v>
      </c>
      <c r="R112" s="235"/>
      <c r="S112" s="505">
        <v>50.2</v>
      </c>
      <c r="T112" s="1367">
        <v>2.4149659863945581</v>
      </c>
    </row>
    <row r="113" spans="1:20" ht="15.75" customHeight="1">
      <c r="A113" s="231"/>
      <c r="B113" s="995" t="s">
        <v>142</v>
      </c>
      <c r="C113" s="488" t="s">
        <v>14</v>
      </c>
      <c r="D113" s="280">
        <v>9.5</v>
      </c>
      <c r="E113" s="281">
        <v>6.8</v>
      </c>
      <c r="F113" s="281">
        <v>24.9</v>
      </c>
      <c r="G113" s="281">
        <v>3.5</v>
      </c>
      <c r="H113" s="282">
        <v>5.5</v>
      </c>
      <c r="I113" s="281">
        <v>6</v>
      </c>
      <c r="J113" s="283">
        <v>6</v>
      </c>
      <c r="K113" s="283">
        <v>6.1</v>
      </c>
      <c r="L113" s="283">
        <v>6.3</v>
      </c>
      <c r="M113" s="282">
        <v>6.4</v>
      </c>
      <c r="N113" s="783"/>
      <c r="O113" s="505">
        <v>41.2</v>
      </c>
      <c r="P113" s="506">
        <v>9</v>
      </c>
      <c r="Q113" s="507">
        <v>50.2</v>
      </c>
      <c r="R113" s="235"/>
      <c r="S113" s="505">
        <v>30.800000000000004</v>
      </c>
      <c r="T113" s="1367">
        <v>-0.38645418326693221</v>
      </c>
    </row>
    <row r="114" spans="1:20" ht="15.75" customHeight="1">
      <c r="A114" s="231"/>
      <c r="B114" s="1432" t="s">
        <v>860</v>
      </c>
      <c r="C114" s="488" t="s">
        <v>14</v>
      </c>
      <c r="D114" s="505">
        <v>9.5</v>
      </c>
      <c r="E114" s="1424">
        <v>6.8</v>
      </c>
      <c r="F114" s="1424">
        <v>24.9</v>
      </c>
      <c r="G114" s="1424">
        <v>9.1999999999999993</v>
      </c>
      <c r="H114" s="507">
        <v>14.5</v>
      </c>
      <c r="I114" s="1424">
        <v>15.8</v>
      </c>
      <c r="J114" s="506">
        <v>15.7</v>
      </c>
      <c r="K114" s="506">
        <v>16.100000000000001</v>
      </c>
      <c r="L114" s="506">
        <v>16.5</v>
      </c>
      <c r="M114" s="507">
        <v>16.899999999999999</v>
      </c>
      <c r="N114" s="783"/>
      <c r="O114" s="505">
        <v>41.2</v>
      </c>
      <c r="P114" s="506">
        <v>23.7</v>
      </c>
      <c r="Q114" s="507">
        <v>64.900000000000006</v>
      </c>
      <c r="R114" s="235"/>
      <c r="S114" s="505">
        <v>81</v>
      </c>
      <c r="T114" s="1367">
        <v>0.24807395993836662</v>
      </c>
    </row>
    <row r="115" spans="1:20" ht="15.75" customHeight="1">
      <c r="A115" s="231"/>
      <c r="B115" s="1431" t="s">
        <v>708</v>
      </c>
      <c r="C115" s="305"/>
      <c r="D115" s="1425"/>
      <c r="E115" s="1426"/>
      <c r="F115" s="1426"/>
      <c r="G115" s="1426"/>
      <c r="H115" s="1427"/>
      <c r="I115" s="1426"/>
      <c r="J115" s="1426"/>
      <c r="K115" s="1426"/>
      <c r="L115" s="1426"/>
      <c r="M115" s="1427"/>
      <c r="N115" s="783"/>
      <c r="O115" s="1425"/>
      <c r="P115" s="1426"/>
      <c r="Q115" s="1427"/>
      <c r="R115" s="235"/>
      <c r="S115" s="1425"/>
      <c r="T115" s="1427"/>
    </row>
    <row r="116" spans="1:20" ht="15.75" customHeight="1">
      <c r="A116" s="231"/>
      <c r="B116" s="995" t="s">
        <v>857</v>
      </c>
      <c r="C116" s="488" t="s">
        <v>14</v>
      </c>
      <c r="D116" s="280">
        <v>0</v>
      </c>
      <c r="E116" s="281">
        <v>0</v>
      </c>
      <c r="F116" s="281">
        <v>0</v>
      </c>
      <c r="G116" s="281">
        <v>0</v>
      </c>
      <c r="H116" s="282">
        <v>0</v>
      </c>
      <c r="I116" s="281">
        <v>0</v>
      </c>
      <c r="J116" s="283">
        <v>0</v>
      </c>
      <c r="K116" s="283">
        <v>0</v>
      </c>
      <c r="L116" s="283">
        <v>0</v>
      </c>
      <c r="M116" s="282">
        <v>0</v>
      </c>
      <c r="N116" s="783"/>
      <c r="O116" s="505">
        <v>0</v>
      </c>
      <c r="P116" s="506">
        <v>0</v>
      </c>
      <c r="Q116" s="507">
        <v>0</v>
      </c>
      <c r="R116" s="235"/>
      <c r="S116" s="505">
        <v>0</v>
      </c>
      <c r="T116" s="1367" t="s">
        <v>1023</v>
      </c>
    </row>
    <row r="117" spans="1:20" ht="15.75" customHeight="1">
      <c r="A117" s="231"/>
      <c r="B117" s="995" t="s">
        <v>142</v>
      </c>
      <c r="C117" s="488" t="s">
        <v>14</v>
      </c>
      <c r="D117" s="280">
        <v>0.3</v>
      </c>
      <c r="E117" s="281">
        <v>0</v>
      </c>
      <c r="F117" s="281">
        <v>0.4</v>
      </c>
      <c r="G117" s="281">
        <v>0</v>
      </c>
      <c r="H117" s="282">
        <v>0</v>
      </c>
      <c r="I117" s="281">
        <v>0</v>
      </c>
      <c r="J117" s="283">
        <v>0</v>
      </c>
      <c r="K117" s="283">
        <v>0</v>
      </c>
      <c r="L117" s="283">
        <v>0</v>
      </c>
      <c r="M117" s="282">
        <v>0</v>
      </c>
      <c r="N117" s="783"/>
      <c r="O117" s="505">
        <v>0.7</v>
      </c>
      <c r="P117" s="506">
        <v>0</v>
      </c>
      <c r="Q117" s="507">
        <v>0.7</v>
      </c>
      <c r="R117" s="235"/>
      <c r="S117" s="505">
        <v>0</v>
      </c>
      <c r="T117" s="1367">
        <v>-1</v>
      </c>
    </row>
    <row r="118" spans="1:20" ht="15.75" customHeight="1">
      <c r="A118" s="231"/>
      <c r="B118" s="1432" t="s">
        <v>861</v>
      </c>
      <c r="C118" s="488" t="s">
        <v>14</v>
      </c>
      <c r="D118" s="505">
        <v>0.3</v>
      </c>
      <c r="E118" s="1424">
        <v>0</v>
      </c>
      <c r="F118" s="1424">
        <v>0.4</v>
      </c>
      <c r="G118" s="1424">
        <v>0</v>
      </c>
      <c r="H118" s="507">
        <v>0</v>
      </c>
      <c r="I118" s="1424">
        <v>0</v>
      </c>
      <c r="J118" s="506">
        <v>0</v>
      </c>
      <c r="K118" s="506">
        <v>0</v>
      </c>
      <c r="L118" s="506">
        <v>0</v>
      </c>
      <c r="M118" s="507">
        <v>0</v>
      </c>
      <c r="N118" s="783"/>
      <c r="O118" s="505">
        <v>0.7</v>
      </c>
      <c r="P118" s="506">
        <v>0</v>
      </c>
      <c r="Q118" s="507">
        <v>0.7</v>
      </c>
      <c r="R118" s="235"/>
      <c r="S118" s="505">
        <v>0</v>
      </c>
      <c r="T118" s="1367">
        <v>-1</v>
      </c>
    </row>
    <row r="119" spans="1:20" ht="15.75" customHeight="1">
      <c r="A119" s="231"/>
      <c r="B119" s="1431" t="s">
        <v>599</v>
      </c>
      <c r="C119" s="305"/>
      <c r="D119" s="1425"/>
      <c r="E119" s="1426"/>
      <c r="F119" s="1426"/>
      <c r="G119" s="1426"/>
      <c r="H119" s="1427"/>
      <c r="I119" s="1426"/>
      <c r="J119" s="1426"/>
      <c r="K119" s="1426"/>
      <c r="L119" s="1426"/>
      <c r="M119" s="1427"/>
      <c r="N119" s="783"/>
      <c r="O119" s="1425"/>
      <c r="P119" s="1426"/>
      <c r="Q119" s="1427"/>
      <c r="R119" s="235"/>
      <c r="S119" s="1425"/>
      <c r="T119" s="1427"/>
    </row>
    <row r="120" spans="1:20" ht="15.75" customHeight="1">
      <c r="A120" s="231"/>
      <c r="B120" s="995" t="s">
        <v>857</v>
      </c>
      <c r="C120" s="488" t="s">
        <v>14</v>
      </c>
      <c r="D120" s="280">
        <v>0</v>
      </c>
      <c r="E120" s="281">
        <v>0</v>
      </c>
      <c r="F120" s="281">
        <v>0</v>
      </c>
      <c r="G120" s="281">
        <v>0</v>
      </c>
      <c r="H120" s="282">
        <v>0</v>
      </c>
      <c r="I120" s="281">
        <v>0</v>
      </c>
      <c r="J120" s="283">
        <v>0</v>
      </c>
      <c r="K120" s="283">
        <v>0</v>
      </c>
      <c r="L120" s="283">
        <v>0</v>
      </c>
      <c r="M120" s="282">
        <v>0</v>
      </c>
      <c r="N120" s="783"/>
      <c r="O120" s="505">
        <v>0</v>
      </c>
      <c r="P120" s="506">
        <v>0</v>
      </c>
      <c r="Q120" s="507">
        <v>0</v>
      </c>
      <c r="R120" s="235"/>
      <c r="S120" s="505">
        <v>0</v>
      </c>
      <c r="T120" s="1367" t="s">
        <v>1023</v>
      </c>
    </row>
    <row r="121" spans="1:20" ht="15.75" customHeight="1">
      <c r="A121" s="231"/>
      <c r="B121" s="995" t="s">
        <v>142</v>
      </c>
      <c r="C121" s="488" t="s">
        <v>14</v>
      </c>
      <c r="D121" s="280">
        <v>0</v>
      </c>
      <c r="E121" s="281">
        <v>0</v>
      </c>
      <c r="F121" s="281">
        <v>0</v>
      </c>
      <c r="G121" s="281">
        <v>0</v>
      </c>
      <c r="H121" s="282">
        <v>0</v>
      </c>
      <c r="I121" s="281">
        <v>0</v>
      </c>
      <c r="J121" s="283">
        <v>0</v>
      </c>
      <c r="K121" s="283">
        <v>0</v>
      </c>
      <c r="L121" s="283">
        <v>0</v>
      </c>
      <c r="M121" s="282">
        <v>0</v>
      </c>
      <c r="N121" s="783"/>
      <c r="O121" s="505">
        <v>0</v>
      </c>
      <c r="P121" s="506">
        <v>0</v>
      </c>
      <c r="Q121" s="507">
        <v>0</v>
      </c>
      <c r="R121" s="235"/>
      <c r="S121" s="505">
        <v>0</v>
      </c>
      <c r="T121" s="1367" t="s">
        <v>1023</v>
      </c>
    </row>
    <row r="122" spans="1:20" ht="15.75" customHeight="1">
      <c r="A122" s="231"/>
      <c r="B122" s="1432" t="s">
        <v>694</v>
      </c>
      <c r="C122" s="488" t="s">
        <v>14</v>
      </c>
      <c r="D122" s="505">
        <v>0</v>
      </c>
      <c r="E122" s="1424">
        <v>0</v>
      </c>
      <c r="F122" s="1424">
        <v>0</v>
      </c>
      <c r="G122" s="1424">
        <v>0</v>
      </c>
      <c r="H122" s="507">
        <v>0</v>
      </c>
      <c r="I122" s="1424">
        <v>0</v>
      </c>
      <c r="J122" s="506">
        <v>0</v>
      </c>
      <c r="K122" s="506">
        <v>0</v>
      </c>
      <c r="L122" s="506">
        <v>0</v>
      </c>
      <c r="M122" s="507">
        <v>0</v>
      </c>
      <c r="N122" s="783"/>
      <c r="O122" s="505">
        <v>0</v>
      </c>
      <c r="P122" s="506">
        <v>0</v>
      </c>
      <c r="Q122" s="507">
        <v>0</v>
      </c>
      <c r="R122" s="235"/>
      <c r="S122" s="505">
        <v>0</v>
      </c>
      <c r="T122" s="1367" t="s">
        <v>1023</v>
      </c>
    </row>
    <row r="123" spans="1:20" ht="15.75" customHeight="1">
      <c r="A123" s="231"/>
      <c r="B123" s="1423"/>
      <c r="C123" s="488"/>
      <c r="D123" s="1425"/>
      <c r="E123" s="1426"/>
      <c r="F123" s="1426"/>
      <c r="G123" s="1426"/>
      <c r="H123" s="1427"/>
      <c r="I123" s="1426"/>
      <c r="J123" s="1426"/>
      <c r="K123" s="1426"/>
      <c r="L123" s="1426"/>
      <c r="M123" s="1427"/>
      <c r="N123" s="783"/>
      <c r="O123" s="1425"/>
      <c r="P123" s="1426"/>
      <c r="Q123" s="1427"/>
      <c r="R123" s="235"/>
      <c r="S123" s="1425"/>
      <c r="T123" s="1427"/>
    </row>
    <row r="124" spans="1:20" ht="15.75" customHeight="1">
      <c r="A124" s="231"/>
      <c r="B124" s="1431" t="s">
        <v>451</v>
      </c>
      <c r="C124" s="486" t="s">
        <v>14</v>
      </c>
      <c r="D124" s="1375">
        <v>47.9</v>
      </c>
      <c r="E124" s="1375">
        <v>34.199999999999996</v>
      </c>
      <c r="F124" s="1375">
        <v>74.400000000000006</v>
      </c>
      <c r="G124" s="1375">
        <v>47.7</v>
      </c>
      <c r="H124" s="1374">
        <v>49.6</v>
      </c>
      <c r="I124" s="1375">
        <v>50.599999999999994</v>
      </c>
      <c r="J124" s="1373">
        <v>53</v>
      </c>
      <c r="K124" s="1373">
        <v>56.9</v>
      </c>
      <c r="L124" s="1373">
        <v>60.2</v>
      </c>
      <c r="M124" s="1374">
        <v>63.6</v>
      </c>
      <c r="N124" s="801"/>
      <c r="O124" s="1372">
        <v>156.5</v>
      </c>
      <c r="P124" s="1373">
        <v>97.300000000000011</v>
      </c>
      <c r="Q124" s="1374">
        <v>253.79999999999998</v>
      </c>
      <c r="R124" s="1429"/>
      <c r="S124" s="1372">
        <v>284.3</v>
      </c>
      <c r="T124" s="1430">
        <v>0.12017336485421604</v>
      </c>
    </row>
    <row r="125" spans="1:20" ht="15.75" customHeight="1">
      <c r="A125" s="231"/>
      <c r="B125" s="1431" t="s">
        <v>452</v>
      </c>
      <c r="C125" s="486" t="s">
        <v>14</v>
      </c>
      <c r="D125" s="280">
        <v>12.7</v>
      </c>
      <c r="E125" s="281">
        <v>16.3</v>
      </c>
      <c r="F125" s="281">
        <v>7.4</v>
      </c>
      <c r="G125" s="281">
        <v>2.6</v>
      </c>
      <c r="H125" s="282">
        <v>4.5</v>
      </c>
      <c r="I125" s="281">
        <v>5.7</v>
      </c>
      <c r="J125" s="283">
        <v>5.9</v>
      </c>
      <c r="K125" s="283">
        <v>6.3</v>
      </c>
      <c r="L125" s="283">
        <v>6.7</v>
      </c>
      <c r="M125" s="282">
        <v>7</v>
      </c>
      <c r="N125" s="801"/>
      <c r="O125" s="1372">
        <v>36.4</v>
      </c>
      <c r="P125" s="1373">
        <v>7.1</v>
      </c>
      <c r="Q125" s="1374">
        <v>43.5</v>
      </c>
      <c r="R125" s="1429"/>
      <c r="S125" s="1372">
        <v>31.6</v>
      </c>
      <c r="T125" s="1430">
        <v>-0.27356321839080455</v>
      </c>
    </row>
    <row r="126" spans="1:20" ht="15.75" customHeight="1">
      <c r="A126" s="231"/>
      <c r="B126" s="1431" t="s">
        <v>453</v>
      </c>
      <c r="C126" s="486" t="s">
        <v>14</v>
      </c>
      <c r="D126" s="1372">
        <v>60.599999999999994</v>
      </c>
      <c r="E126" s="1375">
        <v>50.5</v>
      </c>
      <c r="F126" s="1375">
        <v>81.800000000000011</v>
      </c>
      <c r="G126" s="1375">
        <v>50.300000000000004</v>
      </c>
      <c r="H126" s="1374">
        <v>54.1</v>
      </c>
      <c r="I126" s="1375">
        <v>56.3</v>
      </c>
      <c r="J126" s="1373">
        <v>58.9</v>
      </c>
      <c r="K126" s="1373">
        <v>63.199999999999996</v>
      </c>
      <c r="L126" s="1373">
        <v>66.900000000000006</v>
      </c>
      <c r="M126" s="1374">
        <v>70.599999999999994</v>
      </c>
      <c r="N126" s="801"/>
      <c r="O126" s="1372">
        <v>192.9</v>
      </c>
      <c r="P126" s="1373">
        <v>104.4</v>
      </c>
      <c r="Q126" s="1374">
        <v>297.3</v>
      </c>
      <c r="R126" s="1429"/>
      <c r="S126" s="1372">
        <v>315.89999999999998</v>
      </c>
      <c r="T126" s="1430">
        <v>6.2563067608476172E-2</v>
      </c>
    </row>
    <row r="127" spans="1:20" ht="15.75" customHeight="1">
      <c r="A127" s="231"/>
      <c r="B127" s="1431"/>
      <c r="C127" s="297"/>
      <c r="D127" s="1433"/>
      <c r="E127" s="1434"/>
      <c r="F127" s="1434"/>
      <c r="G127" s="1434"/>
      <c r="H127" s="1435"/>
      <c r="I127" s="1434"/>
      <c r="J127" s="1434"/>
      <c r="K127" s="1434"/>
      <c r="L127" s="1434"/>
      <c r="M127" s="1435"/>
      <c r="N127" s="783"/>
      <c r="O127" s="1425"/>
      <c r="P127" s="1426"/>
      <c r="Q127" s="1427"/>
      <c r="R127" s="235"/>
      <c r="S127" s="1425"/>
      <c r="T127" s="1427"/>
    </row>
    <row r="128" spans="1:20" ht="15.75" customHeight="1" thickBot="1">
      <c r="A128" s="231"/>
      <c r="B128" s="1436" t="s">
        <v>484</v>
      </c>
      <c r="C128" s="487" t="s">
        <v>14</v>
      </c>
      <c r="D128" s="776">
        <v>-6.369416693384224</v>
      </c>
      <c r="E128" s="776">
        <v>-11.662098602409635</v>
      </c>
      <c r="F128" s="776">
        <v>9.8745495078707393</v>
      </c>
      <c r="G128" s="776">
        <v>10.326197243589739</v>
      </c>
      <c r="H128" s="777">
        <v>11.582752663900401</v>
      </c>
      <c r="I128" s="776">
        <v>11.534798536622972</v>
      </c>
      <c r="J128" s="778">
        <v>10.05687923552123</v>
      </c>
      <c r="K128" s="778">
        <v>10.353938336271192</v>
      </c>
      <c r="L128" s="778">
        <v>10.372654105263152</v>
      </c>
      <c r="M128" s="777">
        <v>10.748229883553421</v>
      </c>
      <c r="N128" s="801"/>
      <c r="O128" s="775">
        <v>-8.1569657879231201</v>
      </c>
      <c r="P128" s="778">
        <v>21.90894990749014</v>
      </c>
      <c r="Q128" s="777">
        <v>13.75198411956702</v>
      </c>
      <c r="R128" s="1429"/>
      <c r="S128" s="775">
        <v>53.066500097231966</v>
      </c>
      <c r="T128" s="1437">
        <v>2.8588249983306961</v>
      </c>
    </row>
    <row r="129" spans="1:20">
      <c r="A129" s="231"/>
      <c r="B129" s="231"/>
      <c r="C129" s="291"/>
      <c r="D129" s="784"/>
      <c r="E129" s="784"/>
      <c r="F129" s="784"/>
      <c r="G129" s="784"/>
      <c r="H129" s="784"/>
      <c r="I129" s="784"/>
      <c r="J129" s="784"/>
      <c r="K129" s="784"/>
      <c r="L129" s="784"/>
      <c r="M129" s="784"/>
      <c r="N129" s="784"/>
      <c r="O129" s="784"/>
      <c r="P129" s="784"/>
      <c r="Q129" s="784"/>
      <c r="R129" s="784"/>
      <c r="S129" s="784"/>
      <c r="T129" s="784"/>
    </row>
    <row r="130" spans="1:20" ht="13.5" thickBot="1">
      <c r="A130" s="231"/>
      <c r="B130" s="231"/>
      <c r="C130" s="291"/>
      <c r="D130" s="784"/>
      <c r="E130" s="784"/>
      <c r="F130" s="784"/>
      <c r="G130" s="784"/>
      <c r="H130" s="784"/>
      <c r="I130" s="784"/>
      <c r="J130" s="784"/>
      <c r="K130" s="784"/>
      <c r="L130" s="784"/>
      <c r="M130" s="784"/>
      <c r="N130" s="784"/>
      <c r="O130" s="784"/>
      <c r="P130" s="784"/>
      <c r="Q130" s="784"/>
      <c r="R130" s="784"/>
      <c r="S130" s="784"/>
      <c r="T130" s="784"/>
    </row>
    <row r="131" spans="1:20">
      <c r="A131" s="231"/>
      <c r="B131" s="1894"/>
      <c r="C131" s="1896" t="s">
        <v>31</v>
      </c>
      <c r="D131" s="785" t="s">
        <v>116</v>
      </c>
      <c r="E131" s="786"/>
      <c r="F131" s="786"/>
      <c r="G131" s="786"/>
      <c r="H131" s="787"/>
      <c r="I131" s="786" t="s">
        <v>117</v>
      </c>
      <c r="J131" s="788"/>
      <c r="K131" s="788"/>
      <c r="L131" s="788"/>
      <c r="M131" s="787"/>
      <c r="N131" s="783"/>
      <c r="O131" s="811" t="s">
        <v>116</v>
      </c>
      <c r="P131" s="812"/>
      <c r="Q131" s="813"/>
      <c r="R131" s="783"/>
      <c r="S131" s="811" t="s">
        <v>117</v>
      </c>
      <c r="T131" s="813"/>
    </row>
    <row r="132" spans="1:20" ht="25.5">
      <c r="A132" s="231"/>
      <c r="B132" s="1895"/>
      <c r="C132" s="1897"/>
      <c r="D132" s="789" t="s">
        <v>32</v>
      </c>
      <c r="E132" s="790" t="s">
        <v>33</v>
      </c>
      <c r="F132" s="790" t="s">
        <v>29</v>
      </c>
      <c r="G132" s="790" t="s">
        <v>34</v>
      </c>
      <c r="H132" s="791" t="s">
        <v>35</v>
      </c>
      <c r="I132" s="792" t="s">
        <v>118</v>
      </c>
      <c r="J132" s="790" t="s">
        <v>136</v>
      </c>
      <c r="K132" s="790" t="s">
        <v>137</v>
      </c>
      <c r="L132" s="790" t="s">
        <v>138</v>
      </c>
      <c r="M132" s="791" t="s">
        <v>139</v>
      </c>
      <c r="N132" s="783"/>
      <c r="O132" s="814" t="s">
        <v>126</v>
      </c>
      <c r="P132" s="815" t="s">
        <v>127</v>
      </c>
      <c r="Q132" s="816" t="s">
        <v>245</v>
      </c>
      <c r="R132" s="783"/>
      <c r="S132" s="814" t="s">
        <v>127</v>
      </c>
      <c r="T132" s="816" t="s">
        <v>128</v>
      </c>
    </row>
    <row r="133" spans="1:20" s="852" customFormat="1" ht="15.75" customHeight="1">
      <c r="A133" s="980"/>
      <c r="B133" s="984" t="s">
        <v>485</v>
      </c>
      <c r="C133" s="985" t="s">
        <v>14</v>
      </c>
      <c r="D133" s="1363">
        <v>5.0651517863320379</v>
      </c>
      <c r="E133" s="1364">
        <v>3.5707367555143676</v>
      </c>
      <c r="F133" s="1364">
        <v>9.8550149718733593</v>
      </c>
      <c r="G133" s="1364">
        <v>5.428514551282051</v>
      </c>
      <c r="H133" s="1365">
        <v>2.7223579087136933</v>
      </c>
      <c r="I133" s="1364">
        <v>2.7169039845797993</v>
      </c>
      <c r="J133" s="1366">
        <v>2.8976275969111978</v>
      </c>
      <c r="K133" s="1366">
        <v>3.2746187606779671</v>
      </c>
      <c r="L133" s="1366">
        <v>3.4563958105263151</v>
      </c>
      <c r="M133" s="1365">
        <v>3.72902424669868</v>
      </c>
      <c r="N133" s="784"/>
      <c r="O133" s="1438">
        <v>18.490903513719765</v>
      </c>
      <c r="P133" s="1439">
        <v>8.1508724599957443</v>
      </c>
      <c r="Q133" s="1440">
        <v>26.641775973715507</v>
      </c>
      <c r="R133" s="235"/>
      <c r="S133" s="1438">
        <v>16.074570399393959</v>
      </c>
      <c r="T133" s="1441">
        <v>-0.3966404336087444</v>
      </c>
    </row>
    <row r="134" spans="1:20" s="852" customFormat="1" ht="15.75" customHeight="1">
      <c r="A134" s="980"/>
      <c r="B134" s="984" t="s">
        <v>360</v>
      </c>
      <c r="C134" s="985" t="s">
        <v>14</v>
      </c>
      <c r="D134" s="1368">
        <v>1.2663658035193084</v>
      </c>
      <c r="E134" s="1369">
        <v>0.86799591696014833</v>
      </c>
      <c r="F134" s="1369">
        <v>7.2210064652169592</v>
      </c>
      <c r="G134" s="1369">
        <v>7.6496454700854688</v>
      </c>
      <c r="H134" s="1370">
        <v>13.578802589211616</v>
      </c>
      <c r="I134" s="1369">
        <v>14.75764698997687</v>
      </c>
      <c r="J134" s="1371">
        <v>13.347613598455599</v>
      </c>
      <c r="K134" s="1371">
        <v>13.725859389830509</v>
      </c>
      <c r="L134" s="1371">
        <v>14.008838578947369</v>
      </c>
      <c r="M134" s="1370">
        <v>14.481358279111644</v>
      </c>
      <c r="N134" s="784"/>
      <c r="O134" s="505">
        <v>9.3553681856964168</v>
      </c>
      <c r="P134" s="506">
        <v>21.228448059297087</v>
      </c>
      <c r="Q134" s="507">
        <v>30.583816244993503</v>
      </c>
      <c r="R134" s="235"/>
      <c r="S134" s="505">
        <v>70.321316836321984</v>
      </c>
      <c r="T134" s="1367">
        <v>1.2992983044695547</v>
      </c>
    </row>
    <row r="135" spans="1:20" s="852" customFormat="1" ht="15.75" customHeight="1">
      <c r="A135" s="980"/>
      <c r="B135" s="984" t="s">
        <v>489</v>
      </c>
      <c r="C135" s="985" t="s">
        <v>14</v>
      </c>
      <c r="D135" s="1368">
        <v>-9.3428323557476212E-4</v>
      </c>
      <c r="E135" s="1369">
        <v>0.19916872511584802</v>
      </c>
      <c r="F135" s="1369">
        <v>0.1985280707804401</v>
      </c>
      <c r="G135" s="1369">
        <v>0</v>
      </c>
      <c r="H135" s="1370">
        <v>0</v>
      </c>
      <c r="I135" s="1369">
        <v>0</v>
      </c>
      <c r="J135" s="1371">
        <v>0</v>
      </c>
      <c r="K135" s="1371">
        <v>0</v>
      </c>
      <c r="L135" s="1371">
        <v>0</v>
      </c>
      <c r="M135" s="1370">
        <v>0</v>
      </c>
      <c r="N135" s="784"/>
      <c r="O135" s="505">
        <v>0.39676251266071338</v>
      </c>
      <c r="P135" s="506">
        <v>0</v>
      </c>
      <c r="Q135" s="507">
        <v>0.39676251266071338</v>
      </c>
      <c r="R135" s="235"/>
      <c r="S135" s="505">
        <v>0</v>
      </c>
      <c r="T135" s="1367">
        <v>-1</v>
      </c>
    </row>
    <row r="136" spans="1:20" s="852" customFormat="1" ht="15.75" customHeight="1" thickBot="1">
      <c r="A136" s="980"/>
      <c r="B136" s="986" t="s">
        <v>490</v>
      </c>
      <c r="C136" s="987" t="s">
        <v>14</v>
      </c>
      <c r="D136" s="1442">
        <v>0</v>
      </c>
      <c r="E136" s="1443">
        <v>0</v>
      </c>
      <c r="F136" s="1443">
        <v>0</v>
      </c>
      <c r="G136" s="1443">
        <v>0</v>
      </c>
      <c r="H136" s="1444">
        <v>0</v>
      </c>
      <c r="I136" s="1443">
        <v>0</v>
      </c>
      <c r="J136" s="1445">
        <v>0</v>
      </c>
      <c r="K136" s="1445">
        <v>0</v>
      </c>
      <c r="L136" s="1445">
        <v>0</v>
      </c>
      <c r="M136" s="1444">
        <v>0</v>
      </c>
      <c r="N136" s="784"/>
      <c r="O136" s="1376">
        <v>0</v>
      </c>
      <c r="P136" s="1377">
        <v>0</v>
      </c>
      <c r="Q136" s="1378">
        <v>0</v>
      </c>
      <c r="R136" s="235"/>
      <c r="S136" s="1376">
        <v>0</v>
      </c>
      <c r="T136" s="1379" t="s">
        <v>1023</v>
      </c>
    </row>
    <row r="137" spans="1:20">
      <c r="A137" s="306"/>
      <c r="B137" s="491"/>
      <c r="C137" s="307"/>
      <c r="D137" s="298"/>
      <c r="E137" s="298"/>
      <c r="F137" s="298"/>
      <c r="G137" s="298"/>
      <c r="H137" s="298"/>
      <c r="I137" s="298"/>
      <c r="J137" s="298"/>
      <c r="K137" s="298"/>
      <c r="L137" s="298"/>
      <c r="M137" s="298"/>
      <c r="N137" s="298"/>
      <c r="O137" s="295"/>
      <c r="P137" s="295"/>
      <c r="Q137" s="295"/>
      <c r="R137" s="295"/>
      <c r="S137" s="295"/>
      <c r="T137" s="295"/>
    </row>
    <row r="138" spans="1:20">
      <c r="A138" s="231"/>
      <c r="B138" s="231"/>
      <c r="C138" s="291"/>
      <c r="D138" s="295"/>
      <c r="E138" s="295"/>
      <c r="F138" s="295"/>
      <c r="G138" s="295"/>
      <c r="H138" s="295"/>
      <c r="I138" s="295"/>
      <c r="J138" s="295"/>
      <c r="K138" s="295"/>
      <c r="L138" s="295"/>
      <c r="M138" s="295"/>
      <c r="N138" s="295"/>
      <c r="O138" s="295"/>
      <c r="P138" s="295"/>
      <c r="Q138" s="295"/>
      <c r="R138" s="295"/>
      <c r="S138" s="295"/>
      <c r="T138" s="295"/>
    </row>
    <row r="139" spans="1:20">
      <c r="A139" s="231"/>
      <c r="B139" s="231"/>
      <c r="C139" s="291"/>
      <c r="D139" s="295"/>
      <c r="E139" s="295"/>
      <c r="F139" s="295"/>
      <c r="G139" s="295"/>
      <c r="H139" s="295"/>
      <c r="I139" s="295"/>
      <c r="J139" s="295"/>
      <c r="K139" s="295"/>
      <c r="L139" s="295"/>
      <c r="M139" s="295"/>
      <c r="N139" s="295"/>
      <c r="O139" s="295"/>
      <c r="P139" s="295"/>
      <c r="Q139" s="295"/>
      <c r="R139" s="295"/>
      <c r="S139" s="295"/>
      <c r="T139" s="295"/>
    </row>
    <row r="140" spans="1:20">
      <c r="A140" s="231"/>
      <c r="B140" s="231"/>
      <c r="C140" s="291"/>
      <c r="D140" s="295"/>
      <c r="E140" s="295"/>
      <c r="F140" s="295"/>
      <c r="G140" s="295"/>
      <c r="H140" s="295"/>
      <c r="I140" s="295"/>
      <c r="J140" s="295"/>
      <c r="K140" s="295"/>
      <c r="L140" s="295"/>
      <c r="M140" s="295"/>
      <c r="N140" s="295"/>
      <c r="O140" s="295"/>
      <c r="P140" s="295"/>
      <c r="Q140" s="295"/>
      <c r="R140" s="295"/>
      <c r="S140" s="295"/>
      <c r="T140" s="295"/>
    </row>
    <row r="141" spans="1:20">
      <c r="A141" s="231"/>
      <c r="B141" s="231"/>
      <c r="C141" s="291"/>
      <c r="D141" s="295"/>
      <c r="E141" s="295"/>
      <c r="F141" s="295"/>
      <c r="G141" s="295"/>
      <c r="H141" s="295"/>
      <c r="I141" s="295"/>
      <c r="J141" s="295"/>
      <c r="K141" s="295"/>
      <c r="L141" s="295"/>
      <c r="M141" s="295"/>
      <c r="N141" s="295"/>
      <c r="O141" s="295"/>
      <c r="P141" s="295"/>
      <c r="Q141" s="295"/>
      <c r="R141" s="295"/>
      <c r="S141" s="295"/>
      <c r="T141" s="295"/>
    </row>
    <row r="142" spans="1:20">
      <c r="A142" s="231"/>
      <c r="B142" s="231"/>
      <c r="C142" s="291"/>
      <c r="D142" s="295"/>
      <c r="E142" s="295"/>
      <c r="F142" s="295"/>
      <c r="G142" s="295"/>
      <c r="H142" s="295"/>
      <c r="I142" s="295"/>
      <c r="J142" s="295"/>
      <c r="K142" s="295"/>
      <c r="L142" s="295"/>
      <c r="M142" s="295"/>
      <c r="N142" s="295"/>
      <c r="O142" s="295"/>
      <c r="P142" s="295"/>
      <c r="Q142" s="295"/>
      <c r="R142" s="295"/>
      <c r="S142" s="295"/>
      <c r="T142" s="295"/>
    </row>
    <row r="143" spans="1:20">
      <c r="A143" s="231"/>
      <c r="B143" s="231"/>
      <c r="C143" s="291"/>
      <c r="D143" s="295"/>
      <c r="E143" s="295"/>
      <c r="F143" s="295"/>
      <c r="G143" s="295"/>
      <c r="H143" s="295"/>
      <c r="I143" s="295"/>
      <c r="J143" s="295"/>
      <c r="K143" s="295"/>
      <c r="L143" s="295"/>
      <c r="M143" s="295"/>
      <c r="N143" s="295"/>
      <c r="O143" s="295"/>
      <c r="P143" s="295"/>
      <c r="Q143" s="295"/>
      <c r="R143" s="295"/>
      <c r="S143" s="295"/>
      <c r="T143" s="295"/>
    </row>
    <row r="144" spans="1:20">
      <c r="A144" s="231"/>
      <c r="B144" s="231"/>
      <c r="C144" s="291"/>
      <c r="D144" s="295"/>
      <c r="E144" s="295"/>
      <c r="F144" s="295"/>
      <c r="G144" s="295"/>
      <c r="H144" s="295"/>
      <c r="I144" s="295"/>
      <c r="J144" s="295"/>
      <c r="K144" s="295"/>
      <c r="L144" s="295"/>
      <c r="M144" s="295"/>
      <c r="N144" s="295"/>
      <c r="O144" s="295"/>
      <c r="P144" s="295"/>
      <c r="Q144" s="295"/>
      <c r="R144" s="295"/>
      <c r="S144" s="295"/>
      <c r="T144" s="295"/>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election activeCell="F1" sqref="A1:XFD1048576"/>
    </sheetView>
  </sheetViews>
  <sheetFormatPr defaultColWidth="10.28515625" defaultRowHeight="12.75"/>
  <cols>
    <col min="1" max="1" width="3.7109375" style="556" customWidth="1"/>
    <col min="2" max="2" width="105.28515625" style="556" customWidth="1"/>
    <col min="3" max="3" width="7.42578125" style="557" customWidth="1"/>
    <col min="4" max="8" width="10" style="558" customWidth="1"/>
    <col min="9" max="13" width="10.28515625" style="558" customWidth="1"/>
    <col min="14" max="14" width="3.140625" style="558" customWidth="1"/>
    <col min="15" max="17" width="10.28515625" style="558" customWidth="1"/>
    <col min="18" max="18" width="3.140625" style="558" customWidth="1"/>
    <col min="19" max="19" width="10.28515625" style="558" customWidth="1"/>
    <col min="20" max="20" width="13" style="558" customWidth="1"/>
    <col min="21" max="16384" width="10.28515625" style="556"/>
  </cols>
  <sheetData>
    <row r="1" spans="1:30" s="547" customFormat="1" ht="26.25">
      <c r="A1" s="541" t="s">
        <v>852</v>
      </c>
      <c r="B1" s="542"/>
      <c r="C1" s="543"/>
      <c r="D1" s="544"/>
      <c r="E1" s="544"/>
      <c r="F1" s="544"/>
      <c r="G1" s="544"/>
      <c r="H1" s="544"/>
      <c r="I1" s="544"/>
      <c r="J1" s="545"/>
      <c r="K1" s="546"/>
      <c r="L1" s="546"/>
      <c r="M1" s="545"/>
      <c r="N1" s="545"/>
      <c r="O1" s="546"/>
      <c r="P1" s="545"/>
      <c r="Q1" s="545"/>
      <c r="R1" s="545"/>
      <c r="S1" s="545"/>
      <c r="T1" s="545"/>
      <c r="Y1" s="548"/>
      <c r="Z1" s="548"/>
      <c r="AA1" s="548"/>
      <c r="AB1" s="548"/>
      <c r="AC1" s="548"/>
      <c r="AD1" s="548"/>
    </row>
    <row r="2" spans="1:30" s="547" customFormat="1" ht="18">
      <c r="A2" s="549"/>
      <c r="C2" s="550"/>
      <c r="D2" s="545"/>
      <c r="E2" s="545"/>
      <c r="F2" s="545"/>
      <c r="G2" s="545"/>
      <c r="H2" s="545"/>
      <c r="I2" s="545"/>
      <c r="J2" s="545"/>
      <c r="K2" s="545"/>
      <c r="L2" s="545"/>
      <c r="M2" s="545"/>
      <c r="N2" s="545"/>
      <c r="O2" s="545"/>
      <c r="P2" s="545"/>
      <c r="Q2" s="545"/>
      <c r="R2" s="545"/>
      <c r="S2" s="545"/>
      <c r="T2" s="545"/>
      <c r="Y2" s="548"/>
      <c r="Z2" s="548"/>
      <c r="AA2" s="548"/>
      <c r="AB2" s="548"/>
      <c r="AC2" s="548"/>
      <c r="AD2" s="548"/>
    </row>
    <row r="3" spans="1:30" s="552" customFormat="1" ht="18.75" thickBot="1">
      <c r="A3" s="551" t="s">
        <v>254</v>
      </c>
      <c r="C3" s="553"/>
      <c r="D3" s="554"/>
      <c r="E3" s="554"/>
      <c r="F3" s="554"/>
      <c r="G3" s="554"/>
      <c r="H3" s="554"/>
      <c r="I3" s="554"/>
      <c r="J3" s="554"/>
      <c r="K3" s="554"/>
      <c r="L3" s="554"/>
      <c r="M3" s="554"/>
      <c r="N3" s="554"/>
      <c r="O3" s="554"/>
      <c r="P3" s="554"/>
      <c r="Q3" s="554"/>
      <c r="R3" s="554"/>
      <c r="S3" s="554"/>
      <c r="T3" s="554"/>
      <c r="Y3" s="555"/>
      <c r="Z3" s="555"/>
      <c r="AA3" s="555"/>
      <c r="AB3" s="555"/>
      <c r="AC3" s="555"/>
      <c r="AD3" s="555"/>
    </row>
    <row r="4" spans="1:30">
      <c r="R4" s="559"/>
    </row>
    <row r="5" spans="1:30">
      <c r="D5" s="556"/>
      <c r="E5" s="556"/>
      <c r="F5" s="556"/>
      <c r="G5" s="556"/>
      <c r="H5" s="556"/>
      <c r="I5" s="556"/>
      <c r="J5" s="556"/>
      <c r="K5" s="556"/>
      <c r="L5" s="556"/>
      <c r="M5" s="556"/>
      <c r="N5" s="556"/>
      <c r="O5" s="556"/>
      <c r="P5" s="556"/>
      <c r="Q5" s="556"/>
      <c r="R5" s="559"/>
      <c r="S5" s="556"/>
      <c r="T5" s="556"/>
    </row>
    <row r="6" spans="1:30">
      <c r="B6" s="1446" t="s">
        <v>255</v>
      </c>
      <c r="D6" s="556"/>
      <c r="E6" s="556"/>
      <c r="F6" s="556"/>
      <c r="G6" s="556"/>
      <c r="H6" s="556"/>
      <c r="I6" s="556"/>
      <c r="J6" s="556"/>
      <c r="K6" s="556"/>
      <c r="L6" s="556"/>
      <c r="M6" s="556"/>
      <c r="N6" s="556"/>
      <c r="O6" s="556"/>
      <c r="P6" s="556"/>
      <c r="Q6" s="556"/>
      <c r="R6" s="559"/>
      <c r="S6" s="556"/>
      <c r="T6" s="556"/>
    </row>
    <row r="7" spans="1:30" ht="13.5" thickBot="1">
      <c r="D7" s="556"/>
      <c r="E7" s="556"/>
      <c r="F7" s="556"/>
      <c r="G7" s="556"/>
      <c r="H7" s="556"/>
      <c r="I7" s="556"/>
      <c r="J7" s="556"/>
      <c r="K7" s="556"/>
      <c r="L7" s="556"/>
      <c r="M7" s="556"/>
      <c r="N7" s="556"/>
      <c r="O7" s="556"/>
      <c r="P7" s="556"/>
      <c r="Q7" s="556"/>
      <c r="R7" s="559"/>
      <c r="S7" s="556"/>
      <c r="T7" s="556"/>
    </row>
    <row r="8" spans="1:30">
      <c r="B8" s="1447"/>
      <c r="C8" s="1900" t="s">
        <v>31</v>
      </c>
      <c r="D8" s="1448" t="s">
        <v>116</v>
      </c>
      <c r="E8" s="1449"/>
      <c r="F8" s="1449"/>
      <c r="G8" s="1449"/>
      <c r="H8" s="560"/>
      <c r="I8" s="1449" t="s">
        <v>117</v>
      </c>
      <c r="J8" s="561"/>
      <c r="K8" s="561"/>
      <c r="L8" s="561"/>
      <c r="M8" s="560"/>
      <c r="N8" s="556"/>
      <c r="O8" s="1450" t="s">
        <v>116</v>
      </c>
      <c r="P8" s="1451"/>
      <c r="Q8" s="1452"/>
      <c r="R8" s="559"/>
      <c r="S8" s="1450" t="s">
        <v>117</v>
      </c>
      <c r="T8" s="1452"/>
    </row>
    <row r="9" spans="1:30">
      <c r="B9" s="562"/>
      <c r="C9" s="1901"/>
      <c r="D9" s="1453" t="s">
        <v>32</v>
      </c>
      <c r="E9" s="1454" t="s">
        <v>33</v>
      </c>
      <c r="F9" s="1454" t="s">
        <v>29</v>
      </c>
      <c r="G9" s="1454" t="s">
        <v>34</v>
      </c>
      <c r="H9" s="1455" t="s">
        <v>35</v>
      </c>
      <c r="I9" s="1456" t="s">
        <v>118</v>
      </c>
      <c r="J9" s="1454" t="s">
        <v>136</v>
      </c>
      <c r="K9" s="1454" t="s">
        <v>137</v>
      </c>
      <c r="L9" s="1454" t="s">
        <v>138</v>
      </c>
      <c r="M9" s="1455" t="s">
        <v>139</v>
      </c>
      <c r="N9" s="556"/>
      <c r="O9" s="1457" t="s">
        <v>126</v>
      </c>
      <c r="P9" s="1458" t="s">
        <v>127</v>
      </c>
      <c r="Q9" s="1459" t="s">
        <v>245</v>
      </c>
      <c r="R9" s="559"/>
      <c r="S9" s="1457" t="s">
        <v>127</v>
      </c>
      <c r="T9" s="1459" t="s">
        <v>128</v>
      </c>
    </row>
    <row r="10" spans="1:30">
      <c r="B10" s="563" t="s">
        <v>256</v>
      </c>
      <c r="C10" s="1460" t="s">
        <v>14</v>
      </c>
      <c r="D10" s="1461">
        <f t="shared" ref="D10:M10" si="0">SUM(D178,D217,D240)</f>
        <v>0</v>
      </c>
      <c r="E10" s="1461">
        <f t="shared" si="0"/>
        <v>0</v>
      </c>
      <c r="F10" s="1461">
        <f t="shared" si="0"/>
        <v>0</v>
      </c>
      <c r="G10" s="1461">
        <f t="shared" si="0"/>
        <v>0</v>
      </c>
      <c r="H10" s="1462">
        <f t="shared" si="0"/>
        <v>0</v>
      </c>
      <c r="I10" s="1461">
        <f t="shared" si="0"/>
        <v>0</v>
      </c>
      <c r="J10" s="1463">
        <f t="shared" si="0"/>
        <v>0</v>
      </c>
      <c r="K10" s="1463">
        <f t="shared" si="0"/>
        <v>0</v>
      </c>
      <c r="L10" s="1463">
        <f t="shared" si="0"/>
        <v>0</v>
      </c>
      <c r="M10" s="1462">
        <f t="shared" si="0"/>
        <v>0</v>
      </c>
      <c r="N10" s="556"/>
      <c r="O10" s="564">
        <f t="shared" ref="O10:O15" si="1">SUM(D10:G10)</f>
        <v>0</v>
      </c>
      <c r="P10" s="565">
        <f t="shared" ref="P10:P15" si="2">SUM(H10)</f>
        <v>0</v>
      </c>
      <c r="Q10" s="566">
        <f t="shared" ref="Q10:Q15" si="3">SUM(D10:H10)</f>
        <v>0</v>
      </c>
      <c r="R10" s="559"/>
      <c r="S10" s="564">
        <f t="shared" ref="S10:S15" si="4">SUM(I10:M10)</f>
        <v>0</v>
      </c>
      <c r="T10" s="1367" t="str">
        <f t="shared" ref="T10:T15" si="5">IF(Q10&lt;&gt;0,(S10-Q10)/Q10,"0")</f>
        <v>0</v>
      </c>
    </row>
    <row r="11" spans="1:30">
      <c r="B11" s="563" t="s">
        <v>257</v>
      </c>
      <c r="C11" s="1460" t="s">
        <v>14</v>
      </c>
      <c r="D11" s="1464">
        <f t="shared" ref="D11:M11" si="6">D240</f>
        <v>0</v>
      </c>
      <c r="E11" s="1461">
        <f t="shared" si="6"/>
        <v>0</v>
      </c>
      <c r="F11" s="1461">
        <f t="shared" si="6"/>
        <v>0</v>
      </c>
      <c r="G11" s="1461">
        <f t="shared" si="6"/>
        <v>0</v>
      </c>
      <c r="H11" s="1462">
        <f t="shared" si="6"/>
        <v>0</v>
      </c>
      <c r="I11" s="1461">
        <f t="shared" si="6"/>
        <v>0</v>
      </c>
      <c r="J11" s="1463">
        <f t="shared" si="6"/>
        <v>0</v>
      </c>
      <c r="K11" s="1463">
        <f t="shared" si="6"/>
        <v>0</v>
      </c>
      <c r="L11" s="1463">
        <f t="shared" si="6"/>
        <v>0</v>
      </c>
      <c r="M11" s="1462">
        <f t="shared" si="6"/>
        <v>0</v>
      </c>
      <c r="N11" s="556"/>
      <c r="O11" s="564">
        <f t="shared" si="1"/>
        <v>0</v>
      </c>
      <c r="P11" s="565">
        <f t="shared" si="2"/>
        <v>0</v>
      </c>
      <c r="Q11" s="566">
        <f t="shared" si="3"/>
        <v>0</v>
      </c>
      <c r="R11" s="559"/>
      <c r="S11" s="564">
        <f t="shared" si="4"/>
        <v>0</v>
      </c>
      <c r="T11" s="1367" t="str">
        <f t="shared" si="5"/>
        <v>0</v>
      </c>
    </row>
    <row r="12" spans="1:30">
      <c r="B12" s="567" t="s">
        <v>258</v>
      </c>
      <c r="C12" s="1460" t="s">
        <v>14</v>
      </c>
      <c r="D12" s="1464">
        <f t="shared" ref="D12:M12" si="7">D263</f>
        <v>0</v>
      </c>
      <c r="E12" s="1461">
        <f t="shared" si="7"/>
        <v>0</v>
      </c>
      <c r="F12" s="1461">
        <f t="shared" si="7"/>
        <v>0</v>
      </c>
      <c r="G12" s="1461">
        <f t="shared" si="7"/>
        <v>0</v>
      </c>
      <c r="H12" s="1462">
        <f t="shared" si="7"/>
        <v>0</v>
      </c>
      <c r="I12" s="1461">
        <f t="shared" si="7"/>
        <v>0</v>
      </c>
      <c r="J12" s="1463">
        <f t="shared" si="7"/>
        <v>0</v>
      </c>
      <c r="K12" s="1463">
        <f t="shared" si="7"/>
        <v>0</v>
      </c>
      <c r="L12" s="1463">
        <f t="shared" si="7"/>
        <v>0</v>
      </c>
      <c r="M12" s="1462">
        <f t="shared" si="7"/>
        <v>0</v>
      </c>
      <c r="N12" s="556"/>
      <c r="O12" s="564">
        <f t="shared" si="1"/>
        <v>0</v>
      </c>
      <c r="P12" s="565">
        <f t="shared" si="2"/>
        <v>0</v>
      </c>
      <c r="Q12" s="566">
        <f t="shared" si="3"/>
        <v>0</v>
      </c>
      <c r="R12" s="559"/>
      <c r="S12" s="564">
        <f t="shared" si="4"/>
        <v>0</v>
      </c>
      <c r="T12" s="1367" t="str">
        <f t="shared" si="5"/>
        <v>0</v>
      </c>
    </row>
    <row r="13" spans="1:30">
      <c r="B13" s="563" t="s">
        <v>259</v>
      </c>
      <c r="C13" s="1460" t="s">
        <v>14</v>
      </c>
      <c r="D13" s="1465">
        <f t="shared" ref="D13:M13" si="8">D11-D12</f>
        <v>0</v>
      </c>
      <c r="E13" s="1466">
        <f t="shared" si="8"/>
        <v>0</v>
      </c>
      <c r="F13" s="1466">
        <f t="shared" si="8"/>
        <v>0</v>
      </c>
      <c r="G13" s="1466">
        <f t="shared" si="8"/>
        <v>0</v>
      </c>
      <c r="H13" s="1467">
        <f t="shared" si="8"/>
        <v>0</v>
      </c>
      <c r="I13" s="1468">
        <f t="shared" si="8"/>
        <v>0</v>
      </c>
      <c r="J13" s="1466">
        <f t="shared" si="8"/>
        <v>0</v>
      </c>
      <c r="K13" s="1466">
        <f t="shared" si="8"/>
        <v>0</v>
      </c>
      <c r="L13" s="1466">
        <f t="shared" si="8"/>
        <v>0</v>
      </c>
      <c r="M13" s="1467">
        <f t="shared" si="8"/>
        <v>0</v>
      </c>
      <c r="N13" s="556"/>
      <c r="O13" s="564">
        <f t="shared" si="1"/>
        <v>0</v>
      </c>
      <c r="P13" s="565">
        <f t="shared" si="2"/>
        <v>0</v>
      </c>
      <c r="Q13" s="566">
        <f t="shared" si="3"/>
        <v>0</v>
      </c>
      <c r="R13" s="559"/>
      <c r="S13" s="564">
        <f t="shared" si="4"/>
        <v>0</v>
      </c>
      <c r="T13" s="1367" t="str">
        <f t="shared" si="5"/>
        <v>0</v>
      </c>
    </row>
    <row r="14" spans="1:30">
      <c r="B14" s="563" t="s">
        <v>260</v>
      </c>
      <c r="C14" s="1460" t="s">
        <v>14</v>
      </c>
      <c r="D14" s="568"/>
      <c r="E14" s="568"/>
      <c r="F14" s="568"/>
      <c r="G14" s="568"/>
      <c r="H14" s="568"/>
      <c r="I14" s="568"/>
      <c r="J14" s="568"/>
      <c r="K14" s="568"/>
      <c r="L14" s="568"/>
      <c r="M14" s="568"/>
      <c r="N14" s="556"/>
      <c r="O14" s="564">
        <f t="shared" si="1"/>
        <v>0</v>
      </c>
      <c r="P14" s="565">
        <f t="shared" si="2"/>
        <v>0</v>
      </c>
      <c r="Q14" s="566">
        <f t="shared" si="3"/>
        <v>0</v>
      </c>
      <c r="R14" s="559"/>
      <c r="S14" s="564">
        <f t="shared" si="4"/>
        <v>0</v>
      </c>
      <c r="T14" s="1367" t="str">
        <f t="shared" si="5"/>
        <v>0</v>
      </c>
    </row>
    <row r="15" spans="1:30">
      <c r="B15" s="563" t="s">
        <v>261</v>
      </c>
      <c r="C15" s="1460" t="s">
        <v>14</v>
      </c>
      <c r="D15" s="1469">
        <f t="shared" ref="D15:M15" si="9">D13+D14</f>
        <v>0</v>
      </c>
      <c r="E15" s="1470">
        <f t="shared" si="9"/>
        <v>0</v>
      </c>
      <c r="F15" s="1470">
        <f t="shared" si="9"/>
        <v>0</v>
      </c>
      <c r="G15" s="1470">
        <f t="shared" si="9"/>
        <v>0</v>
      </c>
      <c r="H15" s="1471">
        <f t="shared" si="9"/>
        <v>0</v>
      </c>
      <c r="I15" s="1470">
        <f t="shared" si="9"/>
        <v>0</v>
      </c>
      <c r="J15" s="1472">
        <f t="shared" si="9"/>
        <v>0</v>
      </c>
      <c r="K15" s="1472">
        <f t="shared" si="9"/>
        <v>0</v>
      </c>
      <c r="L15" s="1472">
        <f t="shared" si="9"/>
        <v>0</v>
      </c>
      <c r="M15" s="1471">
        <f t="shared" si="9"/>
        <v>0</v>
      </c>
      <c r="N15" s="556"/>
      <c r="O15" s="564">
        <f t="shared" si="1"/>
        <v>0</v>
      </c>
      <c r="P15" s="565">
        <f t="shared" si="2"/>
        <v>0</v>
      </c>
      <c r="Q15" s="566">
        <f t="shared" si="3"/>
        <v>0</v>
      </c>
      <c r="R15" s="559"/>
      <c r="S15" s="564">
        <f t="shared" si="4"/>
        <v>0</v>
      </c>
      <c r="T15" s="1367" t="str">
        <f t="shared" si="5"/>
        <v>0</v>
      </c>
    </row>
    <row r="16" spans="1:30" ht="13.5" thickBot="1">
      <c r="B16" s="569" t="s">
        <v>613</v>
      </c>
      <c r="C16" s="1473"/>
      <c r="D16" s="1474" t="str">
        <f t="shared" ref="D16:M16" si="10">IF(D13-SUM(D31,D35,D39,D43)=0,"OK","ERROR")</f>
        <v>OK</v>
      </c>
      <c r="E16" s="1475" t="str">
        <f t="shared" si="10"/>
        <v>OK</v>
      </c>
      <c r="F16" s="1475" t="str">
        <f t="shared" si="10"/>
        <v>OK</v>
      </c>
      <c r="G16" s="1475" t="str">
        <f t="shared" si="10"/>
        <v>OK</v>
      </c>
      <c r="H16" s="1476" t="str">
        <f t="shared" si="10"/>
        <v>OK</v>
      </c>
      <c r="I16" s="1475" t="str">
        <f t="shared" si="10"/>
        <v>OK</v>
      </c>
      <c r="J16" s="1477" t="str">
        <f t="shared" si="10"/>
        <v>OK</v>
      </c>
      <c r="K16" s="1477" t="str">
        <f t="shared" si="10"/>
        <v>OK</v>
      </c>
      <c r="L16" s="1477" t="str">
        <f t="shared" si="10"/>
        <v>OK</v>
      </c>
      <c r="M16" s="1476" t="str">
        <f t="shared" si="10"/>
        <v>OK</v>
      </c>
      <c r="N16" s="556"/>
      <c r="O16" s="570"/>
      <c r="P16" s="571"/>
      <c r="Q16" s="572"/>
      <c r="R16" s="559"/>
      <c r="S16" s="570"/>
      <c r="T16" s="1478"/>
    </row>
    <row r="17" spans="2:20" ht="13.5" thickBot="1">
      <c r="D17" s="556"/>
      <c r="E17" s="556"/>
      <c r="F17" s="556"/>
      <c r="G17" s="556"/>
      <c r="H17" s="556"/>
      <c r="I17" s="556"/>
      <c r="J17" s="556"/>
      <c r="K17" s="556"/>
      <c r="L17" s="556"/>
      <c r="M17" s="556"/>
      <c r="N17" s="556"/>
      <c r="O17" s="556"/>
      <c r="P17" s="556"/>
      <c r="Q17" s="556"/>
      <c r="R17" s="559"/>
      <c r="S17" s="556"/>
      <c r="T17" s="556"/>
    </row>
    <row r="18" spans="2:20">
      <c r="B18" s="1447"/>
      <c r="C18" s="1900" t="s">
        <v>31</v>
      </c>
      <c r="D18" s="1448" t="s">
        <v>116</v>
      </c>
      <c r="E18" s="1449"/>
      <c r="F18" s="1449"/>
      <c r="G18" s="1449"/>
      <c r="H18" s="560"/>
      <c r="I18" s="1449" t="s">
        <v>117</v>
      </c>
      <c r="J18" s="561"/>
      <c r="K18" s="561"/>
      <c r="L18" s="561"/>
      <c r="M18" s="560"/>
      <c r="N18" s="556"/>
      <c r="O18" s="1450" t="s">
        <v>116</v>
      </c>
      <c r="P18" s="1451"/>
      <c r="Q18" s="1452"/>
      <c r="R18" s="559"/>
      <c r="S18" s="1450" t="s">
        <v>117</v>
      </c>
      <c r="T18" s="1452"/>
    </row>
    <row r="19" spans="2:20">
      <c r="B19" s="562"/>
      <c r="C19" s="1901"/>
      <c r="D19" s="1453" t="s">
        <v>32</v>
      </c>
      <c r="E19" s="1454" t="s">
        <v>33</v>
      </c>
      <c r="F19" s="1454" t="s">
        <v>29</v>
      </c>
      <c r="G19" s="1454" t="s">
        <v>34</v>
      </c>
      <c r="H19" s="1455" t="s">
        <v>35</v>
      </c>
      <c r="I19" s="1456" t="s">
        <v>118</v>
      </c>
      <c r="J19" s="1454" t="s">
        <v>136</v>
      </c>
      <c r="K19" s="1454" t="s">
        <v>137</v>
      </c>
      <c r="L19" s="1454" t="s">
        <v>138</v>
      </c>
      <c r="M19" s="1455" t="s">
        <v>139</v>
      </c>
      <c r="N19" s="556"/>
      <c r="O19" s="1457" t="s">
        <v>126</v>
      </c>
      <c r="P19" s="1458" t="s">
        <v>127</v>
      </c>
      <c r="Q19" s="1459" t="s">
        <v>245</v>
      </c>
      <c r="R19" s="559"/>
      <c r="S19" s="1457" t="s">
        <v>127</v>
      </c>
      <c r="T19" s="1459" t="s">
        <v>128</v>
      </c>
    </row>
    <row r="20" spans="2:20">
      <c r="B20" s="563" t="s">
        <v>262</v>
      </c>
      <c r="C20" s="1460" t="s">
        <v>14</v>
      </c>
      <c r="D20" s="568"/>
      <c r="E20" s="573"/>
      <c r="F20" s="573"/>
      <c r="G20" s="573"/>
      <c r="H20" s="574"/>
      <c r="I20" s="573"/>
      <c r="J20" s="575"/>
      <c r="K20" s="575"/>
      <c r="L20" s="575"/>
      <c r="M20" s="574"/>
      <c r="N20" s="556"/>
      <c r="O20" s="564">
        <f>SUM(D20:G20)</f>
        <v>0</v>
      </c>
      <c r="P20" s="565">
        <f>SUM(H20)</f>
        <v>0</v>
      </c>
      <c r="Q20" s="566">
        <f>SUM(D20:H20)</f>
        <v>0</v>
      </c>
      <c r="R20" s="559"/>
      <c r="S20" s="564">
        <f>SUM(I20:M20)</f>
        <v>0</v>
      </c>
      <c r="T20" s="1367" t="str">
        <f>IF(Q20&lt;&gt;0,(S20-Q20)/Q20,"0")</f>
        <v>0</v>
      </c>
    </row>
    <row r="21" spans="2:20">
      <c r="B21" s="563" t="s">
        <v>263</v>
      </c>
      <c r="C21" s="1460" t="s">
        <v>14</v>
      </c>
      <c r="D21" s="568"/>
      <c r="E21" s="573"/>
      <c r="F21" s="573"/>
      <c r="G21" s="573"/>
      <c r="H21" s="574"/>
      <c r="I21" s="573"/>
      <c r="J21" s="575"/>
      <c r="K21" s="575"/>
      <c r="L21" s="575"/>
      <c r="M21" s="574"/>
      <c r="N21" s="556"/>
      <c r="O21" s="564">
        <f>SUM(D21:G21)</f>
        <v>0</v>
      </c>
      <c r="P21" s="565">
        <f>SUM(H21)</f>
        <v>0</v>
      </c>
      <c r="Q21" s="566">
        <f>SUM(D21:H21)</f>
        <v>0</v>
      </c>
      <c r="R21" s="559"/>
      <c r="S21" s="564">
        <f>SUM(I21:M21)</f>
        <v>0</v>
      </c>
      <c r="T21" s="1367" t="str">
        <f>IF(Q21&lt;&gt;0,(S21-Q21)/Q21,"0")</f>
        <v>0</v>
      </c>
    </row>
    <row r="22" spans="2:20" ht="13.5" thickBot="1">
      <c r="B22" s="569" t="s">
        <v>245</v>
      </c>
      <c r="C22" s="1473" t="s">
        <v>14</v>
      </c>
      <c r="D22" s="1479">
        <f t="shared" ref="D22:M22" si="11">D20+D21</f>
        <v>0</v>
      </c>
      <c r="E22" s="1480">
        <f t="shared" si="11"/>
        <v>0</v>
      </c>
      <c r="F22" s="1480">
        <f t="shared" si="11"/>
        <v>0</v>
      </c>
      <c r="G22" s="1480">
        <f t="shared" si="11"/>
        <v>0</v>
      </c>
      <c r="H22" s="1481">
        <f t="shared" si="11"/>
        <v>0</v>
      </c>
      <c r="I22" s="1480">
        <f t="shared" si="11"/>
        <v>0</v>
      </c>
      <c r="J22" s="1482">
        <f t="shared" si="11"/>
        <v>0</v>
      </c>
      <c r="K22" s="1482">
        <f t="shared" si="11"/>
        <v>0</v>
      </c>
      <c r="L22" s="1482">
        <f t="shared" si="11"/>
        <v>0</v>
      </c>
      <c r="M22" s="1481">
        <f t="shared" si="11"/>
        <v>0</v>
      </c>
      <c r="N22" s="556"/>
      <c r="O22" s="576">
        <f>SUM(D22:G22)</f>
        <v>0</v>
      </c>
      <c r="P22" s="577">
        <f>SUM(H22)</f>
        <v>0</v>
      </c>
      <c r="Q22" s="578">
        <f>SUM(D22:H22)</f>
        <v>0</v>
      </c>
      <c r="R22" s="559"/>
      <c r="S22" s="576">
        <f>SUM(I22:M22)</f>
        <v>0</v>
      </c>
      <c r="T22" s="1379" t="str">
        <f>IF(Q22&lt;&gt;0,(S22-Q22)/Q22,"0")</f>
        <v>0</v>
      </c>
    </row>
    <row r="23" spans="2:20">
      <c r="D23" s="556"/>
      <c r="E23" s="556"/>
      <c r="F23" s="556"/>
      <c r="G23" s="556"/>
      <c r="H23" s="556"/>
      <c r="I23" s="556"/>
      <c r="J23" s="556"/>
      <c r="K23" s="556"/>
      <c r="L23" s="556"/>
      <c r="M23" s="556"/>
      <c r="N23" s="556"/>
      <c r="O23" s="556"/>
      <c r="P23" s="556"/>
      <c r="Q23" s="556"/>
      <c r="R23" s="559"/>
      <c r="S23" s="556"/>
      <c r="T23" s="556"/>
    </row>
    <row r="24" spans="2:20">
      <c r="B24" s="1483" t="s">
        <v>264</v>
      </c>
      <c r="C24" s="1484"/>
      <c r="D24" s="579"/>
      <c r="E24" s="579"/>
      <c r="F24" s="579"/>
      <c r="G24" s="579"/>
      <c r="H24" s="579"/>
      <c r="I24" s="579"/>
      <c r="J24" s="579"/>
      <c r="K24" s="579"/>
      <c r="L24" s="579"/>
      <c r="M24" s="579"/>
      <c r="N24" s="559"/>
      <c r="O24" s="579"/>
      <c r="P24" s="579"/>
      <c r="Q24" s="579"/>
      <c r="R24" s="559"/>
      <c r="S24" s="579"/>
      <c r="T24" s="579"/>
    </row>
    <row r="25" spans="2:20" ht="13.5" thickBot="1">
      <c r="B25" s="1483"/>
      <c r="C25" s="1484"/>
      <c r="D25" s="579"/>
      <c r="E25" s="579"/>
      <c r="F25" s="579"/>
      <c r="G25" s="579"/>
      <c r="H25" s="579"/>
      <c r="I25" s="579"/>
      <c r="J25" s="579"/>
      <c r="K25" s="579"/>
      <c r="L25" s="579"/>
      <c r="M25" s="579"/>
      <c r="N25" s="559"/>
      <c r="O25" s="579"/>
      <c r="P25" s="579"/>
      <c r="Q25" s="579"/>
      <c r="R25" s="559"/>
      <c r="S25" s="579"/>
      <c r="T25" s="579"/>
    </row>
    <row r="26" spans="2:20">
      <c r="B26" s="1898" t="s">
        <v>265</v>
      </c>
      <c r="C26" s="1900" t="s">
        <v>31</v>
      </c>
      <c r="D26" s="1448" t="s">
        <v>116</v>
      </c>
      <c r="E26" s="1449"/>
      <c r="F26" s="1449"/>
      <c r="G26" s="1449"/>
      <c r="H26" s="560"/>
      <c r="I26" s="1449" t="s">
        <v>117</v>
      </c>
      <c r="J26" s="561"/>
      <c r="K26" s="561"/>
      <c r="L26" s="561"/>
      <c r="M26" s="560"/>
      <c r="N26" s="559"/>
      <c r="O26" s="1450" t="s">
        <v>116</v>
      </c>
      <c r="P26" s="1451"/>
      <c r="Q26" s="1452"/>
      <c r="R26" s="559"/>
      <c r="S26" s="1450" t="s">
        <v>117</v>
      </c>
      <c r="T26" s="1452"/>
    </row>
    <row r="27" spans="2:20">
      <c r="B27" s="1899"/>
      <c r="C27" s="1901"/>
      <c r="D27" s="1453" t="s">
        <v>32</v>
      </c>
      <c r="E27" s="1454" t="s">
        <v>33</v>
      </c>
      <c r="F27" s="1454" t="s">
        <v>29</v>
      </c>
      <c r="G27" s="1454" t="s">
        <v>34</v>
      </c>
      <c r="H27" s="1455" t="s">
        <v>35</v>
      </c>
      <c r="I27" s="1456" t="s">
        <v>118</v>
      </c>
      <c r="J27" s="1454" t="s">
        <v>136</v>
      </c>
      <c r="K27" s="1454" t="s">
        <v>137</v>
      </c>
      <c r="L27" s="1454" t="s">
        <v>138</v>
      </c>
      <c r="M27" s="1455" t="s">
        <v>139</v>
      </c>
      <c r="N27" s="559"/>
      <c r="O27" s="1457" t="s">
        <v>126</v>
      </c>
      <c r="P27" s="1458" t="s">
        <v>127</v>
      </c>
      <c r="Q27" s="1459" t="s">
        <v>245</v>
      </c>
      <c r="R27" s="559"/>
      <c r="S27" s="1457" t="s">
        <v>127</v>
      </c>
      <c r="T27" s="1459" t="s">
        <v>128</v>
      </c>
    </row>
    <row r="28" spans="2:20">
      <c r="B28" s="1485" t="s">
        <v>141</v>
      </c>
      <c r="C28" s="580"/>
      <c r="D28" s="581"/>
      <c r="E28" s="582"/>
      <c r="F28" s="582"/>
      <c r="G28" s="582"/>
      <c r="H28" s="583"/>
      <c r="I28" s="582"/>
      <c r="J28" s="582"/>
      <c r="K28" s="582"/>
      <c r="L28" s="582"/>
      <c r="M28" s="583"/>
      <c r="N28" s="559"/>
      <c r="O28" s="584"/>
      <c r="P28" s="585"/>
      <c r="Q28" s="586"/>
      <c r="R28" s="559"/>
      <c r="S28" s="581"/>
      <c r="T28" s="583"/>
    </row>
    <row r="29" spans="2:20">
      <c r="B29" s="587" t="s">
        <v>266</v>
      </c>
      <c r="C29" s="1486" t="s">
        <v>14</v>
      </c>
      <c r="D29" s="1487"/>
      <c r="E29" s="1488"/>
      <c r="F29" s="1488"/>
      <c r="G29" s="1488"/>
      <c r="H29" s="1489"/>
      <c r="I29" s="1490">
        <f t="shared" ref="I29:M30" si="12">I225-I248</f>
        <v>0</v>
      </c>
      <c r="J29" s="1491">
        <f t="shared" si="12"/>
        <v>0</v>
      </c>
      <c r="K29" s="1491">
        <f t="shared" si="12"/>
        <v>0</v>
      </c>
      <c r="L29" s="1491">
        <f t="shared" si="12"/>
        <v>0</v>
      </c>
      <c r="M29" s="1492">
        <f t="shared" si="12"/>
        <v>0</v>
      </c>
      <c r="N29" s="559"/>
      <c r="O29" s="570"/>
      <c r="P29" s="571"/>
      <c r="Q29" s="572"/>
      <c r="R29" s="559"/>
      <c r="S29" s="570"/>
      <c r="T29" s="1478"/>
    </row>
    <row r="30" spans="2:20">
      <c r="B30" s="587" t="s">
        <v>267</v>
      </c>
      <c r="C30" s="1486" t="s">
        <v>14</v>
      </c>
      <c r="D30" s="1487"/>
      <c r="E30" s="1488"/>
      <c r="F30" s="1488"/>
      <c r="G30" s="1488"/>
      <c r="H30" s="1489"/>
      <c r="I30" s="1490">
        <f t="shared" si="12"/>
        <v>0</v>
      </c>
      <c r="J30" s="1491">
        <f t="shared" si="12"/>
        <v>0</v>
      </c>
      <c r="K30" s="1491">
        <f t="shared" si="12"/>
        <v>0</v>
      </c>
      <c r="L30" s="1491">
        <f t="shared" si="12"/>
        <v>0</v>
      </c>
      <c r="M30" s="1492">
        <f t="shared" si="12"/>
        <v>0</v>
      </c>
      <c r="N30" s="559"/>
      <c r="O30" s="570"/>
      <c r="P30" s="571"/>
      <c r="Q30" s="572"/>
      <c r="R30" s="559"/>
      <c r="S30" s="570"/>
      <c r="T30" s="1478"/>
    </row>
    <row r="31" spans="2:20">
      <c r="B31" s="1493" t="s">
        <v>859</v>
      </c>
      <c r="C31" s="1486" t="s">
        <v>14</v>
      </c>
      <c r="D31" s="564">
        <f>D227-D250</f>
        <v>0</v>
      </c>
      <c r="E31" s="588">
        <f>E227-E250</f>
        <v>0</v>
      </c>
      <c r="F31" s="588">
        <f>F227-F250</f>
        <v>0</v>
      </c>
      <c r="G31" s="588">
        <f>G227-G250</f>
        <v>0</v>
      </c>
      <c r="H31" s="566">
        <f>H227-H250</f>
        <v>0</v>
      </c>
      <c r="I31" s="588">
        <f>SUM(I29:I30)</f>
        <v>0</v>
      </c>
      <c r="J31" s="565">
        <f>SUM(J29:J30)</f>
        <v>0</v>
      </c>
      <c r="K31" s="565">
        <f>SUM(K29:K30)</f>
        <v>0</v>
      </c>
      <c r="L31" s="565">
        <f>SUM(L29:L30)</f>
        <v>0</v>
      </c>
      <c r="M31" s="566">
        <f>SUM(M29:M30)</f>
        <v>0</v>
      </c>
      <c r="N31" s="559"/>
      <c r="O31" s="564">
        <f>SUM(D31:G31)</f>
        <v>0</v>
      </c>
      <c r="P31" s="565">
        <f>SUM(H31)</f>
        <v>0</v>
      </c>
      <c r="Q31" s="566">
        <f>SUM(D31:H31)</f>
        <v>0</v>
      </c>
      <c r="R31" s="559"/>
      <c r="S31" s="564">
        <f>SUM(I31:M31)</f>
        <v>0</v>
      </c>
      <c r="T31" s="1367" t="str">
        <f>IF(Q31&lt;&gt;0,(S31-Q31)/Q31,"0")</f>
        <v>0</v>
      </c>
    </row>
    <row r="32" spans="2:20">
      <c r="B32" s="1485" t="s">
        <v>871</v>
      </c>
      <c r="C32" s="589"/>
      <c r="D32" s="590"/>
      <c r="E32" s="591"/>
      <c r="F32" s="591"/>
      <c r="G32" s="591"/>
      <c r="H32" s="592"/>
      <c r="I32" s="591"/>
      <c r="J32" s="591"/>
      <c r="K32" s="591"/>
      <c r="L32" s="591"/>
      <c r="M32" s="592"/>
      <c r="N32" s="559"/>
      <c r="O32" s="593"/>
      <c r="P32" s="591"/>
      <c r="Q32" s="592"/>
      <c r="R32" s="559"/>
      <c r="S32" s="590"/>
      <c r="T32" s="592"/>
    </row>
    <row r="33" spans="2:20">
      <c r="B33" s="587" t="s">
        <v>268</v>
      </c>
      <c r="C33" s="1486" t="s">
        <v>14</v>
      </c>
      <c r="D33" s="1487"/>
      <c r="E33" s="1488"/>
      <c r="F33" s="1488"/>
      <c r="G33" s="1488"/>
      <c r="H33" s="1489"/>
      <c r="I33" s="1490">
        <f t="shared" ref="I33:M34" si="13">I229-I252</f>
        <v>0</v>
      </c>
      <c r="J33" s="1491">
        <f t="shared" si="13"/>
        <v>0</v>
      </c>
      <c r="K33" s="1491">
        <f t="shared" si="13"/>
        <v>0</v>
      </c>
      <c r="L33" s="1491">
        <f t="shared" si="13"/>
        <v>0</v>
      </c>
      <c r="M33" s="1492">
        <f t="shared" si="13"/>
        <v>0</v>
      </c>
      <c r="N33" s="559"/>
      <c r="O33" s="570"/>
      <c r="P33" s="571"/>
      <c r="Q33" s="572"/>
      <c r="R33" s="559"/>
      <c r="S33" s="570"/>
      <c r="T33" s="1478"/>
    </row>
    <row r="34" spans="2:20">
      <c r="B34" s="587" t="s">
        <v>269</v>
      </c>
      <c r="C34" s="1486" t="s">
        <v>14</v>
      </c>
      <c r="D34" s="1487"/>
      <c r="E34" s="1488"/>
      <c r="F34" s="1488"/>
      <c r="G34" s="1488"/>
      <c r="H34" s="1489"/>
      <c r="I34" s="1490">
        <f t="shared" si="13"/>
        <v>0</v>
      </c>
      <c r="J34" s="1491">
        <f t="shared" si="13"/>
        <v>0</v>
      </c>
      <c r="K34" s="1491">
        <f t="shared" si="13"/>
        <v>0</v>
      </c>
      <c r="L34" s="1491">
        <f t="shared" si="13"/>
        <v>0</v>
      </c>
      <c r="M34" s="1492">
        <f t="shared" si="13"/>
        <v>0</v>
      </c>
      <c r="N34" s="559"/>
      <c r="O34" s="570"/>
      <c r="P34" s="571"/>
      <c r="Q34" s="572"/>
      <c r="R34" s="559"/>
      <c r="S34" s="570"/>
      <c r="T34" s="1478"/>
    </row>
    <row r="35" spans="2:20">
      <c r="B35" s="1493" t="s">
        <v>860</v>
      </c>
      <c r="C35" s="1486" t="s">
        <v>14</v>
      </c>
      <c r="D35" s="564">
        <f>D231-D254</f>
        <v>0</v>
      </c>
      <c r="E35" s="588">
        <f>E231-E254</f>
        <v>0</v>
      </c>
      <c r="F35" s="588">
        <f>F231-F254</f>
        <v>0</v>
      </c>
      <c r="G35" s="588">
        <f>G231-G254</f>
        <v>0</v>
      </c>
      <c r="H35" s="566">
        <f>H231-H254</f>
        <v>0</v>
      </c>
      <c r="I35" s="588">
        <f>SUM(I33:I34)</f>
        <v>0</v>
      </c>
      <c r="J35" s="565">
        <f>SUM(J33:J34)</f>
        <v>0</v>
      </c>
      <c r="K35" s="565">
        <f>SUM(K33:K34)</f>
        <v>0</v>
      </c>
      <c r="L35" s="565">
        <f>SUM(L33:L34)</f>
        <v>0</v>
      </c>
      <c r="M35" s="566">
        <f>SUM(M33:M34)</f>
        <v>0</v>
      </c>
      <c r="N35" s="559"/>
      <c r="O35" s="564">
        <f>SUM(D35:G35)</f>
        <v>0</v>
      </c>
      <c r="P35" s="565">
        <f>SUM(H35)</f>
        <v>0</v>
      </c>
      <c r="Q35" s="566">
        <f>SUM(D35:H35)</f>
        <v>0</v>
      </c>
      <c r="R35" s="559"/>
      <c r="S35" s="564">
        <f>SUM(I35:M35)</f>
        <v>0</v>
      </c>
      <c r="T35" s="1367" t="str">
        <f>IF(Q35&lt;&gt;0,(S35-Q35)/Q35,"0")</f>
        <v>0</v>
      </c>
    </row>
    <row r="36" spans="2:20">
      <c r="B36" s="1485" t="s">
        <v>708</v>
      </c>
      <c r="C36" s="589"/>
      <c r="D36" s="590"/>
      <c r="E36" s="591"/>
      <c r="F36" s="591"/>
      <c r="G36" s="591"/>
      <c r="H36" s="592"/>
      <c r="I36" s="591"/>
      <c r="J36" s="591"/>
      <c r="K36" s="591"/>
      <c r="L36" s="591"/>
      <c r="M36" s="592"/>
      <c r="N36" s="559"/>
      <c r="O36" s="590"/>
      <c r="P36" s="591"/>
      <c r="Q36" s="592"/>
      <c r="R36" s="559"/>
      <c r="S36" s="590"/>
      <c r="T36" s="592"/>
    </row>
    <row r="37" spans="2:20">
      <c r="B37" s="587" t="s">
        <v>270</v>
      </c>
      <c r="C37" s="1486" t="s">
        <v>14</v>
      </c>
      <c r="D37" s="1487"/>
      <c r="E37" s="1488"/>
      <c r="F37" s="1488"/>
      <c r="G37" s="1488"/>
      <c r="H37" s="1489"/>
      <c r="I37" s="1490">
        <f t="shared" ref="I37:M38" si="14">I233-I256</f>
        <v>0</v>
      </c>
      <c r="J37" s="1491">
        <f t="shared" si="14"/>
        <v>0</v>
      </c>
      <c r="K37" s="1491">
        <f t="shared" si="14"/>
        <v>0</v>
      </c>
      <c r="L37" s="1491">
        <f t="shared" si="14"/>
        <v>0</v>
      </c>
      <c r="M37" s="1492">
        <f t="shared" si="14"/>
        <v>0</v>
      </c>
      <c r="N37" s="559"/>
      <c r="O37" s="570"/>
      <c r="P37" s="571"/>
      <c r="Q37" s="572"/>
      <c r="R37" s="559"/>
      <c r="S37" s="570"/>
      <c r="T37" s="1478"/>
    </row>
    <row r="38" spans="2:20">
      <c r="B38" s="587" t="s">
        <v>271</v>
      </c>
      <c r="C38" s="1486" t="s">
        <v>14</v>
      </c>
      <c r="D38" s="1487"/>
      <c r="E38" s="1488"/>
      <c r="F38" s="1488"/>
      <c r="G38" s="1488"/>
      <c r="H38" s="1489"/>
      <c r="I38" s="1490">
        <f t="shared" si="14"/>
        <v>0</v>
      </c>
      <c r="J38" s="1491">
        <f t="shared" si="14"/>
        <v>0</v>
      </c>
      <c r="K38" s="1491">
        <f t="shared" si="14"/>
        <v>0</v>
      </c>
      <c r="L38" s="1491">
        <f t="shared" si="14"/>
        <v>0</v>
      </c>
      <c r="M38" s="1492">
        <f t="shared" si="14"/>
        <v>0</v>
      </c>
      <c r="N38" s="559"/>
      <c r="O38" s="570"/>
      <c r="P38" s="571"/>
      <c r="Q38" s="572"/>
      <c r="R38" s="559"/>
      <c r="S38" s="570"/>
      <c r="T38" s="1478"/>
    </row>
    <row r="39" spans="2:20">
      <c r="B39" s="1493" t="s">
        <v>861</v>
      </c>
      <c r="C39" s="1486" t="s">
        <v>14</v>
      </c>
      <c r="D39" s="564">
        <f>D235-D258</f>
        <v>0</v>
      </c>
      <c r="E39" s="588">
        <f>E235-E258</f>
        <v>0</v>
      </c>
      <c r="F39" s="588">
        <f>F235-F258</f>
        <v>0</v>
      </c>
      <c r="G39" s="588">
        <f>G235-G258</f>
        <v>0</v>
      </c>
      <c r="H39" s="566">
        <f>H235-H258</f>
        <v>0</v>
      </c>
      <c r="I39" s="588">
        <f>SUM(I37:I38)</f>
        <v>0</v>
      </c>
      <c r="J39" s="565">
        <f>SUM(J37:J38)</f>
        <v>0</v>
      </c>
      <c r="K39" s="565">
        <f>SUM(K37:K38)</f>
        <v>0</v>
      </c>
      <c r="L39" s="565">
        <f>SUM(L37:L38)</f>
        <v>0</v>
      </c>
      <c r="M39" s="566">
        <f>SUM(M37:M38)</f>
        <v>0</v>
      </c>
      <c r="N39" s="559"/>
      <c r="O39" s="564">
        <f>SUM(D39:G39)</f>
        <v>0</v>
      </c>
      <c r="P39" s="565">
        <f>SUM(H39)</f>
        <v>0</v>
      </c>
      <c r="Q39" s="566">
        <f>SUM(D39:H39)</f>
        <v>0</v>
      </c>
      <c r="R39" s="559"/>
      <c r="S39" s="564">
        <f>SUM(I39:M39)</f>
        <v>0</v>
      </c>
      <c r="T39" s="1367" t="str">
        <f>IF(Q39&lt;&gt;0,(S39-Q39)/Q39,"0")</f>
        <v>0</v>
      </c>
    </row>
    <row r="40" spans="2:20">
      <c r="B40" s="1485" t="s">
        <v>599</v>
      </c>
      <c r="C40" s="589"/>
      <c r="D40" s="590"/>
      <c r="E40" s="591"/>
      <c r="F40" s="591"/>
      <c r="G40" s="591"/>
      <c r="H40" s="592"/>
      <c r="I40" s="591"/>
      <c r="J40" s="591"/>
      <c r="K40" s="591"/>
      <c r="L40" s="591"/>
      <c r="M40" s="592"/>
      <c r="N40" s="559"/>
      <c r="O40" s="590"/>
      <c r="P40" s="591"/>
      <c r="Q40" s="592"/>
      <c r="R40" s="559"/>
      <c r="S40" s="590"/>
      <c r="T40" s="592"/>
    </row>
    <row r="41" spans="2:20">
      <c r="B41" s="587" t="s">
        <v>272</v>
      </c>
      <c r="C41" s="1486" t="s">
        <v>14</v>
      </c>
      <c r="D41" s="1487"/>
      <c r="E41" s="1488"/>
      <c r="F41" s="1488"/>
      <c r="G41" s="1488"/>
      <c r="H41" s="1489"/>
      <c r="I41" s="1490">
        <f t="shared" ref="I41:M42" si="15">I237-I260</f>
        <v>0</v>
      </c>
      <c r="J41" s="1491">
        <f t="shared" si="15"/>
        <v>0</v>
      </c>
      <c r="K41" s="1491">
        <f t="shared" si="15"/>
        <v>0</v>
      </c>
      <c r="L41" s="1491">
        <f t="shared" si="15"/>
        <v>0</v>
      </c>
      <c r="M41" s="1492">
        <f t="shared" si="15"/>
        <v>0</v>
      </c>
      <c r="N41" s="559"/>
      <c r="O41" s="570"/>
      <c r="P41" s="571"/>
      <c r="Q41" s="572"/>
      <c r="R41" s="559"/>
      <c r="S41" s="570"/>
      <c r="T41" s="1478"/>
    </row>
    <row r="42" spans="2:20">
      <c r="B42" s="587" t="s">
        <v>273</v>
      </c>
      <c r="C42" s="1486" t="s">
        <v>14</v>
      </c>
      <c r="D42" s="1487"/>
      <c r="E42" s="1488"/>
      <c r="F42" s="1488"/>
      <c r="G42" s="1488"/>
      <c r="H42" s="1489"/>
      <c r="I42" s="1490">
        <f t="shared" si="15"/>
        <v>0</v>
      </c>
      <c r="J42" s="1491">
        <f t="shared" si="15"/>
        <v>0</v>
      </c>
      <c r="K42" s="1491">
        <f t="shared" si="15"/>
        <v>0</v>
      </c>
      <c r="L42" s="1491">
        <f t="shared" si="15"/>
        <v>0</v>
      </c>
      <c r="M42" s="1492">
        <f t="shared" si="15"/>
        <v>0</v>
      </c>
      <c r="N42" s="559"/>
      <c r="O42" s="570"/>
      <c r="P42" s="571"/>
      <c r="Q42" s="572"/>
      <c r="R42" s="559"/>
      <c r="S42" s="570"/>
      <c r="T42" s="1478"/>
    </row>
    <row r="43" spans="2:20" ht="13.5" thickBot="1">
      <c r="B43" s="1494" t="s">
        <v>694</v>
      </c>
      <c r="C43" s="1495" t="s">
        <v>14</v>
      </c>
      <c r="D43" s="576">
        <f>D239-D262</f>
        <v>0</v>
      </c>
      <c r="E43" s="594">
        <f>E239-E262</f>
        <v>0</v>
      </c>
      <c r="F43" s="594">
        <f>F239-F262</f>
        <v>0</v>
      </c>
      <c r="G43" s="594">
        <f>G239-G262</f>
        <v>0</v>
      </c>
      <c r="H43" s="578">
        <f>H239-H262</f>
        <v>0</v>
      </c>
      <c r="I43" s="594">
        <f>SUM(I41:I42)</f>
        <v>0</v>
      </c>
      <c r="J43" s="577">
        <f>SUM(J41:J42)</f>
        <v>0</v>
      </c>
      <c r="K43" s="577">
        <f>SUM(K41:K42)</f>
        <v>0</v>
      </c>
      <c r="L43" s="577">
        <f>SUM(L41:L42)</f>
        <v>0</v>
      </c>
      <c r="M43" s="578">
        <f>SUM(M41:M42)</f>
        <v>0</v>
      </c>
      <c r="N43" s="559"/>
      <c r="O43" s="564">
        <f>SUM(D43:G43)</f>
        <v>0</v>
      </c>
      <c r="P43" s="565">
        <f>SUM(H43)</f>
        <v>0</v>
      </c>
      <c r="Q43" s="566">
        <f>SUM(D43:H43)</f>
        <v>0</v>
      </c>
      <c r="R43" s="559"/>
      <c r="S43" s="564">
        <f>SUM(I43:M43)</f>
        <v>0</v>
      </c>
      <c r="T43" s="1367" t="str">
        <f>IF(Q43&lt;&gt;0,(S43-Q43)/Q43,"0")</f>
        <v>0</v>
      </c>
    </row>
    <row r="44" spans="2:20">
      <c r="D44" s="556"/>
      <c r="E44" s="556"/>
      <c r="F44" s="556"/>
      <c r="G44" s="556"/>
      <c r="H44" s="556"/>
      <c r="I44" s="556"/>
      <c r="J44" s="556"/>
      <c r="K44" s="556"/>
      <c r="L44" s="556"/>
      <c r="M44" s="556"/>
      <c r="N44" s="556"/>
      <c r="O44" s="556"/>
      <c r="P44" s="556"/>
      <c r="Q44" s="556"/>
      <c r="R44" s="559"/>
      <c r="S44" s="556"/>
      <c r="T44" s="556"/>
    </row>
    <row r="45" spans="2:20">
      <c r="N45" s="559"/>
      <c r="O45" s="559"/>
      <c r="P45" s="559"/>
      <c r="Q45" s="559"/>
      <c r="R45" s="559"/>
      <c r="S45" s="559"/>
      <c r="T45" s="559"/>
    </row>
    <row r="46" spans="2:20">
      <c r="B46" s="1446" t="s">
        <v>274</v>
      </c>
      <c r="N46" s="559"/>
      <c r="O46" s="559"/>
      <c r="P46" s="559"/>
      <c r="Q46" s="559"/>
      <c r="R46" s="559"/>
      <c r="S46" s="559"/>
      <c r="T46" s="559"/>
    </row>
    <row r="47" spans="2:20" ht="13.5" thickBot="1">
      <c r="B47" s="1446"/>
      <c r="N47" s="559"/>
      <c r="O47" s="559"/>
      <c r="P47" s="559"/>
      <c r="Q47" s="559"/>
      <c r="R47" s="559"/>
      <c r="S47" s="559"/>
      <c r="T47" s="559"/>
    </row>
    <row r="48" spans="2:20">
      <c r="B48" s="1902"/>
      <c r="C48" s="1900" t="s">
        <v>31</v>
      </c>
      <c r="D48" s="1448" t="s">
        <v>116</v>
      </c>
      <c r="E48" s="1449"/>
      <c r="F48" s="1449"/>
      <c r="G48" s="1449"/>
      <c r="H48" s="560"/>
      <c r="I48" s="1448" t="s">
        <v>117</v>
      </c>
      <c r="J48" s="561"/>
      <c r="K48" s="561"/>
      <c r="L48" s="561"/>
      <c r="M48" s="560"/>
      <c r="N48" s="559"/>
      <c r="O48" s="559"/>
      <c r="P48" s="559"/>
      <c r="Q48" s="559"/>
      <c r="R48" s="559"/>
      <c r="S48" s="559"/>
      <c r="T48" s="559"/>
    </row>
    <row r="49" spans="2:20">
      <c r="B49" s="1903"/>
      <c r="C49" s="1901"/>
      <c r="D49" s="1453" t="s">
        <v>32</v>
      </c>
      <c r="E49" s="1454" t="s">
        <v>33</v>
      </c>
      <c r="F49" s="1454" t="s">
        <v>29</v>
      </c>
      <c r="G49" s="1454" t="s">
        <v>34</v>
      </c>
      <c r="H49" s="1455" t="s">
        <v>35</v>
      </c>
      <c r="I49" s="1453" t="s">
        <v>118</v>
      </c>
      <c r="J49" s="1454" t="s">
        <v>136</v>
      </c>
      <c r="K49" s="1454" t="s">
        <v>137</v>
      </c>
      <c r="L49" s="1454" t="s">
        <v>138</v>
      </c>
      <c r="M49" s="1455" t="s">
        <v>139</v>
      </c>
      <c r="N49" s="559"/>
      <c r="O49" s="559"/>
      <c r="P49" s="559"/>
      <c r="Q49" s="559"/>
      <c r="R49" s="559"/>
      <c r="S49" s="559"/>
      <c r="T49" s="559"/>
    </row>
    <row r="50" spans="2:20">
      <c r="B50" s="1496" t="s">
        <v>275</v>
      </c>
      <c r="C50" s="1497"/>
      <c r="D50" s="1498"/>
      <c r="E50" s="1499"/>
      <c r="F50" s="1499"/>
      <c r="G50" s="1499"/>
      <c r="H50" s="1500"/>
      <c r="I50" s="595"/>
      <c r="J50" s="596"/>
      <c r="K50" s="596"/>
      <c r="L50" s="596"/>
      <c r="M50" s="597"/>
      <c r="N50" s="598"/>
      <c r="O50" s="559"/>
      <c r="P50" s="559"/>
      <c r="Q50" s="559"/>
      <c r="R50" s="559"/>
      <c r="S50" s="559"/>
      <c r="T50" s="559"/>
    </row>
    <row r="51" spans="2:20">
      <c r="B51" s="1501" t="s">
        <v>276</v>
      </c>
      <c r="C51" s="1486"/>
      <c r="D51" s="1502"/>
      <c r="E51" s="1503"/>
      <c r="F51" s="1503"/>
      <c r="G51" s="1503"/>
      <c r="H51" s="1504"/>
      <c r="I51" s="599"/>
      <c r="J51" s="600"/>
      <c r="K51" s="600"/>
      <c r="L51" s="600"/>
      <c r="M51" s="601"/>
      <c r="N51" s="598"/>
      <c r="O51" s="559"/>
      <c r="P51" s="559"/>
      <c r="Q51" s="559"/>
      <c r="R51" s="559"/>
      <c r="S51" s="559"/>
      <c r="T51" s="559"/>
    </row>
    <row r="52" spans="2:20">
      <c r="B52" s="1505" t="s">
        <v>514</v>
      </c>
      <c r="C52" s="1486" t="s">
        <v>515</v>
      </c>
      <c r="D52" s="1506">
        <f t="shared" ref="D52:M56" si="16">D83+D114</f>
        <v>0</v>
      </c>
      <c r="E52" s="1507">
        <f t="shared" si="16"/>
        <v>0</v>
      </c>
      <c r="F52" s="1507">
        <f t="shared" si="16"/>
        <v>0</v>
      </c>
      <c r="G52" s="1507">
        <f t="shared" si="16"/>
        <v>0</v>
      </c>
      <c r="H52" s="1508">
        <f t="shared" si="16"/>
        <v>0</v>
      </c>
      <c r="I52" s="1506">
        <f t="shared" si="16"/>
        <v>0</v>
      </c>
      <c r="J52" s="1509">
        <f t="shared" si="16"/>
        <v>0</v>
      </c>
      <c r="K52" s="1509">
        <f t="shared" si="16"/>
        <v>0</v>
      </c>
      <c r="L52" s="1509">
        <f t="shared" si="16"/>
        <v>0</v>
      </c>
      <c r="M52" s="1508">
        <f t="shared" si="16"/>
        <v>0</v>
      </c>
      <c r="N52" s="559"/>
      <c r="O52" s="559"/>
      <c r="P52" s="559"/>
      <c r="Q52" s="559"/>
      <c r="R52" s="559"/>
      <c r="S52" s="559"/>
      <c r="T52" s="559"/>
    </row>
    <row r="53" spans="2:20">
      <c r="B53" s="1510" t="s">
        <v>277</v>
      </c>
      <c r="C53" s="1486"/>
      <c r="D53" s="1506">
        <f t="shared" si="16"/>
        <v>0</v>
      </c>
      <c r="E53" s="1507">
        <f t="shared" si="16"/>
        <v>0</v>
      </c>
      <c r="F53" s="1507">
        <f t="shared" si="16"/>
        <v>0</v>
      </c>
      <c r="G53" s="1507">
        <f t="shared" si="16"/>
        <v>0</v>
      </c>
      <c r="H53" s="1508">
        <f t="shared" si="16"/>
        <v>0</v>
      </c>
      <c r="I53" s="1506">
        <f t="shared" si="16"/>
        <v>0</v>
      </c>
      <c r="J53" s="1509">
        <f t="shared" si="16"/>
        <v>0</v>
      </c>
      <c r="K53" s="1509">
        <f t="shared" si="16"/>
        <v>0</v>
      </c>
      <c r="L53" s="1509">
        <f t="shared" si="16"/>
        <v>0</v>
      </c>
      <c r="M53" s="1508">
        <f t="shared" si="16"/>
        <v>0</v>
      </c>
      <c r="N53" s="559"/>
      <c r="O53" s="559"/>
      <c r="P53" s="559"/>
      <c r="Q53" s="559"/>
      <c r="R53" s="559"/>
      <c r="S53" s="559"/>
      <c r="T53" s="559"/>
    </row>
    <row r="54" spans="2:20">
      <c r="B54" s="587" t="s">
        <v>278</v>
      </c>
      <c r="C54" s="1486"/>
      <c r="D54" s="602"/>
      <c r="E54" s="603"/>
      <c r="F54" s="603"/>
      <c r="G54" s="603"/>
      <c r="H54" s="604"/>
      <c r="I54" s="1506">
        <f t="shared" si="16"/>
        <v>0</v>
      </c>
      <c r="J54" s="1509">
        <f t="shared" si="16"/>
        <v>0</v>
      </c>
      <c r="K54" s="1509">
        <f t="shared" si="16"/>
        <v>0</v>
      </c>
      <c r="L54" s="1509">
        <f t="shared" si="16"/>
        <v>0</v>
      </c>
      <c r="M54" s="1508">
        <f t="shared" si="16"/>
        <v>0</v>
      </c>
      <c r="N54" s="559"/>
      <c r="O54" s="559"/>
      <c r="P54" s="559"/>
      <c r="Q54" s="559"/>
      <c r="R54" s="559"/>
      <c r="S54" s="559"/>
      <c r="T54" s="559"/>
    </row>
    <row r="55" spans="2:20">
      <c r="B55" s="587" t="s">
        <v>279</v>
      </c>
      <c r="C55" s="1486" t="s">
        <v>515</v>
      </c>
      <c r="D55" s="602"/>
      <c r="E55" s="603"/>
      <c r="F55" s="603"/>
      <c r="G55" s="603"/>
      <c r="H55" s="604"/>
      <c r="I55" s="1506">
        <f t="shared" si="16"/>
        <v>0</v>
      </c>
      <c r="J55" s="1509">
        <f t="shared" si="16"/>
        <v>0</v>
      </c>
      <c r="K55" s="1509">
        <f t="shared" si="16"/>
        <v>0</v>
      </c>
      <c r="L55" s="1509">
        <f t="shared" si="16"/>
        <v>0</v>
      </c>
      <c r="M55" s="1508">
        <f t="shared" si="16"/>
        <v>0</v>
      </c>
      <c r="N55" s="559"/>
      <c r="O55" s="559"/>
      <c r="P55" s="559"/>
      <c r="Q55" s="559"/>
      <c r="R55" s="559"/>
      <c r="S55" s="559"/>
      <c r="T55" s="559"/>
    </row>
    <row r="56" spans="2:20">
      <c r="B56" s="587" t="s">
        <v>280</v>
      </c>
      <c r="C56" s="1486"/>
      <c r="D56" s="1506">
        <f>D87+D118</f>
        <v>0</v>
      </c>
      <c r="E56" s="1509">
        <f>E87+E118</f>
        <v>0</v>
      </c>
      <c r="F56" s="1509">
        <f>F87+F118</f>
        <v>0</v>
      </c>
      <c r="G56" s="1509">
        <f>G87+G118</f>
        <v>0</v>
      </c>
      <c r="H56" s="1508">
        <f>H87+H118</f>
        <v>0</v>
      </c>
      <c r="I56" s="1506">
        <f t="shared" si="16"/>
        <v>0</v>
      </c>
      <c r="J56" s="1509">
        <f t="shared" si="16"/>
        <v>0</v>
      </c>
      <c r="K56" s="1509">
        <f t="shared" si="16"/>
        <v>0</v>
      </c>
      <c r="L56" s="1509">
        <f t="shared" si="16"/>
        <v>0</v>
      </c>
      <c r="M56" s="1508">
        <f t="shared" si="16"/>
        <v>0</v>
      </c>
      <c r="N56" s="559"/>
      <c r="O56" s="559"/>
      <c r="P56" s="559"/>
      <c r="Q56" s="559"/>
      <c r="R56" s="559"/>
      <c r="S56" s="559"/>
      <c r="T56" s="559"/>
    </row>
    <row r="57" spans="2:20">
      <c r="B57" s="1511" t="s">
        <v>281</v>
      </c>
      <c r="C57" s="1486"/>
      <c r="D57" s="1512"/>
      <c r="E57" s="1513"/>
      <c r="F57" s="1513"/>
      <c r="G57" s="1513"/>
      <c r="H57" s="1514"/>
      <c r="I57" s="605"/>
      <c r="J57" s="606"/>
      <c r="K57" s="606"/>
      <c r="L57" s="606"/>
      <c r="M57" s="607"/>
      <c r="N57" s="598"/>
      <c r="O57" s="559"/>
      <c r="P57" s="559"/>
      <c r="Q57" s="559"/>
      <c r="R57" s="559"/>
      <c r="S57" s="559"/>
      <c r="T57" s="559"/>
    </row>
    <row r="58" spans="2:20">
      <c r="B58" s="1515" t="s">
        <v>514</v>
      </c>
      <c r="C58" s="1486" t="s">
        <v>515</v>
      </c>
      <c r="D58" s="1506">
        <f t="shared" ref="D58:M62" si="17">D89+D120</f>
        <v>0</v>
      </c>
      <c r="E58" s="1507">
        <f t="shared" si="17"/>
        <v>0</v>
      </c>
      <c r="F58" s="1507">
        <f t="shared" si="17"/>
        <v>0</v>
      </c>
      <c r="G58" s="1507">
        <f t="shared" si="17"/>
        <v>0</v>
      </c>
      <c r="H58" s="1508">
        <f t="shared" si="17"/>
        <v>0</v>
      </c>
      <c r="I58" s="1506">
        <f t="shared" si="17"/>
        <v>0</v>
      </c>
      <c r="J58" s="1509">
        <f t="shared" si="17"/>
        <v>0</v>
      </c>
      <c r="K58" s="1509">
        <f t="shared" si="17"/>
        <v>0</v>
      </c>
      <c r="L58" s="1509">
        <f t="shared" si="17"/>
        <v>0</v>
      </c>
      <c r="M58" s="1508">
        <f t="shared" si="17"/>
        <v>0</v>
      </c>
      <c r="N58" s="559"/>
      <c r="O58" s="559"/>
      <c r="P58" s="559"/>
      <c r="Q58" s="559"/>
      <c r="R58" s="559"/>
      <c r="S58" s="559"/>
      <c r="T58" s="559"/>
    </row>
    <row r="59" spans="2:20">
      <c r="B59" s="1516" t="s">
        <v>277</v>
      </c>
      <c r="C59" s="1486"/>
      <c r="D59" s="1506">
        <f t="shared" si="17"/>
        <v>0</v>
      </c>
      <c r="E59" s="1507">
        <f t="shared" si="17"/>
        <v>0</v>
      </c>
      <c r="F59" s="1507">
        <f t="shared" si="17"/>
        <v>0</v>
      </c>
      <c r="G59" s="1507">
        <f t="shared" si="17"/>
        <v>0</v>
      </c>
      <c r="H59" s="1508">
        <f t="shared" si="17"/>
        <v>0</v>
      </c>
      <c r="I59" s="1506">
        <f t="shared" si="17"/>
        <v>0</v>
      </c>
      <c r="J59" s="1509">
        <f t="shared" si="17"/>
        <v>0</v>
      </c>
      <c r="K59" s="1509">
        <f t="shared" si="17"/>
        <v>0</v>
      </c>
      <c r="L59" s="1509">
        <f t="shared" si="17"/>
        <v>0</v>
      </c>
      <c r="M59" s="1508">
        <f t="shared" si="17"/>
        <v>0</v>
      </c>
      <c r="N59" s="559"/>
      <c r="O59" s="559"/>
      <c r="P59" s="559"/>
      <c r="Q59" s="559"/>
      <c r="R59" s="559"/>
      <c r="S59" s="559"/>
      <c r="T59" s="559"/>
    </row>
    <row r="60" spans="2:20">
      <c r="B60" s="587" t="s">
        <v>268</v>
      </c>
      <c r="C60" s="1486"/>
      <c r="D60" s="1517"/>
      <c r="E60" s="1518"/>
      <c r="F60" s="1518"/>
      <c r="G60" s="1518"/>
      <c r="H60" s="1519"/>
      <c r="I60" s="1506">
        <f t="shared" si="17"/>
        <v>0</v>
      </c>
      <c r="J60" s="1509">
        <f t="shared" si="17"/>
        <v>0</v>
      </c>
      <c r="K60" s="1509">
        <f t="shared" si="17"/>
        <v>0</v>
      </c>
      <c r="L60" s="1509">
        <f t="shared" si="17"/>
        <v>0</v>
      </c>
      <c r="M60" s="1508">
        <f t="shared" si="17"/>
        <v>0</v>
      </c>
      <c r="N60" s="559"/>
      <c r="O60" s="559"/>
      <c r="P60" s="559"/>
      <c r="Q60" s="559"/>
      <c r="R60" s="559"/>
      <c r="S60" s="559"/>
      <c r="T60" s="559"/>
    </row>
    <row r="61" spans="2:20">
      <c r="B61" s="587" t="s">
        <v>269</v>
      </c>
      <c r="C61" s="1486" t="s">
        <v>515</v>
      </c>
      <c r="D61" s="1517"/>
      <c r="E61" s="1518"/>
      <c r="F61" s="1518"/>
      <c r="G61" s="1518"/>
      <c r="H61" s="1519"/>
      <c r="I61" s="1506">
        <f t="shared" si="17"/>
        <v>0</v>
      </c>
      <c r="J61" s="1509">
        <f t="shared" si="17"/>
        <v>0</v>
      </c>
      <c r="K61" s="1509">
        <f t="shared" si="17"/>
        <v>0</v>
      </c>
      <c r="L61" s="1509">
        <f t="shared" si="17"/>
        <v>0</v>
      </c>
      <c r="M61" s="1508">
        <f t="shared" si="17"/>
        <v>0</v>
      </c>
      <c r="N61" s="559"/>
      <c r="O61" s="559"/>
      <c r="P61" s="559"/>
      <c r="Q61" s="559"/>
      <c r="R61" s="559"/>
      <c r="S61" s="559"/>
      <c r="T61" s="559"/>
    </row>
    <row r="62" spans="2:20">
      <c r="B62" s="587" t="s">
        <v>282</v>
      </c>
      <c r="C62" s="1486"/>
      <c r="D62" s="1506">
        <f>D93+D124</f>
        <v>0</v>
      </c>
      <c r="E62" s="1509">
        <f>E93+E124</f>
        <v>0</v>
      </c>
      <c r="F62" s="1509">
        <f>F93+F124</f>
        <v>0</v>
      </c>
      <c r="G62" s="1509">
        <f>G93+G124</f>
        <v>0</v>
      </c>
      <c r="H62" s="1508">
        <f>H93+H124</f>
        <v>0</v>
      </c>
      <c r="I62" s="1506">
        <f t="shared" si="17"/>
        <v>0</v>
      </c>
      <c r="J62" s="1509">
        <f t="shared" si="17"/>
        <v>0</v>
      </c>
      <c r="K62" s="1509">
        <f t="shared" si="17"/>
        <v>0</v>
      </c>
      <c r="L62" s="1509">
        <f t="shared" si="17"/>
        <v>0</v>
      </c>
      <c r="M62" s="1508">
        <f t="shared" si="17"/>
        <v>0</v>
      </c>
      <c r="N62" s="559"/>
      <c r="O62" s="559"/>
      <c r="P62" s="559"/>
      <c r="Q62" s="559"/>
      <c r="R62" s="559"/>
      <c r="S62" s="559"/>
      <c r="T62" s="559"/>
    </row>
    <row r="63" spans="2:20">
      <c r="B63" s="1511" t="s">
        <v>283</v>
      </c>
      <c r="C63" s="1486"/>
      <c r="D63" s="1512"/>
      <c r="E63" s="1513"/>
      <c r="F63" s="1513"/>
      <c r="G63" s="1513"/>
      <c r="H63" s="1514"/>
      <c r="I63" s="1520"/>
      <c r="J63" s="1521"/>
      <c r="K63" s="1521"/>
      <c r="L63" s="1521"/>
      <c r="M63" s="1522"/>
      <c r="N63" s="598"/>
      <c r="O63" s="559"/>
      <c r="P63" s="559"/>
      <c r="Q63" s="559"/>
      <c r="R63" s="559"/>
      <c r="S63" s="559"/>
      <c r="T63" s="559"/>
    </row>
    <row r="64" spans="2:20">
      <c r="B64" s="1515" t="s">
        <v>514</v>
      </c>
      <c r="C64" s="1486" t="s">
        <v>515</v>
      </c>
      <c r="D64" s="1506">
        <f t="shared" ref="D64:M68" si="18">D95+D126</f>
        <v>0</v>
      </c>
      <c r="E64" s="1507">
        <f t="shared" si="18"/>
        <v>0</v>
      </c>
      <c r="F64" s="1507">
        <f t="shared" si="18"/>
        <v>0</v>
      </c>
      <c r="G64" s="1507">
        <f t="shared" si="18"/>
        <v>0</v>
      </c>
      <c r="H64" s="1508">
        <f t="shared" si="18"/>
        <v>0</v>
      </c>
      <c r="I64" s="1506">
        <f t="shared" si="18"/>
        <v>0</v>
      </c>
      <c r="J64" s="1509">
        <f t="shared" si="18"/>
        <v>0</v>
      </c>
      <c r="K64" s="1509">
        <f t="shared" si="18"/>
        <v>0</v>
      </c>
      <c r="L64" s="1509">
        <f t="shared" si="18"/>
        <v>0</v>
      </c>
      <c r="M64" s="1508">
        <f t="shared" si="18"/>
        <v>0</v>
      </c>
      <c r="N64" s="559"/>
      <c r="O64" s="559"/>
      <c r="P64" s="559"/>
      <c r="Q64" s="559"/>
      <c r="R64" s="559"/>
      <c r="S64" s="559"/>
      <c r="T64" s="559"/>
    </row>
    <row r="65" spans="1:20">
      <c r="B65" s="1516" t="s">
        <v>277</v>
      </c>
      <c r="C65" s="1486"/>
      <c r="D65" s="1506">
        <f t="shared" si="18"/>
        <v>0</v>
      </c>
      <c r="E65" s="1507">
        <f t="shared" si="18"/>
        <v>0</v>
      </c>
      <c r="F65" s="1507">
        <f t="shared" si="18"/>
        <v>0</v>
      </c>
      <c r="G65" s="1507">
        <f t="shared" si="18"/>
        <v>0</v>
      </c>
      <c r="H65" s="1508">
        <f t="shared" si="18"/>
        <v>0</v>
      </c>
      <c r="I65" s="1506">
        <f t="shared" si="18"/>
        <v>0</v>
      </c>
      <c r="J65" s="1509">
        <f t="shared" si="18"/>
        <v>0</v>
      </c>
      <c r="K65" s="1509">
        <f t="shared" si="18"/>
        <v>0</v>
      </c>
      <c r="L65" s="1509">
        <f t="shared" si="18"/>
        <v>0</v>
      </c>
      <c r="M65" s="1508">
        <f t="shared" si="18"/>
        <v>0</v>
      </c>
      <c r="N65" s="559"/>
      <c r="O65" s="559"/>
      <c r="P65" s="559"/>
      <c r="Q65" s="559"/>
      <c r="R65" s="559"/>
      <c r="S65" s="559"/>
      <c r="T65" s="559"/>
    </row>
    <row r="66" spans="1:20">
      <c r="B66" s="587" t="s">
        <v>270</v>
      </c>
      <c r="C66" s="1486"/>
      <c r="D66" s="1517"/>
      <c r="E66" s="1518"/>
      <c r="F66" s="1518"/>
      <c r="G66" s="1518"/>
      <c r="H66" s="1519"/>
      <c r="I66" s="1506">
        <f t="shared" si="18"/>
        <v>0</v>
      </c>
      <c r="J66" s="1509">
        <f t="shared" si="18"/>
        <v>0</v>
      </c>
      <c r="K66" s="1509">
        <f t="shared" si="18"/>
        <v>0</v>
      </c>
      <c r="L66" s="1509">
        <f t="shared" si="18"/>
        <v>0</v>
      </c>
      <c r="M66" s="1508">
        <f t="shared" si="18"/>
        <v>0</v>
      </c>
      <c r="N66" s="559"/>
      <c r="O66" s="559"/>
      <c r="P66" s="559"/>
      <c r="Q66" s="559"/>
      <c r="R66" s="559"/>
      <c r="S66" s="559"/>
      <c r="T66" s="559"/>
    </row>
    <row r="67" spans="1:20">
      <c r="B67" s="587" t="s">
        <v>271</v>
      </c>
      <c r="C67" s="1486" t="s">
        <v>515</v>
      </c>
      <c r="D67" s="1517"/>
      <c r="E67" s="1518"/>
      <c r="F67" s="1518"/>
      <c r="G67" s="1518"/>
      <c r="H67" s="1519"/>
      <c r="I67" s="1506">
        <f t="shared" si="18"/>
        <v>0</v>
      </c>
      <c r="J67" s="1509">
        <f t="shared" si="18"/>
        <v>0</v>
      </c>
      <c r="K67" s="1509">
        <f t="shared" si="18"/>
        <v>0</v>
      </c>
      <c r="L67" s="1509">
        <f t="shared" si="18"/>
        <v>0</v>
      </c>
      <c r="M67" s="1508">
        <f t="shared" si="18"/>
        <v>0</v>
      </c>
      <c r="N67" s="559"/>
      <c r="O67" s="559"/>
      <c r="P67" s="559"/>
      <c r="Q67" s="559"/>
      <c r="R67" s="559"/>
      <c r="S67" s="559"/>
      <c r="T67" s="559"/>
    </row>
    <row r="68" spans="1:20">
      <c r="B68" s="587" t="s">
        <v>284</v>
      </c>
      <c r="C68" s="1486"/>
      <c r="D68" s="1506">
        <f>D99+D130</f>
        <v>0</v>
      </c>
      <c r="E68" s="1509">
        <f>E99+E130</f>
        <v>0</v>
      </c>
      <c r="F68" s="1509">
        <f>F99+F130</f>
        <v>0</v>
      </c>
      <c r="G68" s="1509">
        <f>G99+G130</f>
        <v>0</v>
      </c>
      <c r="H68" s="1508">
        <f>H99+H130</f>
        <v>0</v>
      </c>
      <c r="I68" s="1506">
        <f t="shared" si="18"/>
        <v>0</v>
      </c>
      <c r="J68" s="1509">
        <f t="shared" si="18"/>
        <v>0</v>
      </c>
      <c r="K68" s="1509">
        <f t="shared" si="18"/>
        <v>0</v>
      </c>
      <c r="L68" s="1509">
        <f t="shared" si="18"/>
        <v>0</v>
      </c>
      <c r="M68" s="1508">
        <f t="shared" si="18"/>
        <v>0</v>
      </c>
      <c r="N68" s="559"/>
      <c r="O68" s="559"/>
      <c r="P68" s="559"/>
      <c r="Q68" s="559"/>
      <c r="R68" s="559"/>
      <c r="S68" s="559"/>
      <c r="T68" s="559"/>
    </row>
    <row r="69" spans="1:20">
      <c r="B69" s="1511" t="s">
        <v>285</v>
      </c>
      <c r="C69" s="1486"/>
      <c r="D69" s="1512"/>
      <c r="E69" s="1513"/>
      <c r="F69" s="1513"/>
      <c r="G69" s="1513"/>
      <c r="H69" s="1514"/>
      <c r="I69" s="1520"/>
      <c r="J69" s="1521"/>
      <c r="K69" s="1521"/>
      <c r="L69" s="1521"/>
      <c r="M69" s="1522"/>
      <c r="N69" s="598"/>
      <c r="O69" s="559"/>
      <c r="P69" s="559"/>
      <c r="Q69" s="559"/>
      <c r="R69" s="559"/>
      <c r="S69" s="559"/>
      <c r="T69" s="559"/>
    </row>
    <row r="70" spans="1:20">
      <c r="B70" s="1515" t="s">
        <v>514</v>
      </c>
      <c r="C70" s="1486" t="s">
        <v>515</v>
      </c>
      <c r="D70" s="1523">
        <f t="shared" ref="D70:M74" si="19">D101+D132</f>
        <v>0</v>
      </c>
      <c r="E70" s="1524">
        <f t="shared" si="19"/>
        <v>0</v>
      </c>
      <c r="F70" s="1524">
        <f t="shared" si="19"/>
        <v>0</v>
      </c>
      <c r="G70" s="1524">
        <f t="shared" si="19"/>
        <v>0</v>
      </c>
      <c r="H70" s="1525">
        <f t="shared" si="19"/>
        <v>0</v>
      </c>
      <c r="I70" s="1523">
        <f t="shared" si="19"/>
        <v>0</v>
      </c>
      <c r="J70" s="1526">
        <f t="shared" si="19"/>
        <v>0</v>
      </c>
      <c r="K70" s="1526">
        <f t="shared" si="19"/>
        <v>0</v>
      </c>
      <c r="L70" s="1526">
        <f t="shared" si="19"/>
        <v>0</v>
      </c>
      <c r="M70" s="1525">
        <f t="shared" si="19"/>
        <v>0</v>
      </c>
      <c r="N70" s="559"/>
      <c r="O70" s="559"/>
      <c r="P70" s="559"/>
      <c r="Q70" s="559"/>
      <c r="R70" s="559"/>
      <c r="S70" s="559"/>
      <c r="T70" s="559"/>
    </row>
    <row r="71" spans="1:20">
      <c r="B71" s="1516" t="s">
        <v>277</v>
      </c>
      <c r="C71" s="1486"/>
      <c r="D71" s="1523">
        <f t="shared" si="19"/>
        <v>0</v>
      </c>
      <c r="E71" s="1524">
        <f t="shared" si="19"/>
        <v>0</v>
      </c>
      <c r="F71" s="1524">
        <f t="shared" si="19"/>
        <v>0</v>
      </c>
      <c r="G71" s="1524">
        <f t="shared" si="19"/>
        <v>0</v>
      </c>
      <c r="H71" s="1525">
        <f t="shared" si="19"/>
        <v>0</v>
      </c>
      <c r="I71" s="1523">
        <f t="shared" si="19"/>
        <v>0</v>
      </c>
      <c r="J71" s="1526">
        <f t="shared" si="19"/>
        <v>0</v>
      </c>
      <c r="K71" s="1526">
        <f t="shared" si="19"/>
        <v>0</v>
      </c>
      <c r="L71" s="1526">
        <f t="shared" si="19"/>
        <v>0</v>
      </c>
      <c r="M71" s="1525">
        <f t="shared" si="19"/>
        <v>0</v>
      </c>
      <c r="N71" s="559"/>
      <c r="O71" s="559"/>
      <c r="P71" s="559"/>
      <c r="Q71" s="559"/>
      <c r="R71" s="559"/>
      <c r="S71" s="559"/>
      <c r="T71" s="559"/>
    </row>
    <row r="72" spans="1:20">
      <c r="B72" s="587" t="s">
        <v>272</v>
      </c>
      <c r="C72" s="1486"/>
      <c r="D72" s="1527"/>
      <c r="E72" s="1528"/>
      <c r="F72" s="1528"/>
      <c r="G72" s="1528"/>
      <c r="H72" s="1529"/>
      <c r="I72" s="1523">
        <f t="shared" si="19"/>
        <v>0</v>
      </c>
      <c r="J72" s="1526">
        <f t="shared" si="19"/>
        <v>0</v>
      </c>
      <c r="K72" s="1526">
        <f t="shared" si="19"/>
        <v>0</v>
      </c>
      <c r="L72" s="1526">
        <f t="shared" si="19"/>
        <v>0</v>
      </c>
      <c r="M72" s="1525">
        <f t="shared" si="19"/>
        <v>0</v>
      </c>
      <c r="N72" s="559"/>
      <c r="O72" s="559"/>
      <c r="P72" s="559"/>
      <c r="Q72" s="559"/>
      <c r="R72" s="559"/>
      <c r="S72" s="559"/>
      <c r="T72" s="559"/>
    </row>
    <row r="73" spans="1:20">
      <c r="B73" s="587" t="s">
        <v>273</v>
      </c>
      <c r="C73" s="1486" t="s">
        <v>515</v>
      </c>
      <c r="D73" s="1527"/>
      <c r="E73" s="1528"/>
      <c r="F73" s="1528"/>
      <c r="G73" s="1528"/>
      <c r="H73" s="1529"/>
      <c r="I73" s="1523">
        <f t="shared" si="19"/>
        <v>0</v>
      </c>
      <c r="J73" s="1526">
        <f t="shared" si="19"/>
        <v>0</v>
      </c>
      <c r="K73" s="1526">
        <f t="shared" si="19"/>
        <v>0</v>
      </c>
      <c r="L73" s="1526">
        <f t="shared" si="19"/>
        <v>0</v>
      </c>
      <c r="M73" s="1525">
        <f t="shared" si="19"/>
        <v>0</v>
      </c>
      <c r="N73" s="559"/>
      <c r="O73" s="559"/>
      <c r="P73" s="559"/>
      <c r="Q73" s="559"/>
      <c r="R73" s="559"/>
      <c r="S73" s="559"/>
      <c r="T73" s="559"/>
    </row>
    <row r="74" spans="1:20">
      <c r="B74" s="587" t="s">
        <v>286</v>
      </c>
      <c r="C74" s="1486"/>
      <c r="D74" s="1523">
        <f>D105+D136</f>
        <v>0</v>
      </c>
      <c r="E74" s="1524">
        <f>E105+E136</f>
        <v>0</v>
      </c>
      <c r="F74" s="1524">
        <f>F105+F136</f>
        <v>0</v>
      </c>
      <c r="G74" s="1524">
        <f>G105+G136</f>
        <v>0</v>
      </c>
      <c r="H74" s="1525">
        <f>H105+H136</f>
        <v>0</v>
      </c>
      <c r="I74" s="1523">
        <f t="shared" si="19"/>
        <v>0</v>
      </c>
      <c r="J74" s="1526">
        <f t="shared" si="19"/>
        <v>0</v>
      </c>
      <c r="K74" s="1526">
        <f t="shared" si="19"/>
        <v>0</v>
      </c>
      <c r="L74" s="1526">
        <f t="shared" si="19"/>
        <v>0</v>
      </c>
      <c r="M74" s="1525">
        <f t="shared" si="19"/>
        <v>0</v>
      </c>
      <c r="N74" s="559"/>
      <c r="O74" s="559"/>
      <c r="P74" s="559"/>
      <c r="Q74" s="559"/>
      <c r="R74" s="559"/>
      <c r="S74" s="559"/>
      <c r="T74" s="559"/>
    </row>
    <row r="75" spans="1:20" ht="13.5" thickBot="1">
      <c r="B75" s="1530" t="s">
        <v>847</v>
      </c>
      <c r="C75" s="1495" t="s">
        <v>515</v>
      </c>
      <c r="D75" s="1531">
        <f t="shared" ref="D75:M75" si="20">SUM(D52:D55,D58:D61,D64:D67,D70:D73)</f>
        <v>0</v>
      </c>
      <c r="E75" s="1532">
        <f t="shared" si="20"/>
        <v>0</v>
      </c>
      <c r="F75" s="1532">
        <f t="shared" si="20"/>
        <v>0</v>
      </c>
      <c r="G75" s="1532">
        <f t="shared" si="20"/>
        <v>0</v>
      </c>
      <c r="H75" s="1533">
        <f t="shared" si="20"/>
        <v>0</v>
      </c>
      <c r="I75" s="1531">
        <f t="shared" si="20"/>
        <v>0</v>
      </c>
      <c r="J75" s="1532">
        <f t="shared" si="20"/>
        <v>0</v>
      </c>
      <c r="K75" s="1532">
        <f t="shared" si="20"/>
        <v>0</v>
      </c>
      <c r="L75" s="1532">
        <f t="shared" si="20"/>
        <v>0</v>
      </c>
      <c r="M75" s="1533">
        <f t="shared" si="20"/>
        <v>0</v>
      </c>
      <c r="N75" s="608"/>
      <c r="O75" s="559"/>
      <c r="P75" s="559"/>
      <c r="Q75" s="559"/>
      <c r="R75" s="559"/>
      <c r="S75" s="559"/>
      <c r="T75" s="559"/>
    </row>
    <row r="76" spans="1:20">
      <c r="B76" s="1534"/>
      <c r="C76" s="609"/>
      <c r="D76" s="559"/>
      <c r="E76" s="559"/>
      <c r="F76" s="559"/>
      <c r="G76" s="559"/>
      <c r="H76" s="559"/>
      <c r="I76" s="559"/>
      <c r="J76" s="559"/>
      <c r="K76" s="559"/>
      <c r="L76" s="559"/>
      <c r="M76" s="559"/>
      <c r="N76" s="559"/>
      <c r="O76" s="559"/>
      <c r="P76" s="559"/>
      <c r="Q76" s="559"/>
      <c r="R76" s="559"/>
      <c r="S76" s="559"/>
      <c r="T76" s="559"/>
    </row>
    <row r="77" spans="1:20">
      <c r="B77" s="1446" t="s">
        <v>287</v>
      </c>
      <c r="N77" s="559"/>
      <c r="O77" s="559"/>
      <c r="P77" s="559"/>
      <c r="Q77" s="559"/>
      <c r="R77" s="559"/>
      <c r="S77" s="559"/>
      <c r="T77" s="559"/>
    </row>
    <row r="78" spans="1:20" ht="13.5" thickBot="1">
      <c r="B78" s="1446"/>
      <c r="N78" s="559"/>
      <c r="O78" s="559"/>
      <c r="P78" s="559"/>
      <c r="Q78" s="559"/>
      <c r="R78" s="559"/>
      <c r="S78" s="559"/>
      <c r="T78" s="559"/>
    </row>
    <row r="79" spans="1:20">
      <c r="A79" s="610"/>
      <c r="B79" s="1902"/>
      <c r="C79" s="1900" t="s">
        <v>31</v>
      </c>
      <c r="D79" s="1448" t="s">
        <v>116</v>
      </c>
      <c r="E79" s="1449"/>
      <c r="F79" s="1449"/>
      <c r="G79" s="1449"/>
      <c r="H79" s="560"/>
      <c r="I79" s="1448" t="s">
        <v>117</v>
      </c>
      <c r="J79" s="561"/>
      <c r="K79" s="561"/>
      <c r="L79" s="560"/>
      <c r="M79" s="560"/>
      <c r="N79" s="559"/>
      <c r="O79" s="559"/>
      <c r="P79" s="559"/>
      <c r="Q79" s="559"/>
      <c r="R79" s="559"/>
      <c r="S79" s="559"/>
      <c r="T79" s="559"/>
    </row>
    <row r="80" spans="1:20">
      <c r="A80" s="610"/>
      <c r="B80" s="1903"/>
      <c r="C80" s="1901"/>
      <c r="D80" s="1453" t="s">
        <v>32</v>
      </c>
      <c r="E80" s="1454" t="s">
        <v>33</v>
      </c>
      <c r="F80" s="1454" t="s">
        <v>29</v>
      </c>
      <c r="G80" s="1454" t="s">
        <v>34</v>
      </c>
      <c r="H80" s="1455" t="s">
        <v>35</v>
      </c>
      <c r="I80" s="1453" t="s">
        <v>118</v>
      </c>
      <c r="J80" s="1454" t="s">
        <v>136</v>
      </c>
      <c r="K80" s="1454" t="s">
        <v>137</v>
      </c>
      <c r="L80" s="1458" t="s">
        <v>138</v>
      </c>
      <c r="M80" s="1535" t="s">
        <v>139</v>
      </c>
      <c r="N80" s="559"/>
      <c r="O80" s="559"/>
      <c r="P80" s="559"/>
      <c r="Q80" s="559"/>
      <c r="R80" s="559"/>
      <c r="S80" s="559"/>
      <c r="T80" s="559"/>
    </row>
    <row r="81" spans="1:20">
      <c r="A81" s="610"/>
      <c r="B81" s="1496" t="s">
        <v>275</v>
      </c>
      <c r="C81" s="1497"/>
      <c r="D81" s="1498"/>
      <c r="E81" s="1499"/>
      <c r="F81" s="1499"/>
      <c r="G81" s="1499"/>
      <c r="H81" s="1500"/>
      <c r="I81" s="595"/>
      <c r="J81" s="596"/>
      <c r="K81" s="596"/>
      <c r="L81" s="611"/>
      <c r="M81" s="597"/>
      <c r="N81" s="598"/>
      <c r="O81" s="559"/>
      <c r="P81" s="559"/>
      <c r="Q81" s="559"/>
      <c r="R81" s="559"/>
      <c r="S81" s="559"/>
      <c r="T81" s="559"/>
    </row>
    <row r="82" spans="1:20">
      <c r="A82" s="610"/>
      <c r="B82" s="1501" t="s">
        <v>276</v>
      </c>
      <c r="C82" s="1536"/>
      <c r="D82" s="1502"/>
      <c r="E82" s="1503"/>
      <c r="F82" s="1503"/>
      <c r="G82" s="1503"/>
      <c r="H82" s="1504"/>
      <c r="I82" s="599"/>
      <c r="J82" s="600"/>
      <c r="K82" s="600"/>
      <c r="L82" s="612"/>
      <c r="M82" s="601"/>
      <c r="N82" s="598"/>
      <c r="O82" s="559"/>
      <c r="P82" s="559"/>
      <c r="Q82" s="559"/>
      <c r="R82" s="559"/>
      <c r="S82" s="559"/>
      <c r="T82" s="559"/>
    </row>
    <row r="83" spans="1:20">
      <c r="A83" s="610"/>
      <c r="B83" s="1505" t="s">
        <v>514</v>
      </c>
      <c r="C83" s="1486" t="s">
        <v>515</v>
      </c>
      <c r="D83" s="613"/>
      <c r="E83" s="614"/>
      <c r="F83" s="614"/>
      <c r="G83" s="614"/>
      <c r="H83" s="615"/>
      <c r="I83" s="613"/>
      <c r="J83" s="616"/>
      <c r="K83" s="616"/>
      <c r="L83" s="616"/>
      <c r="M83" s="617"/>
      <c r="N83" s="559"/>
      <c r="O83" s="559"/>
      <c r="P83" s="559"/>
      <c r="Q83" s="559"/>
      <c r="R83" s="559"/>
      <c r="S83" s="559"/>
      <c r="T83" s="559"/>
    </row>
    <row r="84" spans="1:20">
      <c r="A84" s="610"/>
      <c r="B84" s="1510" t="s">
        <v>277</v>
      </c>
      <c r="C84" s="1486"/>
      <c r="D84" s="613"/>
      <c r="E84" s="614"/>
      <c r="F84" s="614"/>
      <c r="G84" s="614"/>
      <c r="H84" s="615"/>
      <c r="I84" s="613"/>
      <c r="J84" s="616"/>
      <c r="K84" s="616"/>
      <c r="L84" s="616"/>
      <c r="M84" s="617"/>
      <c r="N84" s="559"/>
      <c r="O84" s="559"/>
      <c r="P84" s="559"/>
      <c r="Q84" s="559"/>
      <c r="R84" s="559"/>
      <c r="S84" s="559"/>
      <c r="T84" s="559"/>
    </row>
    <row r="85" spans="1:20">
      <c r="A85" s="610"/>
      <c r="B85" s="587" t="s">
        <v>278</v>
      </c>
      <c r="C85" s="1486"/>
      <c r="D85" s="1517"/>
      <c r="E85" s="1518"/>
      <c r="F85" s="1518"/>
      <c r="G85" s="1518"/>
      <c r="H85" s="1519"/>
      <c r="I85" s="613"/>
      <c r="J85" s="616"/>
      <c r="K85" s="616"/>
      <c r="L85" s="616"/>
      <c r="M85" s="617"/>
      <c r="N85" s="559"/>
      <c r="O85" s="559"/>
      <c r="P85" s="559"/>
      <c r="Q85" s="559"/>
      <c r="R85" s="559"/>
      <c r="S85" s="559"/>
      <c r="T85" s="559"/>
    </row>
    <row r="86" spans="1:20">
      <c r="A86" s="610"/>
      <c r="B86" s="587" t="s">
        <v>279</v>
      </c>
      <c r="C86" s="1486" t="s">
        <v>515</v>
      </c>
      <c r="D86" s="1517"/>
      <c r="E86" s="1518"/>
      <c r="F86" s="1518"/>
      <c r="G86" s="1518"/>
      <c r="H86" s="1519"/>
      <c r="I86" s="613"/>
      <c r="J86" s="616"/>
      <c r="K86" s="616"/>
      <c r="L86" s="616"/>
      <c r="M86" s="617"/>
      <c r="N86" s="559"/>
      <c r="O86" s="559"/>
      <c r="P86" s="559"/>
      <c r="Q86" s="559"/>
      <c r="R86" s="559"/>
      <c r="S86" s="559"/>
      <c r="T86" s="559"/>
    </row>
    <row r="87" spans="1:20">
      <c r="A87" s="610"/>
      <c r="B87" s="587" t="s">
        <v>280</v>
      </c>
      <c r="C87" s="1486"/>
      <c r="D87" s="613"/>
      <c r="E87" s="616"/>
      <c r="F87" s="616"/>
      <c r="G87" s="616"/>
      <c r="H87" s="615"/>
      <c r="I87" s="1537">
        <f>SUM(I85:I86)</f>
        <v>0</v>
      </c>
      <c r="J87" s="1538">
        <f>SUM(J85:J86)</f>
        <v>0</v>
      </c>
      <c r="K87" s="1538">
        <f>SUM(K85:K86)</f>
        <v>0</v>
      </c>
      <c r="L87" s="1538">
        <f>SUM(L85:L86)</f>
        <v>0</v>
      </c>
      <c r="M87" s="1539">
        <f>SUM(M85:M86)</f>
        <v>0</v>
      </c>
      <c r="N87" s="559"/>
      <c r="O87" s="559"/>
      <c r="P87" s="559"/>
      <c r="Q87" s="559"/>
      <c r="R87" s="559"/>
      <c r="S87" s="559"/>
      <c r="T87" s="559"/>
    </row>
    <row r="88" spans="1:20">
      <c r="A88" s="610"/>
      <c r="B88" s="1511" t="s">
        <v>288</v>
      </c>
      <c r="C88" s="1486"/>
      <c r="D88" s="1512"/>
      <c r="E88" s="1513"/>
      <c r="F88" s="1513"/>
      <c r="G88" s="1513"/>
      <c r="H88" s="1514"/>
      <c r="I88" s="605"/>
      <c r="J88" s="606"/>
      <c r="K88" s="606"/>
      <c r="L88" s="618"/>
      <c r="M88" s="607"/>
      <c r="N88" s="598"/>
      <c r="O88" s="559"/>
      <c r="P88" s="559"/>
      <c r="Q88" s="559"/>
      <c r="R88" s="559"/>
      <c r="S88" s="559"/>
      <c r="T88" s="559"/>
    </row>
    <row r="89" spans="1:20">
      <c r="A89" s="610"/>
      <c r="B89" s="1515" t="s">
        <v>514</v>
      </c>
      <c r="C89" s="1486" t="s">
        <v>515</v>
      </c>
      <c r="D89" s="613"/>
      <c r="E89" s="614"/>
      <c r="F89" s="614"/>
      <c r="G89" s="614"/>
      <c r="H89" s="615"/>
      <c r="I89" s="613"/>
      <c r="J89" s="616"/>
      <c r="K89" s="616"/>
      <c r="L89" s="616"/>
      <c r="M89" s="617"/>
      <c r="N89" s="559"/>
      <c r="O89" s="559"/>
      <c r="P89" s="559"/>
      <c r="Q89" s="559"/>
      <c r="R89" s="559"/>
      <c r="S89" s="559"/>
      <c r="T89" s="559"/>
    </row>
    <row r="90" spans="1:20">
      <c r="A90" s="610"/>
      <c r="B90" s="1516" t="s">
        <v>277</v>
      </c>
      <c r="C90" s="1486"/>
      <c r="D90" s="613"/>
      <c r="E90" s="614"/>
      <c r="F90" s="614"/>
      <c r="G90" s="614"/>
      <c r="H90" s="615"/>
      <c r="I90" s="613"/>
      <c r="J90" s="616"/>
      <c r="K90" s="616"/>
      <c r="L90" s="616"/>
      <c r="M90" s="617"/>
      <c r="N90" s="559"/>
      <c r="O90" s="559"/>
      <c r="P90" s="559"/>
      <c r="Q90" s="559"/>
      <c r="R90" s="559"/>
      <c r="S90" s="559"/>
      <c r="T90" s="559"/>
    </row>
    <row r="91" spans="1:20">
      <c r="A91" s="610"/>
      <c r="B91" s="587" t="s">
        <v>268</v>
      </c>
      <c r="C91" s="1486"/>
      <c r="D91" s="1517"/>
      <c r="E91" s="1518"/>
      <c r="F91" s="1518"/>
      <c r="G91" s="1518"/>
      <c r="H91" s="1519"/>
      <c r="I91" s="613"/>
      <c r="J91" s="616"/>
      <c r="K91" s="616"/>
      <c r="L91" s="616"/>
      <c r="M91" s="617"/>
      <c r="N91" s="559"/>
      <c r="O91" s="559"/>
      <c r="P91" s="559"/>
      <c r="Q91" s="559"/>
      <c r="R91" s="559"/>
      <c r="S91" s="559"/>
      <c r="T91" s="559"/>
    </row>
    <row r="92" spans="1:20">
      <c r="A92" s="610"/>
      <c r="B92" s="587" t="s">
        <v>269</v>
      </c>
      <c r="C92" s="1486" t="s">
        <v>515</v>
      </c>
      <c r="D92" s="1517"/>
      <c r="E92" s="1518"/>
      <c r="F92" s="1518"/>
      <c r="G92" s="1518"/>
      <c r="H92" s="1519"/>
      <c r="I92" s="613"/>
      <c r="J92" s="616"/>
      <c r="K92" s="616"/>
      <c r="L92" s="616"/>
      <c r="M92" s="617"/>
      <c r="N92" s="559"/>
      <c r="O92" s="559"/>
      <c r="P92" s="559"/>
      <c r="Q92" s="559"/>
      <c r="R92" s="559"/>
      <c r="S92" s="559"/>
      <c r="T92" s="559"/>
    </row>
    <row r="93" spans="1:20">
      <c r="A93" s="610"/>
      <c r="B93" s="587" t="s">
        <v>282</v>
      </c>
      <c r="C93" s="1486"/>
      <c r="D93" s="613"/>
      <c r="E93" s="616"/>
      <c r="F93" s="616"/>
      <c r="G93" s="616"/>
      <c r="H93" s="615"/>
      <c r="I93" s="1537">
        <f>SUM(I91:I92)</f>
        <v>0</v>
      </c>
      <c r="J93" s="1537">
        <f>SUM(J91:J92)</f>
        <v>0</v>
      </c>
      <c r="K93" s="1537">
        <f>SUM(K91:K92)</f>
        <v>0</v>
      </c>
      <c r="L93" s="1537">
        <f>SUM(L91:L92)</f>
        <v>0</v>
      </c>
      <c r="M93" s="1537">
        <f>SUM(M91:M92)</f>
        <v>0</v>
      </c>
      <c r="N93" s="559"/>
      <c r="O93" s="559"/>
      <c r="P93" s="559"/>
      <c r="Q93" s="559"/>
      <c r="R93" s="559"/>
      <c r="S93" s="559"/>
      <c r="T93" s="559"/>
    </row>
    <row r="94" spans="1:20">
      <c r="A94" s="610"/>
      <c r="B94" s="1511" t="s">
        <v>289</v>
      </c>
      <c r="C94" s="1486"/>
      <c r="D94" s="1512"/>
      <c r="E94" s="1513"/>
      <c r="F94" s="1513"/>
      <c r="G94" s="1513"/>
      <c r="H94" s="1514"/>
      <c r="I94" s="605"/>
      <c r="J94" s="606"/>
      <c r="K94" s="606"/>
      <c r="L94" s="618"/>
      <c r="M94" s="607"/>
      <c r="N94" s="598"/>
      <c r="O94" s="559"/>
      <c r="P94" s="559"/>
      <c r="Q94" s="559"/>
      <c r="R94" s="559"/>
      <c r="S94" s="559"/>
      <c r="T94" s="559"/>
    </row>
    <row r="95" spans="1:20">
      <c r="A95" s="610"/>
      <c r="B95" s="1515" t="s">
        <v>514</v>
      </c>
      <c r="C95" s="1486" t="s">
        <v>515</v>
      </c>
      <c r="D95" s="613"/>
      <c r="E95" s="614"/>
      <c r="F95" s="614"/>
      <c r="G95" s="614"/>
      <c r="H95" s="615"/>
      <c r="I95" s="613"/>
      <c r="J95" s="616"/>
      <c r="K95" s="616"/>
      <c r="L95" s="616"/>
      <c r="M95" s="617"/>
      <c r="N95" s="559"/>
      <c r="O95" s="559"/>
      <c r="P95" s="559"/>
      <c r="Q95" s="559"/>
      <c r="R95" s="559"/>
      <c r="S95" s="559"/>
      <c r="T95" s="559"/>
    </row>
    <row r="96" spans="1:20">
      <c r="A96" s="610"/>
      <c r="B96" s="1516" t="s">
        <v>277</v>
      </c>
      <c r="C96" s="1486"/>
      <c r="D96" s="613"/>
      <c r="E96" s="614"/>
      <c r="F96" s="614"/>
      <c r="G96" s="614"/>
      <c r="H96" s="615"/>
      <c r="I96" s="613"/>
      <c r="J96" s="616"/>
      <c r="K96" s="616"/>
      <c r="L96" s="616"/>
      <c r="M96" s="617"/>
      <c r="N96" s="559"/>
      <c r="O96" s="559"/>
      <c r="P96" s="559"/>
      <c r="Q96" s="559"/>
      <c r="R96" s="559"/>
      <c r="S96" s="559"/>
      <c r="T96" s="559"/>
    </row>
    <row r="97" spans="1:20">
      <c r="A97" s="610"/>
      <c r="B97" s="587" t="s">
        <v>270</v>
      </c>
      <c r="C97" s="1486"/>
      <c r="D97" s="602"/>
      <c r="E97" s="603"/>
      <c r="F97" s="603"/>
      <c r="G97" s="603"/>
      <c r="H97" s="604"/>
      <c r="I97" s="613"/>
      <c r="J97" s="616"/>
      <c r="K97" s="616"/>
      <c r="L97" s="616"/>
      <c r="M97" s="617"/>
      <c r="N97" s="559"/>
      <c r="O97" s="559"/>
      <c r="P97" s="559"/>
      <c r="Q97" s="559"/>
      <c r="R97" s="559"/>
      <c r="S97" s="559"/>
      <c r="T97" s="559"/>
    </row>
    <row r="98" spans="1:20">
      <c r="A98" s="610"/>
      <c r="B98" s="587" t="s">
        <v>271</v>
      </c>
      <c r="C98" s="1486" t="s">
        <v>515</v>
      </c>
      <c r="D98" s="602"/>
      <c r="E98" s="603"/>
      <c r="F98" s="603"/>
      <c r="G98" s="603"/>
      <c r="H98" s="604"/>
      <c r="I98" s="613"/>
      <c r="J98" s="616"/>
      <c r="K98" s="616"/>
      <c r="L98" s="616"/>
      <c r="M98" s="617"/>
      <c r="N98" s="559"/>
      <c r="O98" s="559"/>
      <c r="P98" s="559"/>
      <c r="Q98" s="559"/>
      <c r="R98" s="559"/>
      <c r="S98" s="559"/>
      <c r="T98" s="559"/>
    </row>
    <row r="99" spans="1:20">
      <c r="A99" s="610"/>
      <c r="B99" s="587" t="s">
        <v>284</v>
      </c>
      <c r="C99" s="1486"/>
      <c r="D99" s="613"/>
      <c r="E99" s="616"/>
      <c r="F99" s="616"/>
      <c r="G99" s="616"/>
      <c r="H99" s="615"/>
      <c r="I99" s="1537">
        <f>SUM(I97:I98)</f>
        <v>0</v>
      </c>
      <c r="J99" s="1537">
        <f>SUM(J97:J98)</f>
        <v>0</v>
      </c>
      <c r="K99" s="1537">
        <f>SUM(K97:K98)</f>
        <v>0</v>
      </c>
      <c r="L99" s="1537">
        <f>SUM(L97:L98)</f>
        <v>0</v>
      </c>
      <c r="M99" s="1537">
        <f>SUM(M97:M98)</f>
        <v>0</v>
      </c>
      <c r="N99" s="559"/>
      <c r="O99" s="559"/>
      <c r="P99" s="559"/>
      <c r="Q99" s="559"/>
      <c r="R99" s="559"/>
      <c r="S99" s="559"/>
      <c r="T99" s="559"/>
    </row>
    <row r="100" spans="1:20">
      <c r="A100" s="610"/>
      <c r="B100" s="1511" t="s">
        <v>290</v>
      </c>
      <c r="C100" s="1486"/>
      <c r="D100" s="1512"/>
      <c r="E100" s="1513"/>
      <c r="F100" s="1513"/>
      <c r="G100" s="1513"/>
      <c r="H100" s="1514"/>
      <c r="I100" s="605"/>
      <c r="J100" s="606"/>
      <c r="K100" s="606"/>
      <c r="L100" s="618"/>
      <c r="M100" s="607"/>
      <c r="N100" s="598"/>
      <c r="O100" s="559"/>
      <c r="P100" s="559"/>
      <c r="Q100" s="559"/>
      <c r="R100" s="559"/>
      <c r="S100" s="559"/>
      <c r="T100" s="559"/>
    </row>
    <row r="101" spans="1:20">
      <c r="A101" s="610"/>
      <c r="B101" s="1515" t="s">
        <v>514</v>
      </c>
      <c r="C101" s="1486" t="s">
        <v>515</v>
      </c>
      <c r="D101" s="619"/>
      <c r="E101" s="620"/>
      <c r="F101" s="620"/>
      <c r="G101" s="620"/>
      <c r="H101" s="621"/>
      <c r="I101" s="619"/>
      <c r="J101" s="622"/>
      <c r="K101" s="622"/>
      <c r="L101" s="622"/>
      <c r="M101" s="623"/>
      <c r="N101" s="559"/>
      <c r="O101" s="559"/>
      <c r="P101" s="559"/>
      <c r="Q101" s="559"/>
      <c r="R101" s="559"/>
      <c r="S101" s="559"/>
      <c r="T101" s="559"/>
    </row>
    <row r="102" spans="1:20">
      <c r="A102" s="610"/>
      <c r="B102" s="1516" t="s">
        <v>277</v>
      </c>
      <c r="C102" s="1486"/>
      <c r="D102" s="619"/>
      <c r="E102" s="620"/>
      <c r="F102" s="620"/>
      <c r="G102" s="620"/>
      <c r="H102" s="621"/>
      <c r="I102" s="619"/>
      <c r="J102" s="622"/>
      <c r="K102" s="622"/>
      <c r="L102" s="622"/>
      <c r="M102" s="623"/>
      <c r="N102" s="559"/>
      <c r="O102" s="559"/>
      <c r="P102" s="559"/>
      <c r="Q102" s="559"/>
      <c r="R102" s="559"/>
      <c r="S102" s="559"/>
      <c r="T102" s="559"/>
    </row>
    <row r="103" spans="1:20">
      <c r="A103" s="610"/>
      <c r="B103" s="587" t="s">
        <v>272</v>
      </c>
      <c r="C103" s="1486"/>
      <c r="D103" s="624"/>
      <c r="E103" s="625"/>
      <c r="F103" s="625"/>
      <c r="G103" s="625"/>
      <c r="H103" s="626"/>
      <c r="I103" s="619"/>
      <c r="J103" s="622"/>
      <c r="K103" s="622"/>
      <c r="L103" s="622"/>
      <c r="M103" s="623"/>
      <c r="N103" s="559"/>
      <c r="O103" s="559"/>
      <c r="P103" s="559"/>
      <c r="Q103" s="559"/>
      <c r="R103" s="559"/>
      <c r="S103" s="559"/>
      <c r="T103" s="559"/>
    </row>
    <row r="104" spans="1:20">
      <c r="A104" s="610"/>
      <c r="B104" s="587" t="s">
        <v>273</v>
      </c>
      <c r="C104" s="1486" t="s">
        <v>515</v>
      </c>
      <c r="D104" s="624"/>
      <c r="E104" s="625"/>
      <c r="F104" s="625"/>
      <c r="G104" s="625"/>
      <c r="H104" s="626"/>
      <c r="I104" s="619"/>
      <c r="J104" s="622"/>
      <c r="K104" s="622"/>
      <c r="L104" s="622"/>
      <c r="M104" s="623"/>
      <c r="N104" s="559"/>
      <c r="O104" s="559"/>
      <c r="P104" s="559"/>
      <c r="Q104" s="559"/>
      <c r="R104" s="559"/>
      <c r="S104" s="559"/>
      <c r="T104" s="559"/>
    </row>
    <row r="105" spans="1:20">
      <c r="A105" s="610"/>
      <c r="B105" s="587" t="s">
        <v>286</v>
      </c>
      <c r="C105" s="1486"/>
      <c r="D105" s="619"/>
      <c r="E105" s="620"/>
      <c r="F105" s="620"/>
      <c r="G105" s="620"/>
      <c r="H105" s="621"/>
      <c r="I105" s="1540">
        <f>SUM(I103:I104)</f>
        <v>0</v>
      </c>
      <c r="J105" s="1540">
        <f>SUM(J103:J104)</f>
        <v>0</v>
      </c>
      <c r="K105" s="1540">
        <f>SUM(K103:K104)</f>
        <v>0</v>
      </c>
      <c r="L105" s="1540">
        <f>SUM(L103:L104)</f>
        <v>0</v>
      </c>
      <c r="M105" s="1540">
        <f>SUM(M103:M104)</f>
        <v>0</v>
      </c>
      <c r="N105" s="559"/>
      <c r="O105" s="559"/>
      <c r="P105" s="559"/>
      <c r="Q105" s="559"/>
      <c r="R105" s="559"/>
      <c r="S105" s="559"/>
      <c r="T105" s="559"/>
    </row>
    <row r="106" spans="1:20" ht="13.5" thickBot="1">
      <c r="A106" s="610"/>
      <c r="B106" s="1530" t="s">
        <v>847</v>
      </c>
      <c r="C106" s="1495" t="s">
        <v>515</v>
      </c>
      <c r="D106" s="1531">
        <f t="shared" ref="D106:M106" si="21">SUM(D83:D84,D87,D89:D90,D93,D95:D96,D99,D101:D102,D105)</f>
        <v>0</v>
      </c>
      <c r="E106" s="1532">
        <f t="shared" si="21"/>
        <v>0</v>
      </c>
      <c r="F106" s="1532">
        <f t="shared" si="21"/>
        <v>0</v>
      </c>
      <c r="G106" s="1532">
        <f t="shared" si="21"/>
        <v>0</v>
      </c>
      <c r="H106" s="1533">
        <f t="shared" si="21"/>
        <v>0</v>
      </c>
      <c r="I106" s="1531">
        <f t="shared" si="21"/>
        <v>0</v>
      </c>
      <c r="J106" s="1532">
        <f t="shared" si="21"/>
        <v>0</v>
      </c>
      <c r="K106" s="1532">
        <f t="shared" si="21"/>
        <v>0</v>
      </c>
      <c r="L106" s="1532">
        <f t="shared" si="21"/>
        <v>0</v>
      </c>
      <c r="M106" s="1541">
        <f t="shared" si="21"/>
        <v>0</v>
      </c>
      <c r="N106" s="608"/>
      <c r="O106" s="559"/>
      <c r="P106" s="559"/>
      <c r="Q106" s="559"/>
      <c r="R106" s="559"/>
      <c r="S106" s="559"/>
      <c r="T106" s="559"/>
    </row>
    <row r="107" spans="1:20">
      <c r="B107" s="1542"/>
      <c r="C107" s="1484"/>
      <c r="D107" s="579"/>
      <c r="E107" s="579"/>
      <c r="F107" s="579"/>
      <c r="G107" s="579"/>
      <c r="H107" s="579"/>
      <c r="I107" s="579"/>
      <c r="J107" s="579"/>
      <c r="K107" s="579"/>
      <c r="L107" s="579"/>
      <c r="M107" s="579"/>
      <c r="N107" s="559"/>
      <c r="O107" s="579"/>
      <c r="P107" s="579"/>
      <c r="Q107" s="579"/>
      <c r="R107" s="559"/>
      <c r="S107" s="579"/>
      <c r="T107" s="579"/>
    </row>
    <row r="108" spans="1:20">
      <c r="B108" s="1446" t="s">
        <v>291</v>
      </c>
      <c r="N108" s="559"/>
      <c r="O108" s="559"/>
      <c r="P108" s="559"/>
      <c r="Q108" s="559"/>
      <c r="R108" s="559"/>
      <c r="S108" s="559"/>
      <c r="T108" s="559"/>
    </row>
    <row r="109" spans="1:20" ht="13.5" thickBot="1">
      <c r="B109" s="1446"/>
      <c r="F109" s="600"/>
      <c r="N109" s="559"/>
      <c r="O109" s="559"/>
      <c r="P109" s="559"/>
      <c r="Q109" s="559"/>
      <c r="R109" s="559"/>
      <c r="S109" s="559"/>
      <c r="T109" s="559"/>
    </row>
    <row r="110" spans="1:20">
      <c r="B110" s="1902"/>
      <c r="C110" s="1900" t="s">
        <v>31</v>
      </c>
      <c r="D110" s="1448" t="s">
        <v>116</v>
      </c>
      <c r="E110" s="1449"/>
      <c r="F110" s="1449"/>
      <c r="G110" s="1449"/>
      <c r="H110" s="560"/>
      <c r="I110" s="1449" t="s">
        <v>117</v>
      </c>
      <c r="J110" s="561"/>
      <c r="K110" s="561"/>
      <c r="L110" s="561"/>
      <c r="M110" s="560"/>
      <c r="N110" s="559"/>
      <c r="O110" s="559"/>
      <c r="P110" s="559"/>
      <c r="Q110" s="559"/>
      <c r="R110" s="559"/>
      <c r="S110" s="559"/>
      <c r="T110" s="559"/>
    </row>
    <row r="111" spans="1:20">
      <c r="B111" s="1903"/>
      <c r="C111" s="1901"/>
      <c r="D111" s="1453" t="s">
        <v>32</v>
      </c>
      <c r="E111" s="1454" t="s">
        <v>33</v>
      </c>
      <c r="F111" s="1454" t="s">
        <v>29</v>
      </c>
      <c r="G111" s="1454" t="s">
        <v>34</v>
      </c>
      <c r="H111" s="1455" t="s">
        <v>35</v>
      </c>
      <c r="I111" s="1456" t="s">
        <v>118</v>
      </c>
      <c r="J111" s="1454" t="s">
        <v>136</v>
      </c>
      <c r="K111" s="1454" t="s">
        <v>137</v>
      </c>
      <c r="L111" s="1454" t="s">
        <v>138</v>
      </c>
      <c r="M111" s="1455" t="s">
        <v>139</v>
      </c>
      <c r="N111" s="559"/>
      <c r="O111" s="559"/>
      <c r="P111" s="559"/>
      <c r="Q111" s="559"/>
      <c r="R111" s="559"/>
      <c r="S111" s="559"/>
      <c r="T111" s="559"/>
    </row>
    <row r="112" spans="1:20">
      <c r="B112" s="1496" t="s">
        <v>275</v>
      </c>
      <c r="C112" s="1497"/>
      <c r="D112" s="1498"/>
      <c r="E112" s="1499"/>
      <c r="F112" s="1499"/>
      <c r="G112" s="1499"/>
      <c r="H112" s="1500"/>
      <c r="I112" s="596"/>
      <c r="J112" s="596"/>
      <c r="K112" s="596"/>
      <c r="L112" s="596"/>
      <c r="M112" s="597"/>
      <c r="N112" s="598"/>
      <c r="O112" s="559"/>
      <c r="P112" s="559"/>
      <c r="Q112" s="559"/>
      <c r="R112" s="559"/>
      <c r="S112" s="559"/>
      <c r="T112" s="559"/>
    </row>
    <row r="113" spans="2:20">
      <c r="B113" s="1501" t="s">
        <v>276</v>
      </c>
      <c r="C113" s="1486"/>
      <c r="D113" s="1502"/>
      <c r="E113" s="1503"/>
      <c r="F113" s="1503"/>
      <c r="G113" s="1503"/>
      <c r="H113" s="1504"/>
      <c r="I113" s="600"/>
      <c r="J113" s="600"/>
      <c r="K113" s="600"/>
      <c r="L113" s="600"/>
      <c r="M113" s="601"/>
      <c r="N113" s="598"/>
      <c r="O113" s="559"/>
      <c r="P113" s="559"/>
      <c r="Q113" s="559"/>
      <c r="R113" s="559"/>
      <c r="S113" s="559"/>
      <c r="T113" s="559"/>
    </row>
    <row r="114" spans="2:20">
      <c r="B114" s="1505" t="s">
        <v>514</v>
      </c>
      <c r="C114" s="1486" t="s">
        <v>515</v>
      </c>
      <c r="D114" s="613"/>
      <c r="E114" s="614"/>
      <c r="F114" s="614"/>
      <c r="G114" s="614"/>
      <c r="H114" s="615"/>
      <c r="I114" s="613"/>
      <c r="J114" s="616"/>
      <c r="K114" s="616"/>
      <c r="L114" s="616"/>
      <c r="M114" s="617"/>
      <c r="N114" s="559"/>
      <c r="O114" s="559"/>
      <c r="P114" s="559"/>
      <c r="Q114" s="559"/>
      <c r="R114" s="559"/>
      <c r="S114" s="559"/>
      <c r="T114" s="559"/>
    </row>
    <row r="115" spans="2:20">
      <c r="B115" s="1510" t="s">
        <v>277</v>
      </c>
      <c r="C115" s="1486"/>
      <c r="D115" s="613"/>
      <c r="E115" s="614"/>
      <c r="F115" s="614"/>
      <c r="G115" s="614"/>
      <c r="H115" s="615"/>
      <c r="I115" s="613"/>
      <c r="J115" s="616"/>
      <c r="K115" s="616"/>
      <c r="L115" s="616"/>
      <c r="M115" s="617"/>
      <c r="N115" s="559"/>
      <c r="O115" s="559"/>
      <c r="P115" s="559"/>
      <c r="Q115" s="559"/>
      <c r="R115" s="559"/>
      <c r="S115" s="559"/>
      <c r="T115" s="559"/>
    </row>
    <row r="116" spans="2:20">
      <c r="B116" s="587" t="s">
        <v>278</v>
      </c>
      <c r="C116" s="1486"/>
      <c r="D116" s="1517"/>
      <c r="E116" s="1518"/>
      <c r="F116" s="1518"/>
      <c r="G116" s="1518"/>
      <c r="H116" s="1519"/>
      <c r="I116" s="613"/>
      <c r="J116" s="616"/>
      <c r="K116" s="616"/>
      <c r="L116" s="616"/>
      <c r="M116" s="617"/>
      <c r="N116" s="559"/>
      <c r="O116" s="559"/>
      <c r="P116" s="559"/>
      <c r="Q116" s="559"/>
      <c r="R116" s="559"/>
      <c r="S116" s="559"/>
      <c r="T116" s="559"/>
    </row>
    <row r="117" spans="2:20">
      <c r="B117" s="587" t="s">
        <v>279</v>
      </c>
      <c r="C117" s="1486" t="s">
        <v>515</v>
      </c>
      <c r="D117" s="1517"/>
      <c r="E117" s="1518"/>
      <c r="F117" s="1518"/>
      <c r="G117" s="1518"/>
      <c r="H117" s="1519"/>
      <c r="I117" s="613"/>
      <c r="J117" s="616"/>
      <c r="K117" s="616"/>
      <c r="L117" s="616"/>
      <c r="M117" s="617"/>
      <c r="N117" s="559"/>
      <c r="O117" s="559"/>
      <c r="P117" s="559"/>
      <c r="Q117" s="559"/>
      <c r="R117" s="559"/>
      <c r="S117" s="559"/>
      <c r="T117" s="559"/>
    </row>
    <row r="118" spans="2:20">
      <c r="B118" s="587" t="s">
        <v>280</v>
      </c>
      <c r="C118" s="1486"/>
      <c r="D118" s="613"/>
      <c r="E118" s="616"/>
      <c r="F118" s="616"/>
      <c r="G118" s="616"/>
      <c r="H118" s="615"/>
      <c r="I118" s="1537">
        <f>SUM(I116:I117)</f>
        <v>0</v>
      </c>
      <c r="J118" s="1538">
        <f>SUM(J116:J117)</f>
        <v>0</v>
      </c>
      <c r="K118" s="1538">
        <f>SUM(K116:K117)</f>
        <v>0</v>
      </c>
      <c r="L118" s="1538">
        <f>SUM(L116:L117)</f>
        <v>0</v>
      </c>
      <c r="M118" s="1539">
        <f>SUM(M116:M117)</f>
        <v>0</v>
      </c>
      <c r="N118" s="559"/>
      <c r="O118" s="559"/>
      <c r="P118" s="559"/>
      <c r="Q118" s="559"/>
      <c r="R118" s="559"/>
      <c r="S118" s="559"/>
      <c r="T118" s="559"/>
    </row>
    <row r="119" spans="2:20">
      <c r="B119" s="1511" t="s">
        <v>288</v>
      </c>
      <c r="C119" s="1486"/>
      <c r="D119" s="1512"/>
      <c r="E119" s="1513"/>
      <c r="F119" s="1513"/>
      <c r="G119" s="1513"/>
      <c r="H119" s="1514"/>
      <c r="I119" s="605"/>
      <c r="J119" s="606"/>
      <c r="K119" s="606"/>
      <c r="L119" s="618"/>
      <c r="M119" s="607"/>
      <c r="N119" s="598"/>
      <c r="O119" s="559"/>
      <c r="P119" s="559"/>
      <c r="Q119" s="559"/>
      <c r="R119" s="559"/>
      <c r="S119" s="559"/>
      <c r="T119" s="559"/>
    </row>
    <row r="120" spans="2:20">
      <c r="B120" s="1515" t="s">
        <v>514</v>
      </c>
      <c r="C120" s="1486" t="s">
        <v>515</v>
      </c>
      <c r="D120" s="613"/>
      <c r="E120" s="614"/>
      <c r="F120" s="614"/>
      <c r="G120" s="614"/>
      <c r="H120" s="615"/>
      <c r="I120" s="613"/>
      <c r="J120" s="616"/>
      <c r="K120" s="616"/>
      <c r="L120" s="616"/>
      <c r="M120" s="617"/>
      <c r="N120" s="559"/>
      <c r="O120" s="559"/>
      <c r="P120" s="559"/>
      <c r="Q120" s="559"/>
      <c r="R120" s="559"/>
      <c r="S120" s="559"/>
      <c r="T120" s="559"/>
    </row>
    <row r="121" spans="2:20">
      <c r="B121" s="1516" t="s">
        <v>277</v>
      </c>
      <c r="C121" s="1486"/>
      <c r="D121" s="613"/>
      <c r="E121" s="614"/>
      <c r="F121" s="614"/>
      <c r="G121" s="614"/>
      <c r="H121" s="615"/>
      <c r="I121" s="613"/>
      <c r="J121" s="616"/>
      <c r="K121" s="616"/>
      <c r="L121" s="616"/>
      <c r="M121" s="617"/>
      <c r="N121" s="559"/>
      <c r="O121" s="559"/>
      <c r="P121" s="559"/>
      <c r="Q121" s="559"/>
      <c r="R121" s="559"/>
      <c r="S121" s="559"/>
      <c r="T121" s="559"/>
    </row>
    <row r="122" spans="2:20">
      <c r="B122" s="587" t="s">
        <v>268</v>
      </c>
      <c r="C122" s="1486"/>
      <c r="D122" s="1517"/>
      <c r="E122" s="1518"/>
      <c r="F122" s="1518"/>
      <c r="G122" s="1518"/>
      <c r="H122" s="1519"/>
      <c r="I122" s="613"/>
      <c r="J122" s="616"/>
      <c r="K122" s="616"/>
      <c r="L122" s="616"/>
      <c r="M122" s="617"/>
      <c r="N122" s="559"/>
      <c r="O122" s="559"/>
      <c r="P122" s="559"/>
      <c r="Q122" s="559"/>
      <c r="R122" s="559"/>
      <c r="S122" s="559"/>
      <c r="T122" s="559"/>
    </row>
    <row r="123" spans="2:20">
      <c r="B123" s="587" t="s">
        <v>269</v>
      </c>
      <c r="C123" s="1486" t="s">
        <v>515</v>
      </c>
      <c r="D123" s="1517"/>
      <c r="E123" s="1518"/>
      <c r="F123" s="1518"/>
      <c r="G123" s="1518"/>
      <c r="H123" s="1519"/>
      <c r="I123" s="613"/>
      <c r="J123" s="616"/>
      <c r="K123" s="616"/>
      <c r="L123" s="616"/>
      <c r="M123" s="617"/>
      <c r="N123" s="559"/>
      <c r="O123" s="559"/>
      <c r="P123" s="559"/>
      <c r="Q123" s="559"/>
      <c r="R123" s="559"/>
      <c r="S123" s="559"/>
      <c r="T123" s="559"/>
    </row>
    <row r="124" spans="2:20">
      <c r="B124" s="587" t="s">
        <v>282</v>
      </c>
      <c r="C124" s="1486"/>
      <c r="D124" s="613"/>
      <c r="E124" s="616"/>
      <c r="F124" s="616"/>
      <c r="G124" s="616"/>
      <c r="H124" s="615"/>
      <c r="I124" s="1537">
        <f>SUM(I122:I123)</f>
        <v>0</v>
      </c>
      <c r="J124" s="1537">
        <f>SUM(J122:J123)</f>
        <v>0</v>
      </c>
      <c r="K124" s="1537">
        <f>SUM(K122:K123)</f>
        <v>0</v>
      </c>
      <c r="L124" s="1537">
        <f>SUM(L122:L123)</f>
        <v>0</v>
      </c>
      <c r="M124" s="1543">
        <f>SUM(M122:M123)</f>
        <v>0</v>
      </c>
      <c r="N124" s="559"/>
      <c r="O124" s="559"/>
      <c r="P124" s="559"/>
      <c r="Q124" s="559"/>
      <c r="R124" s="559"/>
      <c r="S124" s="559"/>
      <c r="T124" s="559"/>
    </row>
    <row r="125" spans="2:20">
      <c r="B125" s="1511" t="s">
        <v>289</v>
      </c>
      <c r="C125" s="1486"/>
      <c r="D125" s="1512"/>
      <c r="E125" s="1513"/>
      <c r="F125" s="1513"/>
      <c r="G125" s="1513"/>
      <c r="H125" s="1514"/>
      <c r="I125" s="605"/>
      <c r="J125" s="606"/>
      <c r="K125" s="606"/>
      <c r="L125" s="618"/>
      <c r="M125" s="607"/>
      <c r="N125" s="598"/>
      <c r="O125" s="559"/>
      <c r="P125" s="559"/>
      <c r="Q125" s="559"/>
      <c r="R125" s="559"/>
      <c r="S125" s="559"/>
      <c r="T125" s="559"/>
    </row>
    <row r="126" spans="2:20">
      <c r="B126" s="1515" t="s">
        <v>514</v>
      </c>
      <c r="C126" s="1486" t="s">
        <v>515</v>
      </c>
      <c r="D126" s="613"/>
      <c r="E126" s="614"/>
      <c r="F126" s="614"/>
      <c r="G126" s="614"/>
      <c r="H126" s="615"/>
      <c r="I126" s="613"/>
      <c r="J126" s="616"/>
      <c r="K126" s="616"/>
      <c r="L126" s="616"/>
      <c r="M126" s="617"/>
      <c r="N126" s="559"/>
      <c r="O126" s="559"/>
      <c r="P126" s="559"/>
      <c r="Q126" s="559"/>
      <c r="R126" s="559"/>
      <c r="S126" s="559"/>
      <c r="T126" s="559"/>
    </row>
    <row r="127" spans="2:20">
      <c r="B127" s="1516" t="s">
        <v>277</v>
      </c>
      <c r="C127" s="1486"/>
      <c r="D127" s="613"/>
      <c r="E127" s="614"/>
      <c r="F127" s="614"/>
      <c r="G127" s="614"/>
      <c r="H127" s="615"/>
      <c r="I127" s="613"/>
      <c r="J127" s="616"/>
      <c r="K127" s="616"/>
      <c r="L127" s="616"/>
      <c r="M127" s="617"/>
      <c r="N127" s="559"/>
      <c r="O127" s="559"/>
      <c r="P127" s="559"/>
      <c r="Q127" s="559"/>
      <c r="R127" s="559"/>
      <c r="S127" s="559"/>
      <c r="T127" s="559"/>
    </row>
    <row r="128" spans="2:20">
      <c r="B128" s="587" t="s">
        <v>270</v>
      </c>
      <c r="C128" s="1486"/>
      <c r="D128" s="602"/>
      <c r="E128" s="603"/>
      <c r="F128" s="603"/>
      <c r="G128" s="603"/>
      <c r="H128" s="604"/>
      <c r="I128" s="613"/>
      <c r="J128" s="616"/>
      <c r="K128" s="616"/>
      <c r="L128" s="616"/>
      <c r="M128" s="617"/>
      <c r="N128" s="559"/>
      <c r="O128" s="559"/>
      <c r="P128" s="559"/>
      <c r="Q128" s="559"/>
      <c r="R128" s="559"/>
      <c r="S128" s="559"/>
      <c r="T128" s="559"/>
    </row>
    <row r="129" spans="2:20">
      <c r="B129" s="587" t="s">
        <v>271</v>
      </c>
      <c r="C129" s="1486" t="s">
        <v>515</v>
      </c>
      <c r="D129" s="602"/>
      <c r="E129" s="603"/>
      <c r="F129" s="603"/>
      <c r="G129" s="603"/>
      <c r="H129" s="604"/>
      <c r="I129" s="613"/>
      <c r="J129" s="616"/>
      <c r="K129" s="616"/>
      <c r="L129" s="616"/>
      <c r="M129" s="617"/>
      <c r="N129" s="559"/>
      <c r="O129" s="559"/>
      <c r="P129" s="559"/>
      <c r="Q129" s="559"/>
      <c r="R129" s="559"/>
      <c r="S129" s="559"/>
      <c r="T129" s="559"/>
    </row>
    <row r="130" spans="2:20">
      <c r="B130" s="587" t="s">
        <v>284</v>
      </c>
      <c r="C130" s="1486"/>
      <c r="D130" s="613"/>
      <c r="E130" s="616"/>
      <c r="F130" s="616"/>
      <c r="G130" s="616"/>
      <c r="H130" s="615"/>
      <c r="I130" s="1537">
        <f>SUM(I128:I129)</f>
        <v>0</v>
      </c>
      <c r="J130" s="1537">
        <f>SUM(J128:J129)</f>
        <v>0</v>
      </c>
      <c r="K130" s="1537">
        <f>SUM(K128:K129)</f>
        <v>0</v>
      </c>
      <c r="L130" s="1537">
        <f>SUM(L128:L129)</f>
        <v>0</v>
      </c>
      <c r="M130" s="1543">
        <f>SUM(M128:M129)</f>
        <v>0</v>
      </c>
      <c r="N130" s="559"/>
      <c r="O130" s="559"/>
      <c r="P130" s="559"/>
      <c r="Q130" s="559"/>
      <c r="R130" s="559"/>
      <c r="S130" s="559"/>
      <c r="T130" s="559"/>
    </row>
    <row r="131" spans="2:20">
      <c r="B131" s="1511" t="s">
        <v>290</v>
      </c>
      <c r="C131" s="1486"/>
      <c r="D131" s="1512"/>
      <c r="E131" s="1513"/>
      <c r="F131" s="1513"/>
      <c r="G131" s="1513"/>
      <c r="H131" s="1514"/>
      <c r="I131" s="605"/>
      <c r="J131" s="606"/>
      <c r="K131" s="606"/>
      <c r="L131" s="618"/>
      <c r="M131" s="607"/>
      <c r="N131" s="598"/>
      <c r="O131" s="559"/>
      <c r="P131" s="559"/>
      <c r="Q131" s="559"/>
      <c r="R131" s="559"/>
      <c r="S131" s="559"/>
      <c r="T131" s="559"/>
    </row>
    <row r="132" spans="2:20">
      <c r="B132" s="1515" t="s">
        <v>514</v>
      </c>
      <c r="C132" s="1486" t="s">
        <v>515</v>
      </c>
      <c r="D132" s="619"/>
      <c r="E132" s="620"/>
      <c r="F132" s="620"/>
      <c r="G132" s="620"/>
      <c r="H132" s="621"/>
      <c r="I132" s="619"/>
      <c r="J132" s="622"/>
      <c r="K132" s="622"/>
      <c r="L132" s="622"/>
      <c r="M132" s="623"/>
      <c r="N132" s="559"/>
      <c r="O132" s="559"/>
      <c r="P132" s="559"/>
      <c r="Q132" s="559"/>
      <c r="R132" s="559"/>
      <c r="S132" s="559"/>
      <c r="T132" s="559"/>
    </row>
    <row r="133" spans="2:20">
      <c r="B133" s="1516" t="s">
        <v>277</v>
      </c>
      <c r="C133" s="1486"/>
      <c r="D133" s="619"/>
      <c r="E133" s="620"/>
      <c r="F133" s="620"/>
      <c r="G133" s="620"/>
      <c r="H133" s="621"/>
      <c r="I133" s="619"/>
      <c r="J133" s="622"/>
      <c r="K133" s="622"/>
      <c r="L133" s="622"/>
      <c r="M133" s="623"/>
      <c r="N133" s="559"/>
      <c r="O133" s="559"/>
      <c r="P133" s="559"/>
      <c r="Q133" s="559"/>
      <c r="R133" s="559"/>
      <c r="S133" s="559"/>
      <c r="T133" s="559"/>
    </row>
    <row r="134" spans="2:20">
      <c r="B134" s="587" t="s">
        <v>272</v>
      </c>
      <c r="C134" s="1486"/>
      <c r="D134" s="624"/>
      <c r="E134" s="625"/>
      <c r="F134" s="625"/>
      <c r="G134" s="625"/>
      <c r="H134" s="626"/>
      <c r="I134" s="619"/>
      <c r="J134" s="622"/>
      <c r="K134" s="622"/>
      <c r="L134" s="622"/>
      <c r="M134" s="623"/>
      <c r="N134" s="559"/>
      <c r="O134" s="559"/>
      <c r="P134" s="559"/>
      <c r="Q134" s="559"/>
      <c r="R134" s="559"/>
      <c r="S134" s="559"/>
      <c r="T134" s="559"/>
    </row>
    <row r="135" spans="2:20">
      <c r="B135" s="587" t="s">
        <v>273</v>
      </c>
      <c r="C135" s="1486" t="s">
        <v>515</v>
      </c>
      <c r="D135" s="624"/>
      <c r="E135" s="625"/>
      <c r="F135" s="625"/>
      <c r="G135" s="625"/>
      <c r="H135" s="626"/>
      <c r="I135" s="619"/>
      <c r="J135" s="622"/>
      <c r="K135" s="622"/>
      <c r="L135" s="622"/>
      <c r="M135" s="623"/>
      <c r="N135" s="559"/>
      <c r="O135" s="559"/>
      <c r="P135" s="559"/>
      <c r="Q135" s="559"/>
      <c r="R135" s="559"/>
      <c r="S135" s="559"/>
      <c r="T135" s="559"/>
    </row>
    <row r="136" spans="2:20">
      <c r="B136" s="587" t="s">
        <v>286</v>
      </c>
      <c r="C136" s="1486"/>
      <c r="D136" s="619"/>
      <c r="E136" s="620"/>
      <c r="F136" s="620"/>
      <c r="G136" s="620"/>
      <c r="H136" s="621"/>
      <c r="I136" s="1540">
        <f>SUM(I134:I135)</f>
        <v>0</v>
      </c>
      <c r="J136" s="1540">
        <f>SUM(J134:J135)</f>
        <v>0</v>
      </c>
      <c r="K136" s="1540">
        <f>SUM(K134:K135)</f>
        <v>0</v>
      </c>
      <c r="L136" s="1540">
        <f>SUM(L134:L135)</f>
        <v>0</v>
      </c>
      <c r="M136" s="1544">
        <f>SUM(M134:M135)</f>
        <v>0</v>
      </c>
      <c r="N136" s="559"/>
      <c r="O136" s="559"/>
      <c r="P136" s="559"/>
      <c r="Q136" s="559"/>
      <c r="R136" s="559"/>
      <c r="S136" s="559"/>
      <c r="T136" s="559"/>
    </row>
    <row r="137" spans="2:20" ht="13.5" thickBot="1">
      <c r="B137" s="1530" t="s">
        <v>847</v>
      </c>
      <c r="C137" s="1495" t="s">
        <v>515</v>
      </c>
      <c r="D137" s="1531">
        <f t="shared" ref="D137:M137" si="22">SUM(D114:D115,D118,D120:D121,D124,D126:D127,D130,D132:D133,D136)</f>
        <v>0</v>
      </c>
      <c r="E137" s="1532">
        <f t="shared" si="22"/>
        <v>0</v>
      </c>
      <c r="F137" s="1532">
        <f t="shared" si="22"/>
        <v>0</v>
      </c>
      <c r="G137" s="1532">
        <f t="shared" si="22"/>
        <v>0</v>
      </c>
      <c r="H137" s="1533">
        <f t="shared" si="22"/>
        <v>0</v>
      </c>
      <c r="I137" s="1531">
        <f t="shared" si="22"/>
        <v>0</v>
      </c>
      <c r="J137" s="1532">
        <f t="shared" si="22"/>
        <v>0</v>
      </c>
      <c r="K137" s="1532">
        <f t="shared" si="22"/>
        <v>0</v>
      </c>
      <c r="L137" s="1532">
        <f t="shared" si="22"/>
        <v>0</v>
      </c>
      <c r="M137" s="1541">
        <f t="shared" si="22"/>
        <v>0</v>
      </c>
      <c r="N137" s="608"/>
      <c r="O137" s="559"/>
      <c r="P137" s="559"/>
      <c r="Q137" s="559"/>
      <c r="R137" s="559"/>
      <c r="S137" s="559"/>
      <c r="T137" s="559"/>
    </row>
    <row r="138" spans="2:20">
      <c r="B138" s="1542"/>
      <c r="C138" s="1484"/>
      <c r="D138" s="579"/>
      <c r="E138" s="579"/>
      <c r="F138" s="579"/>
      <c r="G138" s="579"/>
      <c r="H138" s="579"/>
      <c r="I138" s="579"/>
      <c r="J138" s="579"/>
      <c r="K138" s="579"/>
      <c r="L138" s="579"/>
      <c r="M138" s="579"/>
      <c r="N138" s="559"/>
      <c r="O138" s="579"/>
      <c r="P138" s="579"/>
      <c r="Q138" s="579"/>
      <c r="R138" s="559"/>
      <c r="S138" s="579"/>
      <c r="T138" s="579"/>
    </row>
    <row r="139" spans="2:20">
      <c r="B139" s="1542"/>
      <c r="C139" s="1484"/>
      <c r="D139" s="579"/>
      <c r="E139" s="579"/>
      <c r="F139" s="579"/>
      <c r="G139" s="579"/>
      <c r="H139" s="579"/>
      <c r="I139" s="579"/>
      <c r="J139" s="579"/>
      <c r="K139" s="579"/>
      <c r="L139" s="579"/>
      <c r="M139" s="579"/>
      <c r="N139" s="559"/>
      <c r="O139" s="579"/>
      <c r="P139" s="579"/>
      <c r="Q139" s="579"/>
      <c r="R139" s="559"/>
      <c r="S139" s="579"/>
      <c r="T139" s="579"/>
    </row>
    <row r="140" spans="2:20">
      <c r="B140" s="1542"/>
      <c r="C140" s="1484"/>
      <c r="D140" s="579"/>
      <c r="E140" s="579"/>
      <c r="F140" s="579"/>
      <c r="G140" s="579"/>
      <c r="H140" s="579"/>
      <c r="I140" s="579"/>
      <c r="J140" s="579"/>
      <c r="K140" s="579"/>
      <c r="L140" s="579"/>
      <c r="M140" s="579"/>
      <c r="N140" s="559"/>
      <c r="O140" s="579"/>
      <c r="P140" s="579"/>
      <c r="Q140" s="579"/>
      <c r="R140" s="559"/>
      <c r="S140" s="579"/>
      <c r="T140" s="579"/>
    </row>
    <row r="141" spans="2:20">
      <c r="B141" s="1483" t="s">
        <v>292</v>
      </c>
      <c r="C141" s="1484"/>
      <c r="D141" s="579"/>
      <c r="E141" s="579"/>
      <c r="F141" s="579"/>
      <c r="G141" s="579"/>
      <c r="H141" s="579"/>
      <c r="I141" s="579"/>
      <c r="J141" s="579"/>
      <c r="K141" s="579"/>
      <c r="L141" s="579"/>
      <c r="M141" s="579"/>
      <c r="N141" s="559"/>
      <c r="O141" s="579"/>
      <c r="P141" s="579"/>
      <c r="Q141" s="579"/>
      <c r="R141" s="559"/>
      <c r="S141" s="579"/>
      <c r="T141" s="579"/>
    </row>
    <row r="142" spans="2:20" ht="13.5" thickBot="1">
      <c r="B142" s="1483"/>
      <c r="C142" s="1484"/>
      <c r="D142" s="579"/>
      <c r="E142" s="579"/>
      <c r="F142" s="579"/>
      <c r="G142" s="579"/>
      <c r="H142" s="579"/>
      <c r="I142" s="579"/>
      <c r="J142" s="579"/>
      <c r="K142" s="579"/>
      <c r="L142" s="579"/>
      <c r="M142" s="579"/>
      <c r="N142" s="559"/>
      <c r="O142" s="579"/>
      <c r="P142" s="579"/>
      <c r="Q142" s="579"/>
      <c r="R142" s="559"/>
      <c r="S142" s="579"/>
      <c r="T142" s="579"/>
    </row>
    <row r="143" spans="2:20">
      <c r="B143" s="1898" t="s">
        <v>851</v>
      </c>
      <c r="C143" s="1900" t="s">
        <v>31</v>
      </c>
      <c r="D143" s="1448" t="s">
        <v>116</v>
      </c>
      <c r="E143" s="1449"/>
      <c r="F143" s="1449"/>
      <c r="G143" s="1449"/>
      <c r="H143" s="560"/>
      <c r="I143" s="1449" t="s">
        <v>117</v>
      </c>
      <c r="J143" s="561"/>
      <c r="K143" s="561"/>
      <c r="L143" s="561"/>
      <c r="M143" s="560"/>
      <c r="N143" s="559"/>
      <c r="O143" s="1450" t="s">
        <v>116</v>
      </c>
      <c r="P143" s="1451"/>
      <c r="Q143" s="1452"/>
      <c r="R143" s="559"/>
      <c r="S143" s="1450" t="s">
        <v>117</v>
      </c>
      <c r="T143" s="1452"/>
    </row>
    <row r="144" spans="2:20">
      <c r="B144" s="1899"/>
      <c r="C144" s="1901"/>
      <c r="D144" s="1453" t="s">
        <v>32</v>
      </c>
      <c r="E144" s="1454" t="s">
        <v>33</v>
      </c>
      <c r="F144" s="1454" t="s">
        <v>29</v>
      </c>
      <c r="G144" s="1454" t="s">
        <v>34</v>
      </c>
      <c r="H144" s="1455" t="s">
        <v>35</v>
      </c>
      <c r="I144" s="1456" t="s">
        <v>118</v>
      </c>
      <c r="J144" s="1454" t="s">
        <v>136</v>
      </c>
      <c r="K144" s="1454" t="s">
        <v>137</v>
      </c>
      <c r="L144" s="1454" t="s">
        <v>138</v>
      </c>
      <c r="M144" s="1455" t="s">
        <v>139</v>
      </c>
      <c r="N144" s="559"/>
      <c r="O144" s="1457" t="s">
        <v>126</v>
      </c>
      <c r="P144" s="1458" t="s">
        <v>127</v>
      </c>
      <c r="Q144" s="1459" t="s">
        <v>245</v>
      </c>
      <c r="R144" s="559"/>
      <c r="S144" s="1457" t="s">
        <v>127</v>
      </c>
      <c r="T144" s="1459" t="s">
        <v>128</v>
      </c>
    </row>
    <row r="145" spans="2:20">
      <c r="B145" s="1545" t="s">
        <v>856</v>
      </c>
      <c r="C145" s="1546"/>
      <c r="D145" s="1498"/>
      <c r="E145" s="1499"/>
      <c r="F145" s="1499"/>
      <c r="G145" s="1499"/>
      <c r="H145" s="1500"/>
      <c r="I145" s="596"/>
      <c r="J145" s="596"/>
      <c r="K145" s="596"/>
      <c r="L145" s="596"/>
      <c r="M145" s="597"/>
      <c r="N145" s="559"/>
      <c r="O145" s="595"/>
      <c r="P145" s="596"/>
      <c r="Q145" s="597"/>
      <c r="R145" s="559"/>
      <c r="S145" s="595"/>
      <c r="T145" s="597"/>
    </row>
    <row r="146" spans="2:20">
      <c r="B146" s="1485" t="s">
        <v>665</v>
      </c>
      <c r="C146" s="580"/>
      <c r="D146" s="581"/>
      <c r="E146" s="582"/>
      <c r="F146" s="582"/>
      <c r="G146" s="582"/>
      <c r="H146" s="583"/>
      <c r="I146" s="582"/>
      <c r="J146" s="582"/>
      <c r="K146" s="582"/>
      <c r="L146" s="582"/>
      <c r="M146" s="583"/>
      <c r="N146" s="559"/>
      <c r="O146" s="584"/>
      <c r="P146" s="585"/>
      <c r="Q146" s="586"/>
      <c r="R146" s="559"/>
      <c r="S146" s="581"/>
      <c r="T146" s="583"/>
    </row>
    <row r="147" spans="2:20">
      <c r="B147" s="587" t="s">
        <v>266</v>
      </c>
      <c r="C147" s="1486" t="s">
        <v>14</v>
      </c>
      <c r="D147" s="627"/>
      <c r="E147" s="628"/>
      <c r="F147" s="628"/>
      <c r="G147" s="628"/>
      <c r="H147" s="629"/>
      <c r="I147" s="573"/>
      <c r="J147" s="575"/>
      <c r="K147" s="575"/>
      <c r="L147" s="575"/>
      <c r="M147" s="574"/>
      <c r="N147" s="559"/>
      <c r="O147" s="570"/>
      <c r="P147" s="571"/>
      <c r="Q147" s="572"/>
      <c r="R147" s="559"/>
      <c r="S147" s="570"/>
      <c r="T147" s="1478"/>
    </row>
    <row r="148" spans="2:20">
      <c r="B148" s="587" t="s">
        <v>293</v>
      </c>
      <c r="C148" s="1486" t="s">
        <v>294</v>
      </c>
      <c r="D148" s="630"/>
      <c r="E148" s="631"/>
      <c r="F148" s="631"/>
      <c r="G148" s="631"/>
      <c r="H148" s="632"/>
      <c r="I148" s="633"/>
      <c r="J148" s="634"/>
      <c r="K148" s="634"/>
      <c r="L148" s="634"/>
      <c r="M148" s="635"/>
      <c r="N148" s="559"/>
      <c r="O148" s="570"/>
      <c r="P148" s="571"/>
      <c r="Q148" s="572"/>
      <c r="R148" s="559"/>
      <c r="S148" s="570"/>
      <c r="T148" s="1478"/>
    </row>
    <row r="149" spans="2:20">
      <c r="B149" s="587" t="s">
        <v>295</v>
      </c>
      <c r="C149" s="1486" t="s">
        <v>294</v>
      </c>
      <c r="D149" s="630"/>
      <c r="E149" s="631"/>
      <c r="F149" s="631"/>
      <c r="G149" s="631"/>
      <c r="H149" s="632"/>
      <c r="I149" s="636">
        <f>1-I148</f>
        <v>1</v>
      </c>
      <c r="J149" s="637">
        <f>1-J148</f>
        <v>1</v>
      </c>
      <c r="K149" s="637">
        <f>1-K148</f>
        <v>1</v>
      </c>
      <c r="L149" s="637">
        <f>1-L148</f>
        <v>1</v>
      </c>
      <c r="M149" s="638">
        <f>1-M148</f>
        <v>1</v>
      </c>
      <c r="N149" s="559"/>
      <c r="O149" s="570"/>
      <c r="P149" s="571"/>
      <c r="Q149" s="572"/>
      <c r="R149" s="559"/>
      <c r="S149" s="570"/>
      <c r="T149" s="1478"/>
    </row>
    <row r="150" spans="2:20">
      <c r="B150" s="587" t="s">
        <v>267</v>
      </c>
      <c r="C150" s="1486" t="s">
        <v>14</v>
      </c>
      <c r="D150" s="627"/>
      <c r="E150" s="628"/>
      <c r="F150" s="628"/>
      <c r="G150" s="628"/>
      <c r="H150" s="629"/>
      <c r="I150" s="573"/>
      <c r="J150" s="575"/>
      <c r="K150" s="575"/>
      <c r="L150" s="575"/>
      <c r="M150" s="574"/>
      <c r="N150" s="559"/>
      <c r="O150" s="570"/>
      <c r="P150" s="571"/>
      <c r="Q150" s="572"/>
      <c r="R150" s="559"/>
      <c r="S150" s="570"/>
      <c r="T150" s="1478"/>
    </row>
    <row r="151" spans="2:20">
      <c r="B151" s="587" t="s">
        <v>296</v>
      </c>
      <c r="C151" s="1486" t="s">
        <v>294</v>
      </c>
      <c r="D151" s="627"/>
      <c r="E151" s="628"/>
      <c r="F151" s="628"/>
      <c r="G151" s="628"/>
      <c r="H151" s="629"/>
      <c r="I151" s="573"/>
      <c r="J151" s="575"/>
      <c r="K151" s="575"/>
      <c r="L151" s="575"/>
      <c r="M151" s="574"/>
      <c r="N151" s="559"/>
      <c r="O151" s="570"/>
      <c r="P151" s="571"/>
      <c r="Q151" s="572"/>
      <c r="R151" s="559"/>
      <c r="S151" s="570"/>
      <c r="T151" s="1478"/>
    </row>
    <row r="152" spans="2:20">
      <c r="B152" s="587" t="s">
        <v>297</v>
      </c>
      <c r="C152" s="1486" t="s">
        <v>294</v>
      </c>
      <c r="D152" s="630"/>
      <c r="E152" s="631"/>
      <c r="F152" s="631"/>
      <c r="G152" s="631"/>
      <c r="H152" s="632"/>
      <c r="I152" s="636">
        <f>1-I151</f>
        <v>1</v>
      </c>
      <c r="J152" s="637">
        <f>1-J151</f>
        <v>1</v>
      </c>
      <c r="K152" s="637">
        <f>1-K151</f>
        <v>1</v>
      </c>
      <c r="L152" s="637">
        <f>1-L151</f>
        <v>1</v>
      </c>
      <c r="M152" s="638">
        <f>1-M151</f>
        <v>1</v>
      </c>
      <c r="N152" s="559"/>
      <c r="O152" s="570"/>
      <c r="P152" s="571"/>
      <c r="Q152" s="572"/>
      <c r="R152" s="559"/>
      <c r="S152" s="570"/>
      <c r="T152" s="1478"/>
    </row>
    <row r="153" spans="2:20">
      <c r="B153" s="1493" t="s">
        <v>859</v>
      </c>
      <c r="C153" s="1486" t="s">
        <v>14</v>
      </c>
      <c r="D153" s="568"/>
      <c r="E153" s="573"/>
      <c r="F153" s="573"/>
      <c r="G153" s="573"/>
      <c r="H153" s="574"/>
      <c r="I153" s="588">
        <f>SUM(I147,I150)</f>
        <v>0</v>
      </c>
      <c r="J153" s="565">
        <f>SUM(J147,J150)</f>
        <v>0</v>
      </c>
      <c r="K153" s="565">
        <f>SUM(K147,K150)</f>
        <v>0</v>
      </c>
      <c r="L153" s="565">
        <f>SUM(L147,L150)</f>
        <v>0</v>
      </c>
      <c r="M153" s="566">
        <f>SUM(M147,M150)</f>
        <v>0</v>
      </c>
      <c r="N153" s="559"/>
      <c r="O153" s="564">
        <f>SUM(D153:G153)</f>
        <v>0</v>
      </c>
      <c r="P153" s="565">
        <f>SUM(H153)</f>
        <v>0</v>
      </c>
      <c r="Q153" s="566">
        <f>SUM(D153:H153)</f>
        <v>0</v>
      </c>
      <c r="R153" s="559"/>
      <c r="S153" s="564">
        <f>SUM(I153:M153)</f>
        <v>0</v>
      </c>
      <c r="T153" s="1367" t="str">
        <f>IF(Q153&lt;&gt;0,(S153-Q153)/Q153,"0")</f>
        <v>0</v>
      </c>
    </row>
    <row r="154" spans="2:20">
      <c r="B154" s="1485" t="s">
        <v>298</v>
      </c>
      <c r="C154" s="589"/>
      <c r="D154" s="590"/>
      <c r="E154" s="591"/>
      <c r="F154" s="591"/>
      <c r="G154" s="591"/>
      <c r="H154" s="592"/>
      <c r="I154" s="591"/>
      <c r="J154" s="591"/>
      <c r="K154" s="591"/>
      <c r="L154" s="591"/>
      <c r="M154" s="592"/>
      <c r="N154" s="559"/>
      <c r="O154" s="593"/>
      <c r="P154" s="591"/>
      <c r="Q154" s="592"/>
      <c r="R154" s="559"/>
      <c r="S154" s="590"/>
      <c r="T154" s="592"/>
    </row>
    <row r="155" spans="2:20">
      <c r="B155" s="587" t="s">
        <v>268</v>
      </c>
      <c r="C155" s="1486" t="s">
        <v>14</v>
      </c>
      <c r="D155" s="627"/>
      <c r="E155" s="628"/>
      <c r="F155" s="628"/>
      <c r="G155" s="628"/>
      <c r="H155" s="629"/>
      <c r="I155" s="573"/>
      <c r="J155" s="575"/>
      <c r="K155" s="575"/>
      <c r="L155" s="575"/>
      <c r="M155" s="574"/>
      <c r="N155" s="559"/>
      <c r="O155" s="570"/>
      <c r="P155" s="571"/>
      <c r="Q155" s="572"/>
      <c r="R155" s="559"/>
      <c r="S155" s="570"/>
      <c r="T155" s="1478"/>
    </row>
    <row r="156" spans="2:20">
      <c r="B156" s="587" t="s">
        <v>299</v>
      </c>
      <c r="C156" s="1486" t="s">
        <v>294</v>
      </c>
      <c r="D156" s="630"/>
      <c r="E156" s="631"/>
      <c r="F156" s="631"/>
      <c r="G156" s="631"/>
      <c r="H156" s="632"/>
      <c r="I156" s="633"/>
      <c r="J156" s="634"/>
      <c r="K156" s="634"/>
      <c r="L156" s="634"/>
      <c r="M156" s="635"/>
      <c r="N156" s="559"/>
      <c r="O156" s="570"/>
      <c r="P156" s="571"/>
      <c r="Q156" s="572"/>
      <c r="R156" s="559"/>
      <c r="S156" s="570"/>
      <c r="T156" s="1478"/>
    </row>
    <row r="157" spans="2:20">
      <c r="B157" s="587" t="s">
        <v>300</v>
      </c>
      <c r="C157" s="1486" t="s">
        <v>294</v>
      </c>
      <c r="D157" s="630"/>
      <c r="E157" s="631"/>
      <c r="F157" s="631"/>
      <c r="G157" s="631"/>
      <c r="H157" s="632"/>
      <c r="I157" s="636">
        <f>1-I156</f>
        <v>1</v>
      </c>
      <c r="J157" s="637">
        <f>1-J156</f>
        <v>1</v>
      </c>
      <c r="K157" s="637">
        <f>1-K156</f>
        <v>1</v>
      </c>
      <c r="L157" s="637">
        <f>1-L156</f>
        <v>1</v>
      </c>
      <c r="M157" s="638">
        <f>1-M156</f>
        <v>1</v>
      </c>
      <c r="N157" s="559"/>
      <c r="O157" s="570"/>
      <c r="P157" s="571"/>
      <c r="Q157" s="572"/>
      <c r="R157" s="559"/>
      <c r="S157" s="570"/>
      <c r="T157" s="1478"/>
    </row>
    <row r="158" spans="2:20">
      <c r="B158" s="587" t="s">
        <v>269</v>
      </c>
      <c r="C158" s="1486" t="s">
        <v>14</v>
      </c>
      <c r="D158" s="627"/>
      <c r="E158" s="628"/>
      <c r="F158" s="628"/>
      <c r="G158" s="628"/>
      <c r="H158" s="629"/>
      <c r="I158" s="573"/>
      <c r="J158" s="575"/>
      <c r="K158" s="575"/>
      <c r="L158" s="575"/>
      <c r="M158" s="574"/>
      <c r="N158" s="559"/>
      <c r="O158" s="570"/>
      <c r="P158" s="571"/>
      <c r="Q158" s="572"/>
      <c r="R158" s="559"/>
      <c r="S158" s="570"/>
      <c r="T158" s="1478"/>
    </row>
    <row r="159" spans="2:20">
      <c r="B159" s="587" t="s">
        <v>301</v>
      </c>
      <c r="C159" s="1486" t="s">
        <v>294</v>
      </c>
      <c r="D159" s="627"/>
      <c r="E159" s="628"/>
      <c r="F159" s="628"/>
      <c r="G159" s="628"/>
      <c r="H159" s="629"/>
      <c r="I159" s="573"/>
      <c r="J159" s="575"/>
      <c r="K159" s="575"/>
      <c r="L159" s="575"/>
      <c r="M159" s="574"/>
      <c r="N159" s="559"/>
      <c r="O159" s="570"/>
      <c r="P159" s="571"/>
      <c r="Q159" s="572"/>
      <c r="R159" s="559"/>
      <c r="S159" s="570"/>
      <c r="T159" s="1478"/>
    </row>
    <row r="160" spans="2:20">
      <c r="B160" s="587" t="s">
        <v>302</v>
      </c>
      <c r="C160" s="1486" t="s">
        <v>294</v>
      </c>
      <c r="D160" s="630"/>
      <c r="E160" s="631"/>
      <c r="F160" s="631"/>
      <c r="G160" s="631"/>
      <c r="H160" s="632"/>
      <c r="I160" s="636">
        <f>1-I159</f>
        <v>1</v>
      </c>
      <c r="J160" s="637">
        <f>1-J159</f>
        <v>1</v>
      </c>
      <c r="K160" s="637">
        <f>1-K159</f>
        <v>1</v>
      </c>
      <c r="L160" s="637">
        <f>1-L159</f>
        <v>1</v>
      </c>
      <c r="M160" s="638">
        <f>1-M159</f>
        <v>1</v>
      </c>
      <c r="N160" s="559"/>
      <c r="O160" s="570"/>
      <c r="P160" s="571"/>
      <c r="Q160" s="572"/>
      <c r="R160" s="559"/>
      <c r="S160" s="570"/>
      <c r="T160" s="1478"/>
    </row>
    <row r="161" spans="2:20">
      <c r="B161" s="1493" t="s">
        <v>860</v>
      </c>
      <c r="C161" s="1486" t="s">
        <v>14</v>
      </c>
      <c r="D161" s="568"/>
      <c r="E161" s="573"/>
      <c r="F161" s="573"/>
      <c r="G161" s="573"/>
      <c r="H161" s="574"/>
      <c r="I161" s="588">
        <f>SUM(I155,I158)</f>
        <v>0</v>
      </c>
      <c r="J161" s="565">
        <f>SUM(J155,J158)</f>
        <v>0</v>
      </c>
      <c r="K161" s="565">
        <f>SUM(K155,K158)</f>
        <v>0</v>
      </c>
      <c r="L161" s="565">
        <f>SUM(L155,L158)</f>
        <v>0</v>
      </c>
      <c r="M161" s="566">
        <f>SUM(M155,M158)</f>
        <v>0</v>
      </c>
      <c r="N161" s="559"/>
      <c r="O161" s="564">
        <f>SUM(D161:G161)</f>
        <v>0</v>
      </c>
      <c r="P161" s="565">
        <f>SUM(H161)</f>
        <v>0</v>
      </c>
      <c r="Q161" s="566">
        <f>SUM(D161:H161)</f>
        <v>0</v>
      </c>
      <c r="R161" s="559"/>
      <c r="S161" s="564">
        <f>SUM(I161:M161)</f>
        <v>0</v>
      </c>
      <c r="T161" s="1367" t="str">
        <f>IF(Q161&lt;&gt;0,(S161-Q161)/Q161,"0")</f>
        <v>0</v>
      </c>
    </row>
    <row r="162" spans="2:20">
      <c r="B162" s="1485" t="s">
        <v>303</v>
      </c>
      <c r="C162" s="589"/>
      <c r="D162" s="590"/>
      <c r="E162" s="591"/>
      <c r="F162" s="591"/>
      <c r="G162" s="591"/>
      <c r="H162" s="592"/>
      <c r="I162" s="591"/>
      <c r="J162" s="591"/>
      <c r="K162" s="591"/>
      <c r="L162" s="591"/>
      <c r="M162" s="592"/>
      <c r="N162" s="559"/>
      <c r="O162" s="590"/>
      <c r="P162" s="591"/>
      <c r="Q162" s="592"/>
      <c r="R162" s="559"/>
      <c r="S162" s="590"/>
      <c r="T162" s="592"/>
    </row>
    <row r="163" spans="2:20">
      <c r="B163" s="587" t="s">
        <v>270</v>
      </c>
      <c r="C163" s="1486" t="s">
        <v>14</v>
      </c>
      <c r="D163" s="627"/>
      <c r="E163" s="628"/>
      <c r="F163" s="628"/>
      <c r="G163" s="628"/>
      <c r="H163" s="629"/>
      <c r="I163" s="573"/>
      <c r="J163" s="575"/>
      <c r="K163" s="575"/>
      <c r="L163" s="575"/>
      <c r="M163" s="574"/>
      <c r="N163" s="559"/>
      <c r="O163" s="570"/>
      <c r="P163" s="571"/>
      <c r="Q163" s="572"/>
      <c r="R163" s="559"/>
      <c r="S163" s="570"/>
      <c r="T163" s="1478"/>
    </row>
    <row r="164" spans="2:20">
      <c r="B164" s="587" t="s">
        <v>304</v>
      </c>
      <c r="C164" s="1486" t="s">
        <v>294</v>
      </c>
      <c r="D164" s="630"/>
      <c r="E164" s="631"/>
      <c r="F164" s="631"/>
      <c r="G164" s="631"/>
      <c r="H164" s="632"/>
      <c r="I164" s="633"/>
      <c r="J164" s="634"/>
      <c r="K164" s="634"/>
      <c r="L164" s="634"/>
      <c r="M164" s="635"/>
      <c r="N164" s="559"/>
      <c r="O164" s="570"/>
      <c r="P164" s="571"/>
      <c r="Q164" s="572"/>
      <c r="R164" s="559"/>
      <c r="S164" s="570"/>
      <c r="T164" s="1478"/>
    </row>
    <row r="165" spans="2:20">
      <c r="B165" s="587" t="s">
        <v>305</v>
      </c>
      <c r="C165" s="1486" t="s">
        <v>294</v>
      </c>
      <c r="D165" s="630"/>
      <c r="E165" s="631"/>
      <c r="F165" s="631"/>
      <c r="G165" s="631"/>
      <c r="H165" s="632"/>
      <c r="I165" s="636">
        <f>1-I164</f>
        <v>1</v>
      </c>
      <c r="J165" s="637">
        <f>1-J164</f>
        <v>1</v>
      </c>
      <c r="K165" s="637">
        <f>1-K164</f>
        <v>1</v>
      </c>
      <c r="L165" s="637">
        <f>1-L164</f>
        <v>1</v>
      </c>
      <c r="M165" s="638">
        <f>1-M164</f>
        <v>1</v>
      </c>
      <c r="N165" s="559"/>
      <c r="O165" s="570"/>
      <c r="P165" s="571"/>
      <c r="Q165" s="572"/>
      <c r="R165" s="559"/>
      <c r="S165" s="570"/>
      <c r="T165" s="1478"/>
    </row>
    <row r="166" spans="2:20">
      <c r="B166" s="587" t="s">
        <v>271</v>
      </c>
      <c r="C166" s="1486" t="s">
        <v>14</v>
      </c>
      <c r="D166" s="627"/>
      <c r="E166" s="628"/>
      <c r="F166" s="628"/>
      <c r="G166" s="628"/>
      <c r="H166" s="629"/>
      <c r="I166" s="573"/>
      <c r="J166" s="575"/>
      <c r="K166" s="575"/>
      <c r="L166" s="575"/>
      <c r="M166" s="574"/>
      <c r="N166" s="559"/>
      <c r="O166" s="570"/>
      <c r="P166" s="571"/>
      <c r="Q166" s="572"/>
      <c r="R166" s="559"/>
      <c r="S166" s="570"/>
      <c r="T166" s="1478"/>
    </row>
    <row r="167" spans="2:20">
      <c r="B167" s="587" t="s">
        <v>306</v>
      </c>
      <c r="C167" s="1486" t="s">
        <v>294</v>
      </c>
      <c r="D167" s="639"/>
      <c r="E167" s="640"/>
      <c r="F167" s="640"/>
      <c r="G167" s="640"/>
      <c r="H167" s="641"/>
      <c r="I167" s="642"/>
      <c r="J167" s="643"/>
      <c r="K167" s="643"/>
      <c r="L167" s="643"/>
      <c r="M167" s="644"/>
      <c r="N167" s="559"/>
      <c r="O167" s="570"/>
      <c r="P167" s="571"/>
      <c r="Q167" s="572"/>
      <c r="R167" s="559"/>
      <c r="S167" s="570"/>
      <c r="T167" s="1478"/>
    </row>
    <row r="168" spans="2:20">
      <c r="B168" s="587" t="s">
        <v>307</v>
      </c>
      <c r="C168" s="1486" t="s">
        <v>294</v>
      </c>
      <c r="D168" s="630"/>
      <c r="E168" s="631"/>
      <c r="F168" s="631"/>
      <c r="G168" s="631"/>
      <c r="H168" s="632"/>
      <c r="I168" s="636">
        <f>1-I167</f>
        <v>1</v>
      </c>
      <c r="J168" s="637">
        <f>1-J167</f>
        <v>1</v>
      </c>
      <c r="K168" s="637">
        <f>1-K167</f>
        <v>1</v>
      </c>
      <c r="L168" s="637">
        <f>1-L167</f>
        <v>1</v>
      </c>
      <c r="M168" s="638">
        <f>1-M167</f>
        <v>1</v>
      </c>
      <c r="N168" s="559"/>
      <c r="O168" s="570"/>
      <c r="P168" s="571"/>
      <c r="Q168" s="572"/>
      <c r="R168" s="559"/>
      <c r="S168" s="570"/>
      <c r="T168" s="1478"/>
    </row>
    <row r="169" spans="2:20">
      <c r="B169" s="1493" t="s">
        <v>861</v>
      </c>
      <c r="C169" s="1486" t="s">
        <v>14</v>
      </c>
      <c r="D169" s="568"/>
      <c r="E169" s="573"/>
      <c r="F169" s="573"/>
      <c r="G169" s="573"/>
      <c r="H169" s="574"/>
      <c r="I169" s="588">
        <f>SUM(I163,I166)</f>
        <v>0</v>
      </c>
      <c r="J169" s="565">
        <f>SUM(J163,J166)</f>
        <v>0</v>
      </c>
      <c r="K169" s="565">
        <f>SUM(K163,K166)</f>
        <v>0</v>
      </c>
      <c r="L169" s="565">
        <f>SUM(L163,L166)</f>
        <v>0</v>
      </c>
      <c r="M169" s="566">
        <f>SUM(M163,M166)</f>
        <v>0</v>
      </c>
      <c r="N169" s="559"/>
      <c r="O169" s="564">
        <f>SUM(D169:G169)</f>
        <v>0</v>
      </c>
      <c r="P169" s="565">
        <f>SUM(H169)</f>
        <v>0</v>
      </c>
      <c r="Q169" s="566">
        <f>SUM(D169:H169)</f>
        <v>0</v>
      </c>
      <c r="R169" s="559"/>
      <c r="S169" s="564">
        <f>SUM(I169:M169)</f>
        <v>0</v>
      </c>
      <c r="T169" s="1367" t="str">
        <f>IF(Q169&lt;&gt;0,(S169-Q169)/Q169,"0")</f>
        <v>0</v>
      </c>
    </row>
    <row r="170" spans="2:20">
      <c r="B170" s="1485" t="s">
        <v>308</v>
      </c>
      <c r="C170" s="589"/>
      <c r="D170" s="590"/>
      <c r="E170" s="591"/>
      <c r="F170" s="591"/>
      <c r="G170" s="591"/>
      <c r="H170" s="592"/>
      <c r="I170" s="591"/>
      <c r="J170" s="591"/>
      <c r="K170" s="591"/>
      <c r="L170" s="591"/>
      <c r="M170" s="592"/>
      <c r="N170" s="559"/>
      <c r="O170" s="590"/>
      <c r="P170" s="591"/>
      <c r="Q170" s="592"/>
      <c r="R170" s="559"/>
      <c r="S170" s="590"/>
      <c r="T170" s="592"/>
    </row>
    <row r="171" spans="2:20">
      <c r="B171" s="587" t="s">
        <v>272</v>
      </c>
      <c r="C171" s="1486" t="s">
        <v>14</v>
      </c>
      <c r="D171" s="627"/>
      <c r="E171" s="628"/>
      <c r="F171" s="628"/>
      <c r="G171" s="628"/>
      <c r="H171" s="629"/>
      <c r="I171" s="573"/>
      <c r="J171" s="575"/>
      <c r="K171" s="575"/>
      <c r="L171" s="575"/>
      <c r="M171" s="574"/>
      <c r="N171" s="559"/>
      <c r="O171" s="570"/>
      <c r="P171" s="571"/>
      <c r="Q171" s="572"/>
      <c r="R171" s="559"/>
      <c r="S171" s="570"/>
      <c r="T171" s="1478"/>
    </row>
    <row r="172" spans="2:20">
      <c r="B172" s="587" t="s">
        <v>309</v>
      </c>
      <c r="C172" s="1486" t="s">
        <v>294</v>
      </c>
      <c r="D172" s="630"/>
      <c r="E172" s="631"/>
      <c r="F172" s="631"/>
      <c r="G172" s="631"/>
      <c r="H172" s="632"/>
      <c r="I172" s="633"/>
      <c r="J172" s="634"/>
      <c r="K172" s="634"/>
      <c r="L172" s="634"/>
      <c r="M172" s="635"/>
      <c r="N172" s="559"/>
      <c r="O172" s="570"/>
      <c r="P172" s="571"/>
      <c r="Q172" s="572"/>
      <c r="R172" s="559"/>
      <c r="S172" s="570"/>
      <c r="T172" s="1478"/>
    </row>
    <row r="173" spans="2:20">
      <c r="B173" s="587" t="s">
        <v>310</v>
      </c>
      <c r="C173" s="1486" t="s">
        <v>294</v>
      </c>
      <c r="D173" s="630"/>
      <c r="E173" s="631"/>
      <c r="F173" s="631"/>
      <c r="G173" s="631"/>
      <c r="H173" s="632"/>
      <c r="I173" s="636">
        <f>1-I172</f>
        <v>1</v>
      </c>
      <c r="J173" s="637">
        <f>1-J172</f>
        <v>1</v>
      </c>
      <c r="K173" s="637">
        <f>1-K172</f>
        <v>1</v>
      </c>
      <c r="L173" s="637">
        <f>1-L172</f>
        <v>1</v>
      </c>
      <c r="M173" s="638">
        <f>1-M172</f>
        <v>1</v>
      </c>
      <c r="N173" s="559"/>
      <c r="O173" s="570"/>
      <c r="P173" s="571"/>
      <c r="Q173" s="572"/>
      <c r="R173" s="559"/>
      <c r="S173" s="570"/>
      <c r="T173" s="1478"/>
    </row>
    <row r="174" spans="2:20">
      <c r="B174" s="587" t="s">
        <v>273</v>
      </c>
      <c r="C174" s="1486" t="s">
        <v>14</v>
      </c>
      <c r="D174" s="627"/>
      <c r="E174" s="628"/>
      <c r="F174" s="628"/>
      <c r="G174" s="628"/>
      <c r="H174" s="629"/>
      <c r="I174" s="573"/>
      <c r="J174" s="575"/>
      <c r="K174" s="575"/>
      <c r="L174" s="575"/>
      <c r="M174" s="574"/>
      <c r="N174" s="559"/>
      <c r="O174" s="570"/>
      <c r="P174" s="571"/>
      <c r="Q174" s="572"/>
      <c r="R174" s="559"/>
      <c r="S174" s="570"/>
      <c r="T174" s="1478"/>
    </row>
    <row r="175" spans="2:20">
      <c r="B175" s="587" t="s">
        <v>311</v>
      </c>
      <c r="C175" s="1486" t="s">
        <v>294</v>
      </c>
      <c r="D175" s="639"/>
      <c r="E175" s="640"/>
      <c r="F175" s="640"/>
      <c r="G175" s="640"/>
      <c r="H175" s="641"/>
      <c r="I175" s="642"/>
      <c r="J175" s="643"/>
      <c r="K175" s="643"/>
      <c r="L175" s="643"/>
      <c r="M175" s="644"/>
      <c r="N175" s="559"/>
      <c r="O175" s="570"/>
      <c r="P175" s="571"/>
      <c r="Q175" s="572"/>
      <c r="R175" s="559"/>
      <c r="S175" s="570"/>
      <c r="T175" s="1478"/>
    </row>
    <row r="176" spans="2:20">
      <c r="B176" s="587" t="s">
        <v>312</v>
      </c>
      <c r="C176" s="1486" t="s">
        <v>294</v>
      </c>
      <c r="D176" s="630"/>
      <c r="E176" s="631"/>
      <c r="F176" s="631"/>
      <c r="G176" s="631"/>
      <c r="H176" s="632"/>
      <c r="I176" s="636">
        <f>1-I175</f>
        <v>1</v>
      </c>
      <c r="J176" s="637">
        <f>1-J175</f>
        <v>1</v>
      </c>
      <c r="K176" s="637">
        <f>1-K175</f>
        <v>1</v>
      </c>
      <c r="L176" s="637">
        <f>1-L175</f>
        <v>1</v>
      </c>
      <c r="M176" s="638">
        <f>1-M175</f>
        <v>1</v>
      </c>
      <c r="N176" s="559"/>
      <c r="O176" s="570"/>
      <c r="P176" s="571"/>
      <c r="Q176" s="572"/>
      <c r="R176" s="559"/>
      <c r="S176" s="570"/>
      <c r="T176" s="1478"/>
    </row>
    <row r="177" spans="2:20">
      <c r="B177" s="1547" t="s">
        <v>694</v>
      </c>
      <c r="C177" s="1486" t="s">
        <v>14</v>
      </c>
      <c r="D177" s="645"/>
      <c r="E177" s="646"/>
      <c r="F177" s="646"/>
      <c r="G177" s="646"/>
      <c r="H177" s="647"/>
      <c r="I177" s="648">
        <f>SUM(I171,I174)</f>
        <v>0</v>
      </c>
      <c r="J177" s="649">
        <f>SUM(J171,J174)</f>
        <v>0</v>
      </c>
      <c r="K177" s="649">
        <f>SUM(K171,K174)</f>
        <v>0</v>
      </c>
      <c r="L177" s="649">
        <f>SUM(L171,L174)</f>
        <v>0</v>
      </c>
      <c r="M177" s="650">
        <f>SUM(M171,M174)</f>
        <v>0</v>
      </c>
      <c r="N177" s="559"/>
      <c r="O177" s="564">
        <f>SUM(D177:G177)</f>
        <v>0</v>
      </c>
      <c r="P177" s="565">
        <f>SUM(H177)</f>
        <v>0</v>
      </c>
      <c r="Q177" s="566">
        <f>SUM(D177:H177)</f>
        <v>0</v>
      </c>
      <c r="R177" s="559"/>
      <c r="S177" s="564">
        <f>SUM(I177:M177)</f>
        <v>0</v>
      </c>
      <c r="T177" s="1367" t="str">
        <f>IF(Q177&lt;&gt;0,(S177-Q177)/Q177,"0")</f>
        <v>0</v>
      </c>
    </row>
    <row r="178" spans="2:20" ht="13.5" thickBot="1">
      <c r="B178" s="1548" t="s">
        <v>313</v>
      </c>
      <c r="C178" s="1549"/>
      <c r="D178" s="1550">
        <f t="shared" ref="D178:M178" si="23">SUM(D153,D161,D169,D177)</f>
        <v>0</v>
      </c>
      <c r="E178" s="1550">
        <f t="shared" si="23"/>
        <v>0</v>
      </c>
      <c r="F178" s="1550">
        <f t="shared" si="23"/>
        <v>0</v>
      </c>
      <c r="G178" s="1550">
        <f t="shared" si="23"/>
        <v>0</v>
      </c>
      <c r="H178" s="1550">
        <f t="shared" si="23"/>
        <v>0</v>
      </c>
      <c r="I178" s="1551">
        <f t="shared" si="23"/>
        <v>0</v>
      </c>
      <c r="J178" s="1551">
        <f t="shared" si="23"/>
        <v>0</v>
      </c>
      <c r="K178" s="1551">
        <f t="shared" si="23"/>
        <v>0</v>
      </c>
      <c r="L178" s="1551">
        <f t="shared" si="23"/>
        <v>0</v>
      </c>
      <c r="M178" s="1552">
        <f t="shared" si="23"/>
        <v>0</v>
      </c>
      <c r="N178" s="559"/>
      <c r="O178" s="576">
        <f>SUM(O153,O161,O169,O177)</f>
        <v>0</v>
      </c>
      <c r="P178" s="577">
        <f>SUM(P153,P161,P169,P177)</f>
        <v>0</v>
      </c>
      <c r="Q178" s="578">
        <f>SUM(Q153,Q161,Q169,Q177)</f>
        <v>0</v>
      </c>
      <c r="R178" s="559"/>
      <c r="S178" s="576">
        <f>SUM(S153,S161,S169,S177)</f>
        <v>0</v>
      </c>
      <c r="T178" s="1379" t="str">
        <f>IF(Q178&lt;&gt;0,(S178-Q178)/Q178,"0")</f>
        <v>0</v>
      </c>
    </row>
    <row r="179" spans="2:20">
      <c r="C179" s="556"/>
      <c r="D179" s="556"/>
      <c r="E179" s="556"/>
      <c r="F179" s="556"/>
      <c r="G179" s="556"/>
      <c r="H179" s="556"/>
      <c r="I179" s="556"/>
      <c r="J179" s="556"/>
      <c r="K179" s="556"/>
      <c r="L179" s="556"/>
      <c r="M179" s="556"/>
      <c r="N179" s="556"/>
      <c r="O179" s="556"/>
      <c r="P179" s="556"/>
      <c r="Q179" s="556"/>
      <c r="R179" s="556"/>
      <c r="S179" s="556"/>
      <c r="T179" s="556"/>
    </row>
    <row r="180" spans="2:20">
      <c r="B180" s="1483" t="s">
        <v>314</v>
      </c>
      <c r="C180" s="1484"/>
      <c r="D180" s="579"/>
      <c r="E180" s="579"/>
      <c r="F180" s="579"/>
      <c r="G180" s="579"/>
      <c r="H180" s="579"/>
      <c r="I180" s="579"/>
      <c r="J180" s="579"/>
      <c r="K180" s="579"/>
      <c r="L180" s="579"/>
      <c r="M180" s="579"/>
      <c r="N180" s="559"/>
      <c r="O180" s="579"/>
      <c r="P180" s="579"/>
      <c r="Q180" s="579"/>
      <c r="R180" s="559"/>
      <c r="S180" s="579"/>
      <c r="T180" s="579"/>
    </row>
    <row r="181" spans="2:20" ht="13.5" thickBot="1">
      <c r="B181" s="1483"/>
      <c r="C181" s="1484"/>
      <c r="D181" s="579"/>
      <c r="E181" s="579"/>
      <c r="F181" s="579"/>
      <c r="G181" s="579"/>
      <c r="H181" s="579"/>
      <c r="I181" s="579"/>
      <c r="J181" s="579"/>
      <c r="K181" s="579"/>
      <c r="L181" s="579"/>
      <c r="M181" s="579"/>
      <c r="N181" s="559"/>
      <c r="O181" s="579"/>
      <c r="P181" s="579"/>
      <c r="Q181" s="579"/>
      <c r="R181" s="559"/>
      <c r="S181" s="579"/>
      <c r="T181" s="579"/>
    </row>
    <row r="182" spans="2:20">
      <c r="B182" s="1898" t="s">
        <v>851</v>
      </c>
      <c r="C182" s="1900" t="s">
        <v>31</v>
      </c>
      <c r="D182" s="1448" t="s">
        <v>116</v>
      </c>
      <c r="E182" s="1449"/>
      <c r="F182" s="1449"/>
      <c r="G182" s="1449"/>
      <c r="H182" s="560"/>
      <c r="I182" s="1449" t="s">
        <v>117</v>
      </c>
      <c r="J182" s="561"/>
      <c r="K182" s="561"/>
      <c r="L182" s="561"/>
      <c r="M182" s="560"/>
      <c r="N182" s="559"/>
      <c r="O182" s="1450" t="s">
        <v>116</v>
      </c>
      <c r="P182" s="1451"/>
      <c r="Q182" s="1452"/>
      <c r="R182" s="559"/>
      <c r="S182" s="1450" t="s">
        <v>117</v>
      </c>
      <c r="T182" s="1452"/>
    </row>
    <row r="183" spans="2:20">
      <c r="B183" s="1899"/>
      <c r="C183" s="1901"/>
      <c r="D183" s="1453" t="s">
        <v>32</v>
      </c>
      <c r="E183" s="1454" t="s">
        <v>33</v>
      </c>
      <c r="F183" s="1454" t="s">
        <v>29</v>
      </c>
      <c r="G183" s="1454" t="s">
        <v>34</v>
      </c>
      <c r="H183" s="1455" t="s">
        <v>35</v>
      </c>
      <c r="I183" s="1456" t="s">
        <v>118</v>
      </c>
      <c r="J183" s="1454" t="s">
        <v>136</v>
      </c>
      <c r="K183" s="1454" t="s">
        <v>137</v>
      </c>
      <c r="L183" s="1454" t="s">
        <v>138</v>
      </c>
      <c r="M183" s="1455" t="s">
        <v>139</v>
      </c>
      <c r="N183" s="559"/>
      <c r="O183" s="1457" t="s">
        <v>126</v>
      </c>
      <c r="P183" s="1458" t="s">
        <v>127</v>
      </c>
      <c r="Q183" s="1459" t="s">
        <v>245</v>
      </c>
      <c r="R183" s="559"/>
      <c r="S183" s="1457" t="s">
        <v>127</v>
      </c>
      <c r="T183" s="1459" t="s">
        <v>128</v>
      </c>
    </row>
    <row r="184" spans="2:20">
      <c r="B184" s="1545" t="s">
        <v>856</v>
      </c>
      <c r="C184" s="1546"/>
      <c r="D184" s="1498"/>
      <c r="E184" s="1499"/>
      <c r="F184" s="1499"/>
      <c r="G184" s="1499"/>
      <c r="H184" s="1500"/>
      <c r="I184" s="596"/>
      <c r="J184" s="596"/>
      <c r="K184" s="596"/>
      <c r="L184" s="596"/>
      <c r="M184" s="597"/>
      <c r="N184" s="559"/>
      <c r="O184" s="595"/>
      <c r="P184" s="596"/>
      <c r="Q184" s="597"/>
      <c r="R184" s="559"/>
      <c r="S184" s="595"/>
      <c r="T184" s="597"/>
    </row>
    <row r="185" spans="2:20">
      <c r="B185" s="1485" t="s">
        <v>665</v>
      </c>
      <c r="C185" s="580"/>
      <c r="D185" s="581"/>
      <c r="E185" s="582"/>
      <c r="F185" s="582"/>
      <c r="G185" s="582"/>
      <c r="H185" s="583"/>
      <c r="I185" s="582"/>
      <c r="J185" s="582"/>
      <c r="K185" s="582"/>
      <c r="L185" s="582"/>
      <c r="M185" s="583"/>
      <c r="N185" s="559"/>
      <c r="O185" s="584"/>
      <c r="P185" s="585"/>
      <c r="Q185" s="586"/>
      <c r="R185" s="559"/>
      <c r="S185" s="581"/>
      <c r="T185" s="583"/>
    </row>
    <row r="186" spans="2:20">
      <c r="B186" s="587" t="s">
        <v>266</v>
      </c>
      <c r="C186" s="1486" t="s">
        <v>14</v>
      </c>
      <c r="D186" s="627"/>
      <c r="E186" s="628"/>
      <c r="F186" s="628"/>
      <c r="G186" s="628"/>
      <c r="H186" s="629"/>
      <c r="I186" s="573"/>
      <c r="J186" s="575"/>
      <c r="K186" s="575"/>
      <c r="L186" s="575"/>
      <c r="M186" s="574"/>
      <c r="N186" s="559"/>
      <c r="O186" s="570"/>
      <c r="P186" s="571"/>
      <c r="Q186" s="572"/>
      <c r="R186" s="559"/>
      <c r="S186" s="570"/>
      <c r="T186" s="1478"/>
    </row>
    <row r="187" spans="2:20">
      <c r="B187" s="587" t="s">
        <v>293</v>
      </c>
      <c r="C187" s="1486" t="s">
        <v>294</v>
      </c>
      <c r="D187" s="630"/>
      <c r="E187" s="631"/>
      <c r="F187" s="631"/>
      <c r="G187" s="631"/>
      <c r="H187" s="632"/>
      <c r="I187" s="633"/>
      <c r="J187" s="634"/>
      <c r="K187" s="634"/>
      <c r="L187" s="634"/>
      <c r="M187" s="635"/>
      <c r="N187" s="559"/>
      <c r="O187" s="570"/>
      <c r="P187" s="571"/>
      <c r="Q187" s="572"/>
      <c r="R187" s="559"/>
      <c r="S187" s="570"/>
      <c r="T187" s="1478"/>
    </row>
    <row r="188" spans="2:20">
      <c r="B188" s="587" t="s">
        <v>295</v>
      </c>
      <c r="C188" s="1486" t="s">
        <v>294</v>
      </c>
      <c r="D188" s="630"/>
      <c r="E188" s="631"/>
      <c r="F188" s="631"/>
      <c r="G188" s="631"/>
      <c r="H188" s="632"/>
      <c r="I188" s="636">
        <f>1-I187</f>
        <v>1</v>
      </c>
      <c r="J188" s="637">
        <f>1-J187</f>
        <v>1</v>
      </c>
      <c r="K188" s="637">
        <f>1-K187</f>
        <v>1</v>
      </c>
      <c r="L188" s="637">
        <f>1-L187</f>
        <v>1</v>
      </c>
      <c r="M188" s="638">
        <f>1-M187</f>
        <v>1</v>
      </c>
      <c r="N188" s="559"/>
      <c r="O188" s="570"/>
      <c r="P188" s="571"/>
      <c r="Q188" s="572"/>
      <c r="R188" s="559"/>
      <c r="S188" s="570"/>
      <c r="T188" s="1478"/>
    </row>
    <row r="189" spans="2:20">
      <c r="B189" s="587" t="s">
        <v>267</v>
      </c>
      <c r="C189" s="1486" t="s">
        <v>14</v>
      </c>
      <c r="D189" s="627"/>
      <c r="E189" s="628"/>
      <c r="F189" s="628"/>
      <c r="G189" s="628"/>
      <c r="H189" s="629"/>
      <c r="I189" s="573"/>
      <c r="J189" s="575"/>
      <c r="K189" s="575"/>
      <c r="L189" s="575"/>
      <c r="M189" s="574"/>
      <c r="N189" s="559"/>
      <c r="O189" s="570"/>
      <c r="P189" s="571"/>
      <c r="Q189" s="572"/>
      <c r="R189" s="559"/>
      <c r="S189" s="570"/>
      <c r="T189" s="1478"/>
    </row>
    <row r="190" spans="2:20">
      <c r="B190" s="587" t="s">
        <v>296</v>
      </c>
      <c r="C190" s="1486" t="s">
        <v>294</v>
      </c>
      <c r="D190" s="627"/>
      <c r="E190" s="628"/>
      <c r="F190" s="628"/>
      <c r="G190" s="628"/>
      <c r="H190" s="629"/>
      <c r="I190" s="573"/>
      <c r="J190" s="575"/>
      <c r="K190" s="575"/>
      <c r="L190" s="575"/>
      <c r="M190" s="574"/>
      <c r="N190" s="559"/>
      <c r="O190" s="570"/>
      <c r="P190" s="571"/>
      <c r="Q190" s="572"/>
      <c r="R190" s="559"/>
      <c r="S190" s="570"/>
      <c r="T190" s="1478"/>
    </row>
    <row r="191" spans="2:20">
      <c r="B191" s="587" t="s">
        <v>297</v>
      </c>
      <c r="C191" s="1486" t="s">
        <v>294</v>
      </c>
      <c r="D191" s="630"/>
      <c r="E191" s="631"/>
      <c r="F191" s="631"/>
      <c r="G191" s="631"/>
      <c r="H191" s="632"/>
      <c r="I191" s="636">
        <f>1-I190</f>
        <v>1</v>
      </c>
      <c r="J191" s="637">
        <f>1-J190</f>
        <v>1</v>
      </c>
      <c r="K191" s="637">
        <f>1-K190</f>
        <v>1</v>
      </c>
      <c r="L191" s="637">
        <f>1-L190</f>
        <v>1</v>
      </c>
      <c r="M191" s="638">
        <f>1-M190</f>
        <v>1</v>
      </c>
      <c r="N191" s="559"/>
      <c r="O191" s="570"/>
      <c r="P191" s="571"/>
      <c r="Q191" s="572"/>
      <c r="R191" s="559"/>
      <c r="S191" s="570"/>
      <c r="T191" s="1478"/>
    </row>
    <row r="192" spans="2:20">
      <c r="B192" s="1493" t="s">
        <v>859</v>
      </c>
      <c r="C192" s="1486" t="s">
        <v>14</v>
      </c>
      <c r="D192" s="568"/>
      <c r="E192" s="573"/>
      <c r="F192" s="573"/>
      <c r="G192" s="573"/>
      <c r="H192" s="574"/>
      <c r="I192" s="588">
        <f>SUM(I186,I189)</f>
        <v>0</v>
      </c>
      <c r="J192" s="565">
        <f>SUM(J186,J189)</f>
        <v>0</v>
      </c>
      <c r="K192" s="565">
        <f>SUM(K186,K189)</f>
        <v>0</v>
      </c>
      <c r="L192" s="565">
        <f>SUM(L186,L189)</f>
        <v>0</v>
      </c>
      <c r="M192" s="566">
        <f>SUM(M186,M189)</f>
        <v>0</v>
      </c>
      <c r="N192" s="559"/>
      <c r="O192" s="564">
        <f>SUM(D192:G192)</f>
        <v>0</v>
      </c>
      <c r="P192" s="565">
        <f>SUM(H192)</f>
        <v>0</v>
      </c>
      <c r="Q192" s="566">
        <f>SUM(D192:H192)</f>
        <v>0</v>
      </c>
      <c r="R192" s="559"/>
      <c r="S192" s="564">
        <f>SUM(I192:M192)</f>
        <v>0</v>
      </c>
      <c r="T192" s="1367" t="str">
        <f>IF(Q192&lt;&gt;0,(S192-Q192)/Q192,"0")</f>
        <v>0</v>
      </c>
    </row>
    <row r="193" spans="2:20">
      <c r="B193" s="1485" t="s">
        <v>298</v>
      </c>
      <c r="C193" s="589"/>
      <c r="D193" s="590"/>
      <c r="E193" s="591"/>
      <c r="F193" s="591"/>
      <c r="G193" s="591"/>
      <c r="H193" s="592"/>
      <c r="I193" s="591"/>
      <c r="J193" s="591"/>
      <c r="K193" s="591"/>
      <c r="L193" s="591"/>
      <c r="M193" s="592"/>
      <c r="N193" s="559"/>
      <c r="O193" s="593"/>
      <c r="P193" s="591"/>
      <c r="Q193" s="592"/>
      <c r="R193" s="559"/>
      <c r="S193" s="590"/>
      <c r="T193" s="592"/>
    </row>
    <row r="194" spans="2:20">
      <c r="B194" s="587" t="s">
        <v>268</v>
      </c>
      <c r="C194" s="1486" t="s">
        <v>14</v>
      </c>
      <c r="D194" s="627"/>
      <c r="E194" s="628"/>
      <c r="F194" s="628"/>
      <c r="G194" s="628"/>
      <c r="H194" s="629"/>
      <c r="I194" s="573"/>
      <c r="J194" s="575"/>
      <c r="K194" s="575"/>
      <c r="L194" s="575"/>
      <c r="M194" s="574"/>
      <c r="N194" s="559"/>
      <c r="O194" s="570"/>
      <c r="P194" s="571"/>
      <c r="Q194" s="572"/>
      <c r="R194" s="559"/>
      <c r="S194" s="570"/>
      <c r="T194" s="1478"/>
    </row>
    <row r="195" spans="2:20">
      <c r="B195" s="587" t="s">
        <v>299</v>
      </c>
      <c r="C195" s="1486" t="s">
        <v>294</v>
      </c>
      <c r="D195" s="630"/>
      <c r="E195" s="631"/>
      <c r="F195" s="631"/>
      <c r="G195" s="631"/>
      <c r="H195" s="632"/>
      <c r="I195" s="633"/>
      <c r="J195" s="634"/>
      <c r="K195" s="634"/>
      <c r="L195" s="634"/>
      <c r="M195" s="635"/>
      <c r="N195" s="559"/>
      <c r="O195" s="570"/>
      <c r="P195" s="571"/>
      <c r="Q195" s="572"/>
      <c r="R195" s="559"/>
      <c r="S195" s="570"/>
      <c r="T195" s="1478"/>
    </row>
    <row r="196" spans="2:20">
      <c r="B196" s="587" t="s">
        <v>300</v>
      </c>
      <c r="C196" s="1486" t="s">
        <v>294</v>
      </c>
      <c r="D196" s="630"/>
      <c r="E196" s="631"/>
      <c r="F196" s="631"/>
      <c r="G196" s="631"/>
      <c r="H196" s="632"/>
      <c r="I196" s="636">
        <f>1-I195</f>
        <v>1</v>
      </c>
      <c r="J196" s="637">
        <f>1-J195</f>
        <v>1</v>
      </c>
      <c r="K196" s="637">
        <f>1-K195</f>
        <v>1</v>
      </c>
      <c r="L196" s="637">
        <f>1-L195</f>
        <v>1</v>
      </c>
      <c r="M196" s="638">
        <f>1-M195</f>
        <v>1</v>
      </c>
      <c r="N196" s="559"/>
      <c r="O196" s="570"/>
      <c r="P196" s="571"/>
      <c r="Q196" s="572"/>
      <c r="R196" s="559"/>
      <c r="S196" s="570"/>
      <c r="T196" s="1478"/>
    </row>
    <row r="197" spans="2:20">
      <c r="B197" s="587" t="s">
        <v>269</v>
      </c>
      <c r="C197" s="1486" t="s">
        <v>14</v>
      </c>
      <c r="D197" s="627"/>
      <c r="E197" s="628"/>
      <c r="F197" s="628"/>
      <c r="G197" s="628"/>
      <c r="H197" s="629"/>
      <c r="I197" s="573"/>
      <c r="J197" s="575"/>
      <c r="K197" s="575"/>
      <c r="L197" s="575"/>
      <c r="M197" s="574"/>
      <c r="N197" s="559"/>
      <c r="O197" s="570"/>
      <c r="P197" s="571"/>
      <c r="Q197" s="572"/>
      <c r="R197" s="559"/>
      <c r="S197" s="570"/>
      <c r="T197" s="1478"/>
    </row>
    <row r="198" spans="2:20">
      <c r="B198" s="587" t="s">
        <v>301</v>
      </c>
      <c r="C198" s="1486" t="s">
        <v>294</v>
      </c>
      <c r="D198" s="627"/>
      <c r="E198" s="628"/>
      <c r="F198" s="628"/>
      <c r="G198" s="628"/>
      <c r="H198" s="629"/>
      <c r="I198" s="573"/>
      <c r="J198" s="575"/>
      <c r="K198" s="575"/>
      <c r="L198" s="575"/>
      <c r="M198" s="574"/>
      <c r="N198" s="559"/>
      <c r="O198" s="570"/>
      <c r="P198" s="571"/>
      <c r="Q198" s="572"/>
      <c r="R198" s="559"/>
      <c r="S198" s="570"/>
      <c r="T198" s="1478"/>
    </row>
    <row r="199" spans="2:20">
      <c r="B199" s="587" t="s">
        <v>302</v>
      </c>
      <c r="C199" s="1486" t="s">
        <v>294</v>
      </c>
      <c r="D199" s="630"/>
      <c r="E199" s="631"/>
      <c r="F199" s="631"/>
      <c r="G199" s="631"/>
      <c r="H199" s="632"/>
      <c r="I199" s="636">
        <f>1-I198</f>
        <v>1</v>
      </c>
      <c r="J199" s="637">
        <f>1-J198</f>
        <v>1</v>
      </c>
      <c r="K199" s="637">
        <f>1-K198</f>
        <v>1</v>
      </c>
      <c r="L199" s="637">
        <f>1-L198</f>
        <v>1</v>
      </c>
      <c r="M199" s="638">
        <f>1-M198</f>
        <v>1</v>
      </c>
      <c r="N199" s="559"/>
      <c r="O199" s="570"/>
      <c r="P199" s="571"/>
      <c r="Q199" s="572"/>
      <c r="R199" s="559"/>
      <c r="S199" s="570"/>
      <c r="T199" s="1478"/>
    </row>
    <row r="200" spans="2:20">
      <c r="B200" s="1493" t="s">
        <v>860</v>
      </c>
      <c r="C200" s="1486" t="s">
        <v>14</v>
      </c>
      <c r="D200" s="568"/>
      <c r="E200" s="573"/>
      <c r="F200" s="573"/>
      <c r="G200" s="573"/>
      <c r="H200" s="574"/>
      <c r="I200" s="588">
        <f>SUM(I194,I197)</f>
        <v>0</v>
      </c>
      <c r="J200" s="565">
        <f>SUM(J194,J197)</f>
        <v>0</v>
      </c>
      <c r="K200" s="565">
        <f>SUM(K194,K197)</f>
        <v>0</v>
      </c>
      <c r="L200" s="565">
        <f>SUM(L194,L197)</f>
        <v>0</v>
      </c>
      <c r="M200" s="566">
        <f>SUM(M194,M197)</f>
        <v>0</v>
      </c>
      <c r="N200" s="559"/>
      <c r="O200" s="564">
        <f>SUM(D200:G200)</f>
        <v>0</v>
      </c>
      <c r="P200" s="565">
        <f>SUM(H200)</f>
        <v>0</v>
      </c>
      <c r="Q200" s="566">
        <f>SUM(D200:H200)</f>
        <v>0</v>
      </c>
      <c r="R200" s="559"/>
      <c r="S200" s="564">
        <f>SUM(I200:M200)</f>
        <v>0</v>
      </c>
      <c r="T200" s="1367" t="str">
        <f>IF(Q200&lt;&gt;0,(S200-Q200)/Q200,"0")</f>
        <v>0</v>
      </c>
    </row>
    <row r="201" spans="2:20">
      <c r="B201" s="1485" t="s">
        <v>303</v>
      </c>
      <c r="C201" s="589"/>
      <c r="D201" s="590"/>
      <c r="E201" s="591"/>
      <c r="F201" s="591"/>
      <c r="G201" s="591"/>
      <c r="H201" s="592"/>
      <c r="I201" s="591"/>
      <c r="J201" s="591"/>
      <c r="K201" s="591"/>
      <c r="L201" s="591"/>
      <c r="M201" s="592"/>
      <c r="N201" s="559"/>
      <c r="O201" s="590"/>
      <c r="P201" s="591"/>
      <c r="Q201" s="592"/>
      <c r="R201" s="559"/>
      <c r="S201" s="590"/>
      <c r="T201" s="592"/>
    </row>
    <row r="202" spans="2:20">
      <c r="B202" s="587" t="s">
        <v>270</v>
      </c>
      <c r="C202" s="1486" t="s">
        <v>14</v>
      </c>
      <c r="D202" s="627"/>
      <c r="E202" s="628"/>
      <c r="F202" s="628"/>
      <c r="G202" s="628"/>
      <c r="H202" s="629"/>
      <c r="I202" s="573"/>
      <c r="J202" s="575"/>
      <c r="K202" s="575"/>
      <c r="L202" s="575"/>
      <c r="M202" s="574"/>
      <c r="N202" s="559"/>
      <c r="O202" s="570"/>
      <c r="P202" s="571"/>
      <c r="Q202" s="572"/>
      <c r="R202" s="559"/>
      <c r="S202" s="570"/>
      <c r="T202" s="1478"/>
    </row>
    <row r="203" spans="2:20">
      <c r="B203" s="587" t="s">
        <v>304</v>
      </c>
      <c r="C203" s="1486" t="s">
        <v>294</v>
      </c>
      <c r="D203" s="630"/>
      <c r="E203" s="631"/>
      <c r="F203" s="631"/>
      <c r="G203" s="631"/>
      <c r="H203" s="632"/>
      <c r="I203" s="633"/>
      <c r="J203" s="634"/>
      <c r="K203" s="634"/>
      <c r="L203" s="634"/>
      <c r="M203" s="635"/>
      <c r="N203" s="559"/>
      <c r="O203" s="570"/>
      <c r="P203" s="571"/>
      <c r="Q203" s="572"/>
      <c r="R203" s="559"/>
      <c r="S203" s="570"/>
      <c r="T203" s="1478"/>
    </row>
    <row r="204" spans="2:20">
      <c r="B204" s="587" t="s">
        <v>305</v>
      </c>
      <c r="C204" s="1486" t="s">
        <v>294</v>
      </c>
      <c r="D204" s="630"/>
      <c r="E204" s="631"/>
      <c r="F204" s="631"/>
      <c r="G204" s="631"/>
      <c r="H204" s="632"/>
      <c r="I204" s="636">
        <f>1-I203</f>
        <v>1</v>
      </c>
      <c r="J204" s="637">
        <f>1-J203</f>
        <v>1</v>
      </c>
      <c r="K204" s="637">
        <f>1-K203</f>
        <v>1</v>
      </c>
      <c r="L204" s="637">
        <f>1-L203</f>
        <v>1</v>
      </c>
      <c r="M204" s="638">
        <f>1-M203</f>
        <v>1</v>
      </c>
      <c r="N204" s="559"/>
      <c r="O204" s="570"/>
      <c r="P204" s="571"/>
      <c r="Q204" s="572"/>
      <c r="R204" s="559"/>
      <c r="S204" s="570"/>
      <c r="T204" s="1478"/>
    </row>
    <row r="205" spans="2:20">
      <c r="B205" s="587" t="s">
        <v>271</v>
      </c>
      <c r="C205" s="1486" t="s">
        <v>14</v>
      </c>
      <c r="D205" s="627"/>
      <c r="E205" s="628"/>
      <c r="F205" s="628"/>
      <c r="G205" s="628"/>
      <c r="H205" s="629"/>
      <c r="I205" s="573"/>
      <c r="J205" s="575"/>
      <c r="K205" s="575"/>
      <c r="L205" s="575"/>
      <c r="M205" s="574"/>
      <c r="N205" s="559"/>
      <c r="O205" s="570"/>
      <c r="P205" s="571"/>
      <c r="Q205" s="572"/>
      <c r="R205" s="559"/>
      <c r="S205" s="570"/>
      <c r="T205" s="1478"/>
    </row>
    <row r="206" spans="2:20">
      <c r="B206" s="587" t="s">
        <v>306</v>
      </c>
      <c r="C206" s="1486" t="s">
        <v>294</v>
      </c>
      <c r="D206" s="639"/>
      <c r="E206" s="640"/>
      <c r="F206" s="640"/>
      <c r="G206" s="640"/>
      <c r="H206" s="641"/>
      <c r="I206" s="642"/>
      <c r="J206" s="643"/>
      <c r="K206" s="643"/>
      <c r="L206" s="643"/>
      <c r="M206" s="644"/>
      <c r="N206" s="559"/>
      <c r="O206" s="570"/>
      <c r="P206" s="571"/>
      <c r="Q206" s="572"/>
      <c r="R206" s="559"/>
      <c r="S206" s="570"/>
      <c r="T206" s="1478"/>
    </row>
    <row r="207" spans="2:20">
      <c r="B207" s="587" t="s">
        <v>307</v>
      </c>
      <c r="C207" s="1486" t="s">
        <v>294</v>
      </c>
      <c r="D207" s="630"/>
      <c r="E207" s="631"/>
      <c r="F207" s="631"/>
      <c r="G207" s="631"/>
      <c r="H207" s="632"/>
      <c r="I207" s="636">
        <f>1-I206</f>
        <v>1</v>
      </c>
      <c r="J207" s="637">
        <f>1-J206</f>
        <v>1</v>
      </c>
      <c r="K207" s="637">
        <f>1-K206</f>
        <v>1</v>
      </c>
      <c r="L207" s="637">
        <f>1-L206</f>
        <v>1</v>
      </c>
      <c r="M207" s="638">
        <f>1-M206</f>
        <v>1</v>
      </c>
      <c r="N207" s="559"/>
      <c r="O207" s="570"/>
      <c r="P207" s="571"/>
      <c r="Q207" s="572"/>
      <c r="R207" s="559"/>
      <c r="S207" s="570"/>
      <c r="T207" s="1478"/>
    </row>
    <row r="208" spans="2:20">
      <c r="B208" s="1493" t="s">
        <v>861</v>
      </c>
      <c r="C208" s="1486" t="s">
        <v>14</v>
      </c>
      <c r="D208" s="568"/>
      <c r="E208" s="573"/>
      <c r="F208" s="573"/>
      <c r="G208" s="573"/>
      <c r="H208" s="574"/>
      <c r="I208" s="588">
        <f>SUM(I202,I205)</f>
        <v>0</v>
      </c>
      <c r="J208" s="565">
        <f>SUM(J202,J205)</f>
        <v>0</v>
      </c>
      <c r="K208" s="565">
        <f>SUM(K202,K205)</f>
        <v>0</v>
      </c>
      <c r="L208" s="565">
        <f>SUM(L202,L205)</f>
        <v>0</v>
      </c>
      <c r="M208" s="566">
        <f>SUM(M202,M205)</f>
        <v>0</v>
      </c>
      <c r="N208" s="559"/>
      <c r="O208" s="564">
        <f>SUM(D208:G208)</f>
        <v>0</v>
      </c>
      <c r="P208" s="565">
        <f>SUM(H208)</f>
        <v>0</v>
      </c>
      <c r="Q208" s="566">
        <f>SUM(D208:H208)</f>
        <v>0</v>
      </c>
      <c r="R208" s="559"/>
      <c r="S208" s="564">
        <f>SUM(I208:M208)</f>
        <v>0</v>
      </c>
      <c r="T208" s="1367" t="str">
        <f>IF(Q208&lt;&gt;0,(S208-Q208)/Q208,"0")</f>
        <v>0</v>
      </c>
    </row>
    <row r="209" spans="2:20">
      <c r="B209" s="1485" t="s">
        <v>308</v>
      </c>
      <c r="C209" s="589"/>
      <c r="D209" s="590"/>
      <c r="E209" s="591"/>
      <c r="F209" s="591"/>
      <c r="G209" s="591"/>
      <c r="H209" s="592"/>
      <c r="I209" s="591"/>
      <c r="J209" s="591"/>
      <c r="K209" s="591"/>
      <c r="L209" s="591"/>
      <c r="M209" s="592"/>
      <c r="N209" s="559"/>
      <c r="O209" s="590"/>
      <c r="P209" s="591"/>
      <c r="Q209" s="592"/>
      <c r="R209" s="559"/>
      <c r="S209" s="590"/>
      <c r="T209" s="592"/>
    </row>
    <row r="210" spans="2:20">
      <c r="B210" s="587" t="s">
        <v>272</v>
      </c>
      <c r="C210" s="1486" t="s">
        <v>14</v>
      </c>
      <c r="D210" s="627"/>
      <c r="E210" s="628"/>
      <c r="F210" s="628"/>
      <c r="G210" s="628"/>
      <c r="H210" s="629"/>
      <c r="I210" s="573"/>
      <c r="J210" s="575"/>
      <c r="K210" s="575"/>
      <c r="L210" s="575"/>
      <c r="M210" s="574"/>
      <c r="N210" s="559"/>
      <c r="O210" s="570"/>
      <c r="P210" s="571"/>
      <c r="Q210" s="572"/>
      <c r="R210" s="559"/>
      <c r="S210" s="570"/>
      <c r="T210" s="1478"/>
    </row>
    <row r="211" spans="2:20">
      <c r="B211" s="587" t="s">
        <v>309</v>
      </c>
      <c r="C211" s="1486" t="s">
        <v>294</v>
      </c>
      <c r="D211" s="630"/>
      <c r="E211" s="631"/>
      <c r="F211" s="631"/>
      <c r="G211" s="631"/>
      <c r="H211" s="632"/>
      <c r="I211" s="633"/>
      <c r="J211" s="634"/>
      <c r="K211" s="634"/>
      <c r="L211" s="634"/>
      <c r="M211" s="635"/>
      <c r="N211" s="559"/>
      <c r="O211" s="570"/>
      <c r="P211" s="571"/>
      <c r="Q211" s="572"/>
      <c r="R211" s="559"/>
      <c r="S211" s="570"/>
      <c r="T211" s="1478"/>
    </row>
    <row r="212" spans="2:20">
      <c r="B212" s="587" t="s">
        <v>310</v>
      </c>
      <c r="C212" s="1486" t="s">
        <v>294</v>
      </c>
      <c r="D212" s="630"/>
      <c r="E212" s="631"/>
      <c r="F212" s="631"/>
      <c r="G212" s="631"/>
      <c r="H212" s="632"/>
      <c r="I212" s="636">
        <f>1-I211</f>
        <v>1</v>
      </c>
      <c r="J212" s="637">
        <f>1-J211</f>
        <v>1</v>
      </c>
      <c r="K212" s="637">
        <f>1-K211</f>
        <v>1</v>
      </c>
      <c r="L212" s="637">
        <f>1-L211</f>
        <v>1</v>
      </c>
      <c r="M212" s="638">
        <f>1-M211</f>
        <v>1</v>
      </c>
      <c r="N212" s="559"/>
      <c r="O212" s="570"/>
      <c r="P212" s="571"/>
      <c r="Q212" s="572"/>
      <c r="R212" s="559"/>
      <c r="S212" s="570"/>
      <c r="T212" s="1478"/>
    </row>
    <row r="213" spans="2:20">
      <c r="B213" s="587" t="s">
        <v>273</v>
      </c>
      <c r="C213" s="1486" t="s">
        <v>14</v>
      </c>
      <c r="D213" s="627"/>
      <c r="E213" s="628"/>
      <c r="F213" s="628"/>
      <c r="G213" s="628"/>
      <c r="H213" s="629"/>
      <c r="I213" s="573"/>
      <c r="J213" s="575"/>
      <c r="K213" s="575"/>
      <c r="L213" s="575"/>
      <c r="M213" s="574"/>
      <c r="N213" s="559"/>
      <c r="O213" s="570"/>
      <c r="P213" s="571"/>
      <c r="Q213" s="572"/>
      <c r="R213" s="559"/>
      <c r="S213" s="570"/>
      <c r="T213" s="1478"/>
    </row>
    <row r="214" spans="2:20">
      <c r="B214" s="587" t="s">
        <v>311</v>
      </c>
      <c r="C214" s="1486" t="s">
        <v>294</v>
      </c>
      <c r="D214" s="639"/>
      <c r="E214" s="640"/>
      <c r="F214" s="640"/>
      <c r="G214" s="640"/>
      <c r="H214" s="641"/>
      <c r="I214" s="642"/>
      <c r="J214" s="643"/>
      <c r="K214" s="643"/>
      <c r="L214" s="643"/>
      <c r="M214" s="644"/>
      <c r="N214" s="559"/>
      <c r="O214" s="570"/>
      <c r="P214" s="571"/>
      <c r="Q214" s="572"/>
      <c r="R214" s="559"/>
      <c r="S214" s="570"/>
      <c r="T214" s="1478"/>
    </row>
    <row r="215" spans="2:20">
      <c r="B215" s="587" t="s">
        <v>312</v>
      </c>
      <c r="C215" s="1486" t="s">
        <v>294</v>
      </c>
      <c r="D215" s="630"/>
      <c r="E215" s="631"/>
      <c r="F215" s="631"/>
      <c r="G215" s="631"/>
      <c r="H215" s="632"/>
      <c r="I215" s="636">
        <f>1-I214</f>
        <v>1</v>
      </c>
      <c r="J215" s="637">
        <f>1-J214</f>
        <v>1</v>
      </c>
      <c r="K215" s="637">
        <f>1-K214</f>
        <v>1</v>
      </c>
      <c r="L215" s="637">
        <f>1-L214</f>
        <v>1</v>
      </c>
      <c r="M215" s="638">
        <f>1-M214</f>
        <v>1</v>
      </c>
      <c r="N215" s="559"/>
      <c r="O215" s="570"/>
      <c r="P215" s="571"/>
      <c r="Q215" s="572"/>
      <c r="R215" s="559"/>
      <c r="S215" s="570"/>
      <c r="T215" s="1478"/>
    </row>
    <row r="216" spans="2:20">
      <c r="B216" s="1547" t="s">
        <v>694</v>
      </c>
      <c r="C216" s="1486" t="s">
        <v>14</v>
      </c>
      <c r="D216" s="645"/>
      <c r="E216" s="646"/>
      <c r="F216" s="646"/>
      <c r="G216" s="646"/>
      <c r="H216" s="647"/>
      <c r="I216" s="648">
        <f>SUM(I210,I213)</f>
        <v>0</v>
      </c>
      <c r="J216" s="649">
        <f>SUM(J210,J213)</f>
        <v>0</v>
      </c>
      <c r="K216" s="649">
        <f>SUM(K210,K213)</f>
        <v>0</v>
      </c>
      <c r="L216" s="649">
        <f>SUM(L210,L213)</f>
        <v>0</v>
      </c>
      <c r="M216" s="650">
        <f>SUM(M210,M213)</f>
        <v>0</v>
      </c>
      <c r="N216" s="559"/>
      <c r="O216" s="564">
        <f>SUM(D216:G216)</f>
        <v>0</v>
      </c>
      <c r="P216" s="565">
        <f>SUM(H216)</f>
        <v>0</v>
      </c>
      <c r="Q216" s="566">
        <f>SUM(D216:H216)</f>
        <v>0</v>
      </c>
      <c r="R216" s="559"/>
      <c r="S216" s="564">
        <f>SUM(I216:M216)</f>
        <v>0</v>
      </c>
      <c r="T216" s="1367" t="str">
        <f>IF(Q216&lt;&gt;0,(S216-Q216)/Q216,"0")</f>
        <v>0</v>
      </c>
    </row>
    <row r="217" spans="2:20" ht="13.5" thickBot="1">
      <c r="B217" s="1548" t="s">
        <v>315</v>
      </c>
      <c r="C217" s="1549"/>
      <c r="D217" s="1550">
        <f t="shared" ref="D217:M217" si="24">SUM(D192,D200,D208,D216)</f>
        <v>0</v>
      </c>
      <c r="E217" s="1550">
        <f t="shared" si="24"/>
        <v>0</v>
      </c>
      <c r="F217" s="1550">
        <f t="shared" si="24"/>
        <v>0</v>
      </c>
      <c r="G217" s="1550">
        <f t="shared" si="24"/>
        <v>0</v>
      </c>
      <c r="H217" s="1550">
        <f t="shared" si="24"/>
        <v>0</v>
      </c>
      <c r="I217" s="1553">
        <f t="shared" si="24"/>
        <v>0</v>
      </c>
      <c r="J217" s="1553">
        <f t="shared" si="24"/>
        <v>0</v>
      </c>
      <c r="K217" s="1553">
        <f t="shared" si="24"/>
        <v>0</v>
      </c>
      <c r="L217" s="1553">
        <f t="shared" si="24"/>
        <v>0</v>
      </c>
      <c r="M217" s="1554">
        <f t="shared" si="24"/>
        <v>0</v>
      </c>
      <c r="N217" s="559"/>
      <c r="O217" s="576">
        <f>SUM(O192,O200,O208,O216)</f>
        <v>0</v>
      </c>
      <c r="P217" s="577">
        <f>SUM(P192,P200,P208,P216)</f>
        <v>0</v>
      </c>
      <c r="Q217" s="578">
        <f>SUM(Q192,Q200,Q208,Q216)</f>
        <v>0</v>
      </c>
      <c r="R217" s="559"/>
      <c r="S217" s="651">
        <f>SUM(S192,S200,S208,S216)</f>
        <v>0</v>
      </c>
      <c r="T217" s="1379" t="str">
        <f>IF(Q217&lt;&gt;0,(S217-Q217)/Q217,"0")</f>
        <v>0</v>
      </c>
    </row>
    <row r="218" spans="2:20">
      <c r="C218" s="556"/>
      <c r="D218" s="556"/>
      <c r="E218" s="556"/>
      <c r="F218" s="556"/>
      <c r="G218" s="556"/>
      <c r="H218" s="556"/>
      <c r="I218" s="556"/>
      <c r="J218" s="556"/>
      <c r="K218" s="556"/>
      <c r="L218" s="556"/>
      <c r="M218" s="556"/>
      <c r="N218" s="556"/>
      <c r="O218" s="556"/>
      <c r="P218" s="556"/>
      <c r="Q218" s="556"/>
      <c r="R218" s="556"/>
      <c r="S218" s="556"/>
      <c r="T218" s="556"/>
    </row>
    <row r="219" spans="2:20">
      <c r="B219" s="1483" t="s">
        <v>316</v>
      </c>
      <c r="C219" s="1484"/>
      <c r="D219" s="579"/>
      <c r="E219" s="579"/>
      <c r="F219" s="579"/>
      <c r="G219" s="579"/>
      <c r="H219" s="579"/>
      <c r="I219" s="579"/>
      <c r="J219" s="579"/>
      <c r="K219" s="579"/>
      <c r="L219" s="579"/>
      <c r="M219" s="579"/>
      <c r="N219" s="559"/>
      <c r="O219" s="579"/>
      <c r="P219" s="579"/>
      <c r="Q219" s="579"/>
      <c r="R219" s="559"/>
      <c r="S219" s="579"/>
      <c r="T219" s="579"/>
    </row>
    <row r="220" spans="2:20" ht="13.5" thickBot="1">
      <c r="B220" s="1483"/>
      <c r="C220" s="1484"/>
      <c r="D220" s="579"/>
      <c r="E220" s="579"/>
      <c r="F220" s="579"/>
      <c r="G220" s="579"/>
      <c r="H220" s="579"/>
      <c r="I220" s="579"/>
      <c r="J220" s="579"/>
      <c r="K220" s="579"/>
      <c r="L220" s="579"/>
      <c r="M220" s="579"/>
      <c r="N220" s="559"/>
      <c r="O220" s="579"/>
      <c r="P220" s="579"/>
      <c r="Q220" s="579"/>
      <c r="R220" s="559"/>
      <c r="S220" s="579"/>
      <c r="T220" s="579"/>
    </row>
    <row r="221" spans="2:20">
      <c r="B221" s="1898" t="s">
        <v>851</v>
      </c>
      <c r="C221" s="1900" t="s">
        <v>31</v>
      </c>
      <c r="D221" s="1448" t="s">
        <v>116</v>
      </c>
      <c r="E221" s="1449"/>
      <c r="F221" s="1449"/>
      <c r="G221" s="1449"/>
      <c r="H221" s="560"/>
      <c r="I221" s="1449" t="s">
        <v>117</v>
      </c>
      <c r="J221" s="561"/>
      <c r="K221" s="561"/>
      <c r="L221" s="561"/>
      <c r="M221" s="560"/>
      <c r="N221" s="559"/>
      <c r="O221" s="1450" t="s">
        <v>116</v>
      </c>
      <c r="P221" s="1451"/>
      <c r="Q221" s="1452"/>
      <c r="R221" s="559"/>
      <c r="S221" s="1450" t="s">
        <v>117</v>
      </c>
      <c r="T221" s="1452"/>
    </row>
    <row r="222" spans="2:20">
      <c r="B222" s="1899"/>
      <c r="C222" s="1901"/>
      <c r="D222" s="1453" t="s">
        <v>32</v>
      </c>
      <c r="E222" s="1454" t="s">
        <v>33</v>
      </c>
      <c r="F222" s="1454" t="s">
        <v>29</v>
      </c>
      <c r="G222" s="1454" t="s">
        <v>34</v>
      </c>
      <c r="H222" s="1455" t="s">
        <v>35</v>
      </c>
      <c r="I222" s="1456" t="s">
        <v>118</v>
      </c>
      <c r="J222" s="1454" t="s">
        <v>136</v>
      </c>
      <c r="K222" s="1454" t="s">
        <v>137</v>
      </c>
      <c r="L222" s="1454" t="s">
        <v>138</v>
      </c>
      <c r="M222" s="1455" t="s">
        <v>139</v>
      </c>
      <c r="N222" s="559"/>
      <c r="O222" s="1457" t="s">
        <v>126</v>
      </c>
      <c r="P222" s="1458" t="s">
        <v>127</v>
      </c>
      <c r="Q222" s="1459" t="s">
        <v>245</v>
      </c>
      <c r="R222" s="559"/>
      <c r="S222" s="1457" t="s">
        <v>127</v>
      </c>
      <c r="T222" s="1459" t="s">
        <v>128</v>
      </c>
    </row>
    <row r="223" spans="2:20">
      <c r="B223" s="1545" t="s">
        <v>856</v>
      </c>
      <c r="C223" s="1546"/>
      <c r="D223" s="1498"/>
      <c r="E223" s="1499"/>
      <c r="F223" s="1499"/>
      <c r="G223" s="1499"/>
      <c r="H223" s="1500"/>
      <c r="I223" s="596"/>
      <c r="J223" s="596"/>
      <c r="K223" s="596"/>
      <c r="L223" s="596"/>
      <c r="M223" s="597"/>
      <c r="N223" s="559"/>
      <c r="O223" s="595"/>
      <c r="P223" s="596"/>
      <c r="Q223" s="597"/>
      <c r="R223" s="559"/>
      <c r="S223" s="595"/>
      <c r="T223" s="597"/>
    </row>
    <row r="224" spans="2:20">
      <c r="B224" s="1485" t="s">
        <v>665</v>
      </c>
      <c r="C224" s="580"/>
      <c r="D224" s="581"/>
      <c r="E224" s="582"/>
      <c r="F224" s="582"/>
      <c r="G224" s="582"/>
      <c r="H224" s="583"/>
      <c r="I224" s="582"/>
      <c r="J224" s="582"/>
      <c r="K224" s="582"/>
      <c r="L224" s="582"/>
      <c r="M224" s="583"/>
      <c r="N224" s="559"/>
      <c r="O224" s="584"/>
      <c r="P224" s="585"/>
      <c r="Q224" s="586"/>
      <c r="R224" s="559"/>
      <c r="S224" s="581"/>
      <c r="T224" s="583"/>
    </row>
    <row r="225" spans="2:20">
      <c r="B225" s="587" t="s">
        <v>266</v>
      </c>
      <c r="C225" s="1486" t="s">
        <v>14</v>
      </c>
      <c r="D225" s="627"/>
      <c r="E225" s="628"/>
      <c r="F225" s="628"/>
      <c r="G225" s="628"/>
      <c r="H225" s="629"/>
      <c r="I225" s="573"/>
      <c r="J225" s="575"/>
      <c r="K225" s="575"/>
      <c r="L225" s="575"/>
      <c r="M225" s="574"/>
      <c r="N225" s="559"/>
      <c r="O225" s="570"/>
      <c r="P225" s="571"/>
      <c r="Q225" s="572"/>
      <c r="R225" s="559"/>
      <c r="S225" s="570"/>
      <c r="T225" s="1478"/>
    </row>
    <row r="226" spans="2:20">
      <c r="B226" s="587" t="s">
        <v>267</v>
      </c>
      <c r="C226" s="1486" t="s">
        <v>14</v>
      </c>
      <c r="D226" s="627"/>
      <c r="E226" s="628"/>
      <c r="F226" s="628"/>
      <c r="G226" s="628"/>
      <c r="H226" s="629"/>
      <c r="I226" s="573"/>
      <c r="J226" s="575"/>
      <c r="K226" s="575"/>
      <c r="L226" s="575"/>
      <c r="M226" s="574"/>
      <c r="N226" s="559"/>
      <c r="O226" s="570"/>
      <c r="P226" s="571"/>
      <c r="Q226" s="572"/>
      <c r="R226" s="559"/>
      <c r="S226" s="570"/>
      <c r="T226" s="1478"/>
    </row>
    <row r="227" spans="2:20">
      <c r="B227" s="1493" t="s">
        <v>859</v>
      </c>
      <c r="C227" s="1486" t="s">
        <v>14</v>
      </c>
      <c r="D227" s="568"/>
      <c r="E227" s="573"/>
      <c r="F227" s="573"/>
      <c r="G227" s="573"/>
      <c r="H227" s="574"/>
      <c r="I227" s="588">
        <f>SUM(I225,I226)</f>
        <v>0</v>
      </c>
      <c r="J227" s="565">
        <f>SUM(J225,J226)</f>
        <v>0</v>
      </c>
      <c r="K227" s="565">
        <f>SUM(K225,K226)</f>
        <v>0</v>
      </c>
      <c r="L227" s="565">
        <f>SUM(L225,L226)</f>
        <v>0</v>
      </c>
      <c r="M227" s="566">
        <f>SUM(M225,M226)</f>
        <v>0</v>
      </c>
      <c r="N227" s="559"/>
      <c r="O227" s="564">
        <f>SUM(D227:G227)</f>
        <v>0</v>
      </c>
      <c r="P227" s="565">
        <f>SUM(H227)</f>
        <v>0</v>
      </c>
      <c r="Q227" s="566">
        <f>SUM(D227:H227)</f>
        <v>0</v>
      </c>
      <c r="R227" s="559"/>
      <c r="S227" s="564">
        <f>SUM(I227:M227)</f>
        <v>0</v>
      </c>
      <c r="T227" s="1367" t="str">
        <f>IF(Q227&lt;&gt;0,(S227-Q227)/Q227,"0")</f>
        <v>0</v>
      </c>
    </row>
    <row r="228" spans="2:20">
      <c r="B228" s="1485" t="s">
        <v>298</v>
      </c>
      <c r="C228" s="589"/>
      <c r="D228" s="590"/>
      <c r="E228" s="591"/>
      <c r="F228" s="591"/>
      <c r="G228" s="591"/>
      <c r="H228" s="592"/>
      <c r="I228" s="591"/>
      <c r="J228" s="591"/>
      <c r="K228" s="591"/>
      <c r="L228" s="591"/>
      <c r="M228" s="592"/>
      <c r="N228" s="559"/>
      <c r="O228" s="593"/>
      <c r="P228" s="591"/>
      <c r="Q228" s="592"/>
      <c r="R228" s="559"/>
      <c r="S228" s="590"/>
      <c r="T228" s="592"/>
    </row>
    <row r="229" spans="2:20">
      <c r="B229" s="587" t="s">
        <v>268</v>
      </c>
      <c r="C229" s="1486" t="s">
        <v>14</v>
      </c>
      <c r="D229" s="627"/>
      <c r="E229" s="628"/>
      <c r="F229" s="628"/>
      <c r="G229" s="628"/>
      <c r="H229" s="629"/>
      <c r="I229" s="573"/>
      <c r="J229" s="575"/>
      <c r="K229" s="575"/>
      <c r="L229" s="575"/>
      <c r="M229" s="574"/>
      <c r="N229" s="559"/>
      <c r="O229" s="570"/>
      <c r="P229" s="571"/>
      <c r="Q229" s="572"/>
      <c r="R229" s="559"/>
      <c r="S229" s="570"/>
      <c r="T229" s="1478"/>
    </row>
    <row r="230" spans="2:20">
      <c r="B230" s="587" t="s">
        <v>269</v>
      </c>
      <c r="C230" s="1486" t="s">
        <v>14</v>
      </c>
      <c r="D230" s="627"/>
      <c r="E230" s="628"/>
      <c r="F230" s="628"/>
      <c r="G230" s="628"/>
      <c r="H230" s="629"/>
      <c r="I230" s="573"/>
      <c r="J230" s="575"/>
      <c r="K230" s="575"/>
      <c r="L230" s="575"/>
      <c r="M230" s="574"/>
      <c r="N230" s="559"/>
      <c r="O230" s="570"/>
      <c r="P230" s="571"/>
      <c r="Q230" s="572"/>
      <c r="R230" s="559"/>
      <c r="S230" s="570"/>
      <c r="T230" s="1478"/>
    </row>
    <row r="231" spans="2:20">
      <c r="B231" s="1493" t="s">
        <v>860</v>
      </c>
      <c r="C231" s="1486" t="s">
        <v>14</v>
      </c>
      <c r="D231" s="568"/>
      <c r="E231" s="573"/>
      <c r="F231" s="573"/>
      <c r="G231" s="573"/>
      <c r="H231" s="574"/>
      <c r="I231" s="588">
        <f>SUM(I229,I230)</f>
        <v>0</v>
      </c>
      <c r="J231" s="565">
        <f>SUM(J229,J230)</f>
        <v>0</v>
      </c>
      <c r="K231" s="565">
        <f>SUM(K229,K230)</f>
        <v>0</v>
      </c>
      <c r="L231" s="565">
        <f>SUM(L229,L230)</f>
        <v>0</v>
      </c>
      <c r="M231" s="566">
        <f>SUM(M229,M230)</f>
        <v>0</v>
      </c>
      <c r="N231" s="559"/>
      <c r="O231" s="564">
        <f>SUM(D231:G231)</f>
        <v>0</v>
      </c>
      <c r="P231" s="565">
        <f>SUM(H231)</f>
        <v>0</v>
      </c>
      <c r="Q231" s="566">
        <f>SUM(D231:H231)</f>
        <v>0</v>
      </c>
      <c r="R231" s="559"/>
      <c r="S231" s="564">
        <f>SUM(I231:M231)</f>
        <v>0</v>
      </c>
      <c r="T231" s="1367" t="str">
        <f>IF(Q231&lt;&gt;0,(S231-Q231)/Q231,"0")</f>
        <v>0</v>
      </c>
    </row>
    <row r="232" spans="2:20">
      <c r="B232" s="1485" t="s">
        <v>303</v>
      </c>
      <c r="C232" s="589"/>
      <c r="D232" s="590"/>
      <c r="E232" s="591"/>
      <c r="F232" s="591"/>
      <c r="G232" s="591"/>
      <c r="H232" s="592"/>
      <c r="I232" s="591"/>
      <c r="J232" s="591"/>
      <c r="K232" s="591"/>
      <c r="L232" s="591"/>
      <c r="M232" s="592"/>
      <c r="N232" s="559"/>
      <c r="O232" s="590"/>
      <c r="P232" s="591"/>
      <c r="Q232" s="592"/>
      <c r="R232" s="559"/>
      <c r="S232" s="590"/>
      <c r="T232" s="592"/>
    </row>
    <row r="233" spans="2:20">
      <c r="B233" s="587" t="s">
        <v>270</v>
      </c>
      <c r="C233" s="1486" t="s">
        <v>14</v>
      </c>
      <c r="D233" s="627"/>
      <c r="E233" s="628"/>
      <c r="F233" s="628"/>
      <c r="G233" s="628"/>
      <c r="H233" s="629"/>
      <c r="I233" s="573"/>
      <c r="J233" s="575"/>
      <c r="K233" s="575"/>
      <c r="L233" s="575"/>
      <c r="M233" s="574"/>
      <c r="N233" s="559"/>
      <c r="O233" s="570"/>
      <c r="P233" s="571"/>
      <c r="Q233" s="572"/>
      <c r="R233" s="559"/>
      <c r="S233" s="570"/>
      <c r="T233" s="1478"/>
    </row>
    <row r="234" spans="2:20">
      <c r="B234" s="587" t="s">
        <v>271</v>
      </c>
      <c r="C234" s="1486" t="s">
        <v>14</v>
      </c>
      <c r="D234" s="627"/>
      <c r="E234" s="628"/>
      <c r="F234" s="628"/>
      <c r="G234" s="628"/>
      <c r="H234" s="629"/>
      <c r="I234" s="573"/>
      <c r="J234" s="575"/>
      <c r="K234" s="575"/>
      <c r="L234" s="575"/>
      <c r="M234" s="574"/>
      <c r="N234" s="559"/>
      <c r="O234" s="570"/>
      <c r="P234" s="571"/>
      <c r="Q234" s="572"/>
      <c r="R234" s="559"/>
      <c r="S234" s="570"/>
      <c r="T234" s="1478"/>
    </row>
    <row r="235" spans="2:20">
      <c r="B235" s="1493" t="s">
        <v>861</v>
      </c>
      <c r="C235" s="1486" t="s">
        <v>14</v>
      </c>
      <c r="D235" s="568"/>
      <c r="E235" s="573"/>
      <c r="F235" s="573"/>
      <c r="G235" s="573"/>
      <c r="H235" s="574"/>
      <c r="I235" s="588">
        <f>SUM(I233,I234)</f>
        <v>0</v>
      </c>
      <c r="J235" s="565">
        <f>SUM(J233,J234)</f>
        <v>0</v>
      </c>
      <c r="K235" s="565">
        <f>SUM(K233,K234)</f>
        <v>0</v>
      </c>
      <c r="L235" s="565">
        <f>SUM(L233,L234)</f>
        <v>0</v>
      </c>
      <c r="M235" s="566">
        <f>SUM(M233,M234)</f>
        <v>0</v>
      </c>
      <c r="N235" s="559"/>
      <c r="O235" s="564">
        <f>SUM(D235:G235)</f>
        <v>0</v>
      </c>
      <c r="P235" s="565">
        <f>SUM(H235)</f>
        <v>0</v>
      </c>
      <c r="Q235" s="566">
        <f>SUM(D235:H235)</f>
        <v>0</v>
      </c>
      <c r="R235" s="559"/>
      <c r="S235" s="564">
        <f>SUM(I235:M235)</f>
        <v>0</v>
      </c>
      <c r="T235" s="1367" t="str">
        <f>IF(Q235&lt;&gt;0,(S235-Q235)/Q235,"0")</f>
        <v>0</v>
      </c>
    </row>
    <row r="236" spans="2:20">
      <c r="B236" s="1485" t="s">
        <v>308</v>
      </c>
      <c r="C236" s="589"/>
      <c r="D236" s="590"/>
      <c r="E236" s="591"/>
      <c r="F236" s="591"/>
      <c r="G236" s="591"/>
      <c r="H236" s="592"/>
      <c r="I236" s="591"/>
      <c r="J236" s="591"/>
      <c r="K236" s="591"/>
      <c r="L236" s="591"/>
      <c r="M236" s="592"/>
      <c r="N236" s="559"/>
      <c r="O236" s="590"/>
      <c r="P236" s="591"/>
      <c r="Q236" s="592"/>
      <c r="R236" s="559"/>
      <c r="S236" s="590"/>
      <c r="T236" s="592"/>
    </row>
    <row r="237" spans="2:20">
      <c r="B237" s="587" t="s">
        <v>272</v>
      </c>
      <c r="C237" s="1486" t="s">
        <v>14</v>
      </c>
      <c r="D237" s="627"/>
      <c r="E237" s="628"/>
      <c r="F237" s="628"/>
      <c r="G237" s="628"/>
      <c r="H237" s="629"/>
      <c r="I237" s="573"/>
      <c r="J237" s="575"/>
      <c r="K237" s="575"/>
      <c r="L237" s="575"/>
      <c r="M237" s="574"/>
      <c r="N237" s="559"/>
      <c r="O237" s="570"/>
      <c r="P237" s="571"/>
      <c r="Q237" s="572"/>
      <c r="R237" s="559"/>
      <c r="S237" s="570"/>
      <c r="T237" s="1478"/>
    </row>
    <row r="238" spans="2:20">
      <c r="B238" s="587" t="s">
        <v>273</v>
      </c>
      <c r="C238" s="1486" t="s">
        <v>14</v>
      </c>
      <c r="D238" s="627"/>
      <c r="E238" s="628"/>
      <c r="F238" s="628"/>
      <c r="G238" s="628"/>
      <c r="H238" s="629"/>
      <c r="I238" s="573"/>
      <c r="J238" s="575"/>
      <c r="K238" s="575"/>
      <c r="L238" s="575"/>
      <c r="M238" s="574"/>
      <c r="N238" s="559"/>
      <c r="O238" s="570"/>
      <c r="P238" s="571"/>
      <c r="Q238" s="572"/>
      <c r="R238" s="559"/>
      <c r="S238" s="570"/>
      <c r="T238" s="1478"/>
    </row>
    <row r="239" spans="2:20">
      <c r="B239" s="1547" t="s">
        <v>694</v>
      </c>
      <c r="C239" s="1486" t="s">
        <v>14</v>
      </c>
      <c r="D239" s="645"/>
      <c r="E239" s="646"/>
      <c r="F239" s="646"/>
      <c r="G239" s="646"/>
      <c r="H239" s="647"/>
      <c r="I239" s="648">
        <f>SUM(I237,I238)</f>
        <v>0</v>
      </c>
      <c r="J239" s="649">
        <f>SUM(J237,J238)</f>
        <v>0</v>
      </c>
      <c r="K239" s="649">
        <f>SUM(K237,K238)</f>
        <v>0</v>
      </c>
      <c r="L239" s="649">
        <f>SUM(L237,L238)</f>
        <v>0</v>
      </c>
      <c r="M239" s="650">
        <f>SUM(M237,M238)</f>
        <v>0</v>
      </c>
      <c r="N239" s="559"/>
      <c r="O239" s="564">
        <f>SUM(D239:G239)</f>
        <v>0</v>
      </c>
      <c r="P239" s="565">
        <f>SUM(H239)</f>
        <v>0</v>
      </c>
      <c r="Q239" s="566">
        <f>SUM(D239:H239)</f>
        <v>0</v>
      </c>
      <c r="R239" s="559"/>
      <c r="S239" s="564">
        <f>SUM(I239:M239)</f>
        <v>0</v>
      </c>
      <c r="T239" s="1367" t="str">
        <f>IF(Q239&lt;&gt;0,(S239-Q239)/Q239,"0")</f>
        <v>0</v>
      </c>
    </row>
    <row r="240" spans="2:20" ht="13.5" thickBot="1">
      <c r="B240" s="1548" t="s">
        <v>317</v>
      </c>
      <c r="C240" s="1549"/>
      <c r="D240" s="1550">
        <f t="shared" ref="D240:M240" si="25">SUM(D227,D231,D235,D239)</f>
        <v>0</v>
      </c>
      <c r="E240" s="1550">
        <f t="shared" si="25"/>
        <v>0</v>
      </c>
      <c r="F240" s="1550">
        <f t="shared" si="25"/>
        <v>0</v>
      </c>
      <c r="G240" s="1550">
        <f t="shared" si="25"/>
        <v>0</v>
      </c>
      <c r="H240" s="1550">
        <f t="shared" si="25"/>
        <v>0</v>
      </c>
      <c r="I240" s="1553">
        <f t="shared" si="25"/>
        <v>0</v>
      </c>
      <c r="J240" s="1553">
        <f t="shared" si="25"/>
        <v>0</v>
      </c>
      <c r="K240" s="1553">
        <f t="shared" si="25"/>
        <v>0</v>
      </c>
      <c r="L240" s="1553">
        <f t="shared" si="25"/>
        <v>0</v>
      </c>
      <c r="M240" s="1554">
        <f t="shared" si="25"/>
        <v>0</v>
      </c>
      <c r="N240" s="559"/>
      <c r="O240" s="576">
        <f>SUM(O227,O231,O235,O239)</f>
        <v>0</v>
      </c>
      <c r="P240" s="577">
        <f>SUM(P227,P231,P235,P239)</f>
        <v>0</v>
      </c>
      <c r="Q240" s="578">
        <f>SUM(Q227,Q231,Q235,Q239)</f>
        <v>0</v>
      </c>
      <c r="R240" s="559"/>
      <c r="S240" s="576">
        <f>SUM(S227,S231,S235,S239)</f>
        <v>0</v>
      </c>
      <c r="T240" s="1379" t="str">
        <f>IF(Q240&lt;&gt;0,(S240-Q240)/Q240,"0")</f>
        <v>0</v>
      </c>
    </row>
    <row r="241" spans="2:20">
      <c r="N241" s="559"/>
      <c r="R241" s="559"/>
    </row>
    <row r="243" spans="2:20">
      <c r="B243" s="1483" t="s">
        <v>318</v>
      </c>
      <c r="C243" s="1484"/>
      <c r="D243" s="579"/>
      <c r="E243" s="579"/>
      <c r="F243" s="579"/>
      <c r="G243" s="579"/>
      <c r="H243" s="579"/>
      <c r="I243" s="579"/>
      <c r="J243" s="579"/>
      <c r="K243" s="579"/>
      <c r="L243" s="579"/>
      <c r="M243" s="579"/>
      <c r="N243" s="559"/>
      <c r="O243" s="579"/>
      <c r="P243" s="579"/>
      <c r="Q243" s="579"/>
      <c r="R243" s="559"/>
      <c r="S243" s="579"/>
      <c r="T243" s="579"/>
    </row>
    <row r="244" spans="2:20" ht="13.5" thickBot="1">
      <c r="B244" s="1483"/>
      <c r="C244" s="1484"/>
      <c r="D244" s="579"/>
      <c r="E244" s="579"/>
      <c r="F244" s="579"/>
      <c r="G244" s="579"/>
      <c r="H244" s="579"/>
      <c r="I244" s="579"/>
      <c r="J244" s="579"/>
      <c r="K244" s="579"/>
      <c r="L244" s="579"/>
      <c r="M244" s="579"/>
      <c r="N244" s="559"/>
      <c r="O244" s="579"/>
      <c r="P244" s="579"/>
      <c r="Q244" s="579"/>
      <c r="R244" s="559"/>
      <c r="S244" s="579"/>
      <c r="T244" s="579"/>
    </row>
    <row r="245" spans="2:20">
      <c r="B245" s="1898" t="s">
        <v>140</v>
      </c>
      <c r="C245" s="1900" t="s">
        <v>31</v>
      </c>
      <c r="D245" s="1448" t="s">
        <v>116</v>
      </c>
      <c r="E245" s="1449"/>
      <c r="F245" s="1449"/>
      <c r="G245" s="1449"/>
      <c r="H245" s="560"/>
      <c r="I245" s="1449" t="s">
        <v>117</v>
      </c>
      <c r="J245" s="561"/>
      <c r="K245" s="561"/>
      <c r="L245" s="561"/>
      <c r="M245" s="560"/>
      <c r="N245" s="559"/>
      <c r="O245" s="1450" t="s">
        <v>116</v>
      </c>
      <c r="P245" s="1451"/>
      <c r="Q245" s="1452"/>
      <c r="R245" s="559"/>
      <c r="S245" s="1450" t="s">
        <v>117</v>
      </c>
      <c r="T245" s="1452"/>
    </row>
    <row r="246" spans="2:20">
      <c r="B246" s="1899"/>
      <c r="C246" s="1901"/>
      <c r="D246" s="1453" t="s">
        <v>32</v>
      </c>
      <c r="E246" s="1454" t="s">
        <v>33</v>
      </c>
      <c r="F246" s="1454" t="s">
        <v>29</v>
      </c>
      <c r="G246" s="1454" t="s">
        <v>34</v>
      </c>
      <c r="H246" s="1455" t="s">
        <v>35</v>
      </c>
      <c r="I246" s="1456" t="s">
        <v>118</v>
      </c>
      <c r="J246" s="1454" t="s">
        <v>136</v>
      </c>
      <c r="K246" s="1454" t="s">
        <v>137</v>
      </c>
      <c r="L246" s="1454" t="s">
        <v>138</v>
      </c>
      <c r="M246" s="1455" t="s">
        <v>139</v>
      </c>
      <c r="N246" s="559"/>
      <c r="O246" s="1457" t="s">
        <v>126</v>
      </c>
      <c r="P246" s="1458" t="s">
        <v>127</v>
      </c>
      <c r="Q246" s="1459" t="s">
        <v>245</v>
      </c>
      <c r="R246" s="559"/>
      <c r="S246" s="1457" t="s">
        <v>127</v>
      </c>
      <c r="T246" s="1459" t="s">
        <v>128</v>
      </c>
    </row>
    <row r="247" spans="2:20">
      <c r="B247" s="1485" t="s">
        <v>141</v>
      </c>
      <c r="C247" s="580"/>
      <c r="D247" s="581"/>
      <c r="E247" s="582"/>
      <c r="F247" s="582"/>
      <c r="G247" s="582"/>
      <c r="H247" s="583"/>
      <c r="I247" s="582"/>
      <c r="J247" s="582"/>
      <c r="K247" s="582"/>
      <c r="L247" s="582"/>
      <c r="M247" s="583"/>
      <c r="N247" s="559"/>
      <c r="O247" s="652"/>
      <c r="P247" s="653"/>
      <c r="Q247" s="654"/>
      <c r="R247" s="559"/>
      <c r="S247" s="655"/>
      <c r="T247" s="656"/>
    </row>
    <row r="248" spans="2:20">
      <c r="B248" s="587" t="s">
        <v>266</v>
      </c>
      <c r="C248" s="1486" t="s">
        <v>14</v>
      </c>
      <c r="D248" s="627"/>
      <c r="E248" s="628"/>
      <c r="F248" s="628"/>
      <c r="G248" s="628"/>
      <c r="H248" s="629"/>
      <c r="I248" s="573"/>
      <c r="J248" s="575"/>
      <c r="K248" s="575"/>
      <c r="L248" s="575"/>
      <c r="M248" s="574"/>
      <c r="N248" s="559"/>
      <c r="O248" s="570"/>
      <c r="P248" s="571"/>
      <c r="Q248" s="572"/>
      <c r="R248" s="559"/>
      <c r="S248" s="570"/>
      <c r="T248" s="1478"/>
    </row>
    <row r="249" spans="2:20">
      <c r="B249" s="587" t="s">
        <v>267</v>
      </c>
      <c r="C249" s="1486"/>
      <c r="D249" s="627"/>
      <c r="E249" s="628"/>
      <c r="F249" s="628"/>
      <c r="G249" s="628"/>
      <c r="H249" s="629"/>
      <c r="I249" s="573"/>
      <c r="J249" s="575"/>
      <c r="K249" s="575"/>
      <c r="L249" s="575"/>
      <c r="M249" s="574"/>
      <c r="N249" s="559"/>
      <c r="O249" s="570"/>
      <c r="P249" s="571"/>
      <c r="Q249" s="572"/>
      <c r="R249" s="559"/>
      <c r="S249" s="570"/>
      <c r="T249" s="1478"/>
    </row>
    <row r="250" spans="2:20">
      <c r="B250" s="1493" t="s">
        <v>859</v>
      </c>
      <c r="C250" s="1486" t="s">
        <v>14</v>
      </c>
      <c r="D250" s="568"/>
      <c r="E250" s="573"/>
      <c r="F250" s="573"/>
      <c r="G250" s="573"/>
      <c r="H250" s="574"/>
      <c r="I250" s="588">
        <f>SUM(I248:I249)</f>
        <v>0</v>
      </c>
      <c r="J250" s="565">
        <f>SUM(J248:J249)</f>
        <v>0</v>
      </c>
      <c r="K250" s="565">
        <f>SUM(K248:K249)</f>
        <v>0</v>
      </c>
      <c r="L250" s="565">
        <f>SUM(L248:L249)</f>
        <v>0</v>
      </c>
      <c r="M250" s="566">
        <f>SUM(M248:M249)</f>
        <v>0</v>
      </c>
      <c r="N250" s="559"/>
      <c r="O250" s="564">
        <f>SUM(D250:G250)</f>
        <v>0</v>
      </c>
      <c r="P250" s="565">
        <f>SUM(H250)</f>
        <v>0</v>
      </c>
      <c r="Q250" s="566">
        <f>SUM(D250:H250)</f>
        <v>0</v>
      </c>
      <c r="R250" s="559"/>
      <c r="S250" s="564">
        <f>SUM(I250:M250)</f>
        <v>0</v>
      </c>
      <c r="T250" s="1367" t="str">
        <f>IF(Q250&lt;&gt;0,(S250-Q250)/Q250,"0")</f>
        <v>0</v>
      </c>
    </row>
    <row r="251" spans="2:20">
      <c r="B251" s="1485" t="s">
        <v>319</v>
      </c>
      <c r="C251" s="589"/>
      <c r="D251" s="590"/>
      <c r="E251" s="591"/>
      <c r="F251" s="591"/>
      <c r="G251" s="591"/>
      <c r="H251" s="592"/>
      <c r="I251" s="591"/>
      <c r="J251" s="591"/>
      <c r="K251" s="591"/>
      <c r="L251" s="591"/>
      <c r="M251" s="592"/>
      <c r="N251" s="559"/>
      <c r="O251" s="655"/>
      <c r="P251" s="653"/>
      <c r="Q251" s="654"/>
      <c r="R251" s="559"/>
      <c r="S251" s="652"/>
      <c r="T251" s="654"/>
    </row>
    <row r="252" spans="2:20">
      <c r="B252" s="587" t="s">
        <v>268</v>
      </c>
      <c r="C252" s="1486" t="s">
        <v>14</v>
      </c>
      <c r="D252" s="627"/>
      <c r="E252" s="628"/>
      <c r="F252" s="628"/>
      <c r="G252" s="628"/>
      <c r="H252" s="629"/>
      <c r="I252" s="573"/>
      <c r="J252" s="575"/>
      <c r="K252" s="575"/>
      <c r="L252" s="575"/>
      <c r="M252" s="574"/>
      <c r="N252" s="559"/>
      <c r="O252" s="570"/>
      <c r="P252" s="571"/>
      <c r="Q252" s="572"/>
      <c r="R252" s="559"/>
      <c r="S252" s="570"/>
      <c r="T252" s="1478"/>
    </row>
    <row r="253" spans="2:20">
      <c r="B253" s="587" t="s">
        <v>269</v>
      </c>
      <c r="C253" s="1486" t="s">
        <v>14</v>
      </c>
      <c r="D253" s="627"/>
      <c r="E253" s="628"/>
      <c r="F253" s="628"/>
      <c r="G253" s="628"/>
      <c r="H253" s="629"/>
      <c r="I253" s="573"/>
      <c r="J253" s="575"/>
      <c r="K253" s="575"/>
      <c r="L253" s="575"/>
      <c r="M253" s="574"/>
      <c r="N253" s="559"/>
      <c r="O253" s="570"/>
      <c r="P253" s="571"/>
      <c r="Q253" s="572"/>
      <c r="R253" s="559"/>
      <c r="S253" s="570"/>
      <c r="T253" s="1478"/>
    </row>
    <row r="254" spans="2:20">
      <c r="B254" s="1493" t="s">
        <v>860</v>
      </c>
      <c r="C254" s="1486" t="s">
        <v>14</v>
      </c>
      <c r="D254" s="568"/>
      <c r="E254" s="573"/>
      <c r="F254" s="573"/>
      <c r="G254" s="573"/>
      <c r="H254" s="574"/>
      <c r="I254" s="588">
        <f>SUM(I252:I253)</f>
        <v>0</v>
      </c>
      <c r="J254" s="565">
        <f>SUM(J252:J253)</f>
        <v>0</v>
      </c>
      <c r="K254" s="565">
        <f>SUM(K252:K253)</f>
        <v>0</v>
      </c>
      <c r="L254" s="565">
        <f>SUM(L252:L253)</f>
        <v>0</v>
      </c>
      <c r="M254" s="566">
        <f>SUM(M252:M253)</f>
        <v>0</v>
      </c>
      <c r="N254" s="559"/>
      <c r="O254" s="564">
        <f>SUM(D254:G254)</f>
        <v>0</v>
      </c>
      <c r="P254" s="565">
        <f>SUM(H254)</f>
        <v>0</v>
      </c>
      <c r="Q254" s="566">
        <f>SUM(D254:H254)</f>
        <v>0</v>
      </c>
      <c r="R254" s="559"/>
      <c r="S254" s="564">
        <f>SUM(I254:M254)</f>
        <v>0</v>
      </c>
      <c r="T254" s="1367" t="str">
        <f>IF(Q254&lt;&gt;0,(S254-Q254)/Q254,"0")</f>
        <v>0</v>
      </c>
    </row>
    <row r="255" spans="2:20">
      <c r="B255" s="1485" t="s">
        <v>320</v>
      </c>
      <c r="C255" s="589"/>
      <c r="D255" s="590"/>
      <c r="E255" s="591"/>
      <c r="F255" s="591"/>
      <c r="G255" s="591"/>
      <c r="H255" s="592"/>
      <c r="I255" s="591"/>
      <c r="J255" s="591"/>
      <c r="K255" s="591"/>
      <c r="L255" s="591"/>
      <c r="M255" s="592"/>
      <c r="N255" s="559"/>
      <c r="O255" s="652"/>
      <c r="P255" s="653"/>
      <c r="Q255" s="654"/>
      <c r="R255" s="559"/>
      <c r="S255" s="652"/>
      <c r="T255" s="654"/>
    </row>
    <row r="256" spans="2:20">
      <c r="B256" s="587" t="s">
        <v>270</v>
      </c>
      <c r="C256" s="1486" t="s">
        <v>14</v>
      </c>
      <c r="D256" s="627"/>
      <c r="E256" s="628"/>
      <c r="F256" s="628"/>
      <c r="G256" s="628"/>
      <c r="H256" s="629"/>
      <c r="I256" s="573"/>
      <c r="J256" s="575"/>
      <c r="K256" s="575"/>
      <c r="L256" s="575"/>
      <c r="M256" s="574"/>
      <c r="N256" s="559"/>
      <c r="O256" s="570"/>
      <c r="P256" s="571"/>
      <c r="Q256" s="572"/>
      <c r="R256" s="559"/>
      <c r="S256" s="570"/>
      <c r="T256" s="1478"/>
    </row>
    <row r="257" spans="1:20">
      <c r="B257" s="587" t="s">
        <v>271</v>
      </c>
      <c r="C257" s="1486" t="s">
        <v>14</v>
      </c>
      <c r="D257" s="627"/>
      <c r="E257" s="628"/>
      <c r="F257" s="628"/>
      <c r="G257" s="628"/>
      <c r="H257" s="629"/>
      <c r="I257" s="573"/>
      <c r="J257" s="575"/>
      <c r="K257" s="575"/>
      <c r="L257" s="575"/>
      <c r="M257" s="574"/>
      <c r="N257" s="559"/>
      <c r="O257" s="570"/>
      <c r="P257" s="571"/>
      <c r="Q257" s="572"/>
      <c r="R257" s="559"/>
      <c r="S257" s="570"/>
      <c r="T257" s="1478"/>
    </row>
    <row r="258" spans="1:20">
      <c r="B258" s="1493" t="s">
        <v>861</v>
      </c>
      <c r="C258" s="1486" t="s">
        <v>14</v>
      </c>
      <c r="D258" s="568"/>
      <c r="E258" s="573"/>
      <c r="F258" s="573"/>
      <c r="G258" s="573"/>
      <c r="H258" s="574"/>
      <c r="I258" s="588">
        <f>SUM(I256:I257)</f>
        <v>0</v>
      </c>
      <c r="J258" s="565">
        <f>SUM(J256:J257)</f>
        <v>0</v>
      </c>
      <c r="K258" s="565">
        <f>SUM(K256:K257)</f>
        <v>0</v>
      </c>
      <c r="L258" s="565">
        <f>SUM(L256:L257)</f>
        <v>0</v>
      </c>
      <c r="M258" s="566">
        <f>SUM(M256:M257)</f>
        <v>0</v>
      </c>
      <c r="N258" s="559"/>
      <c r="O258" s="564">
        <f>SUM(D258:G258)</f>
        <v>0</v>
      </c>
      <c r="P258" s="565">
        <f>SUM(H258)</f>
        <v>0</v>
      </c>
      <c r="Q258" s="566">
        <f>SUM(D258:H258)</f>
        <v>0</v>
      </c>
      <c r="R258" s="559"/>
      <c r="S258" s="564">
        <f>SUM(I258:M258)</f>
        <v>0</v>
      </c>
      <c r="T258" s="1367" t="str">
        <f>IF(Q258&lt;&gt;0,(S258-Q258)/Q258,"0")</f>
        <v>0</v>
      </c>
    </row>
    <row r="259" spans="1:20">
      <c r="B259" s="1485" t="s">
        <v>321</v>
      </c>
      <c r="C259" s="589"/>
      <c r="D259" s="590"/>
      <c r="E259" s="591"/>
      <c r="F259" s="591"/>
      <c r="G259" s="591"/>
      <c r="H259" s="592"/>
      <c r="I259" s="591"/>
      <c r="J259" s="591"/>
      <c r="K259" s="591"/>
      <c r="L259" s="591"/>
      <c r="M259" s="592"/>
      <c r="N259" s="559"/>
      <c r="O259" s="652"/>
      <c r="P259" s="653"/>
      <c r="Q259" s="654"/>
      <c r="R259" s="559"/>
      <c r="S259" s="652"/>
      <c r="T259" s="654"/>
    </row>
    <row r="260" spans="1:20">
      <c r="B260" s="587" t="s">
        <v>272</v>
      </c>
      <c r="C260" s="1486" t="s">
        <v>14</v>
      </c>
      <c r="D260" s="627"/>
      <c r="E260" s="628"/>
      <c r="F260" s="628"/>
      <c r="G260" s="628"/>
      <c r="H260" s="629"/>
      <c r="I260" s="573"/>
      <c r="J260" s="575"/>
      <c r="K260" s="575"/>
      <c r="L260" s="575"/>
      <c r="M260" s="574"/>
      <c r="N260" s="559"/>
      <c r="O260" s="570"/>
      <c r="P260" s="571"/>
      <c r="Q260" s="572"/>
      <c r="R260" s="559"/>
      <c r="S260" s="570"/>
      <c r="T260" s="1478"/>
    </row>
    <row r="261" spans="1:20">
      <c r="B261" s="587" t="s">
        <v>273</v>
      </c>
      <c r="C261" s="1486" t="s">
        <v>14</v>
      </c>
      <c r="D261" s="627"/>
      <c r="E261" s="628"/>
      <c r="F261" s="628"/>
      <c r="G261" s="628"/>
      <c r="H261" s="629"/>
      <c r="I261" s="573"/>
      <c r="J261" s="575"/>
      <c r="K261" s="575"/>
      <c r="L261" s="575"/>
      <c r="M261" s="574"/>
      <c r="N261" s="559"/>
      <c r="O261" s="570"/>
      <c r="P261" s="571"/>
      <c r="Q261" s="572"/>
      <c r="R261" s="559"/>
      <c r="S261" s="570"/>
      <c r="T261" s="1478"/>
    </row>
    <row r="262" spans="1:20">
      <c r="B262" s="1547" t="s">
        <v>694</v>
      </c>
      <c r="C262" s="1486" t="s">
        <v>14</v>
      </c>
      <c r="D262" s="645"/>
      <c r="E262" s="646"/>
      <c r="F262" s="646"/>
      <c r="G262" s="646"/>
      <c r="H262" s="647"/>
      <c r="I262" s="648">
        <f>SUM(I260:I261)</f>
        <v>0</v>
      </c>
      <c r="J262" s="649">
        <f>SUM(J260:J261)</f>
        <v>0</v>
      </c>
      <c r="K262" s="649">
        <f>SUM(K260:K261)</f>
        <v>0</v>
      </c>
      <c r="L262" s="649">
        <f>SUM(L260:L261)</f>
        <v>0</v>
      </c>
      <c r="M262" s="650">
        <f>SUM(M260:M261)</f>
        <v>0</v>
      </c>
      <c r="N262" s="559"/>
      <c r="O262" s="564">
        <f>SUM(D262:G262)</f>
        <v>0</v>
      </c>
      <c r="P262" s="565">
        <f>SUM(H262)</f>
        <v>0</v>
      </c>
      <c r="Q262" s="566">
        <f>SUM(D262:H262)</f>
        <v>0</v>
      </c>
      <c r="R262" s="559"/>
      <c r="S262" s="564">
        <f>SUM(I262:M262)</f>
        <v>0</v>
      </c>
      <c r="T262" s="1367" t="str">
        <f>IF(Q262&lt;&gt;0,(S262-Q262)/Q262,"0")</f>
        <v>0</v>
      </c>
    </row>
    <row r="263" spans="1:20" ht="13.5" thickBot="1">
      <c r="B263" s="1555" t="s">
        <v>322</v>
      </c>
      <c r="C263" s="1549"/>
      <c r="D263" s="1550">
        <f t="shared" ref="D263:M263" si="26">SUM(D250,D254,D258,D262)</f>
        <v>0</v>
      </c>
      <c r="E263" s="1550">
        <f t="shared" si="26"/>
        <v>0</v>
      </c>
      <c r="F263" s="1550">
        <f t="shared" si="26"/>
        <v>0</v>
      </c>
      <c r="G263" s="1550">
        <f t="shared" si="26"/>
        <v>0</v>
      </c>
      <c r="H263" s="1550">
        <f t="shared" si="26"/>
        <v>0</v>
      </c>
      <c r="I263" s="1551">
        <f t="shared" si="26"/>
        <v>0</v>
      </c>
      <c r="J263" s="1551">
        <f t="shared" si="26"/>
        <v>0</v>
      </c>
      <c r="K263" s="1551">
        <f t="shared" si="26"/>
        <v>0</v>
      </c>
      <c r="L263" s="1551">
        <f t="shared" si="26"/>
        <v>0</v>
      </c>
      <c r="M263" s="1552">
        <f t="shared" si="26"/>
        <v>0</v>
      </c>
      <c r="N263" s="559"/>
      <c r="O263" s="576">
        <f>SUM(O250,O254,O258,O262)</f>
        <v>0</v>
      </c>
      <c r="P263" s="577">
        <f>SUM(P250,P254,P258,P262)</f>
        <v>0</v>
      </c>
      <c r="Q263" s="578">
        <f>SUM(Q250,Q254,Q258,Q262)</f>
        <v>0</v>
      </c>
      <c r="R263" s="559"/>
      <c r="S263" s="576">
        <f>SUM(S250,S254,S258,S262)</f>
        <v>0</v>
      </c>
      <c r="T263" s="1379" t="str">
        <f>IF(Q263&lt;&gt;0,(S263-Q263)/Q263,"0")</f>
        <v>0</v>
      </c>
    </row>
    <row r="266" spans="1:20">
      <c r="D266" s="659">
        <f>SUM(D240:M240) - SUM(D263:M263)</f>
        <v>0</v>
      </c>
    </row>
    <row r="267" spans="1:20">
      <c r="A267" s="657"/>
      <c r="B267" s="1556"/>
      <c r="C267" s="658"/>
      <c r="D267" s="600"/>
      <c r="E267" s="600"/>
      <c r="F267" s="600"/>
      <c r="G267" s="600"/>
      <c r="H267" s="600"/>
      <c r="I267" s="600"/>
      <c r="J267" s="600"/>
      <c r="K267" s="600"/>
      <c r="L267" s="600"/>
      <c r="M267" s="600"/>
      <c r="N267" s="600"/>
    </row>
  </sheetData>
  <mergeCells count="18">
    <mergeCell ref="B26:B27"/>
    <mergeCell ref="C26:C27"/>
    <mergeCell ref="C18:C19"/>
    <mergeCell ref="C8:C9"/>
    <mergeCell ref="B48:B49"/>
    <mergeCell ref="C48:C49"/>
    <mergeCell ref="C79:C80"/>
    <mergeCell ref="B79:B80"/>
    <mergeCell ref="B110:B111"/>
    <mergeCell ref="C110:C111"/>
    <mergeCell ref="B143:B144"/>
    <mergeCell ref="C143:C144"/>
    <mergeCell ref="B182:B183"/>
    <mergeCell ref="C182:C183"/>
    <mergeCell ref="B221:B222"/>
    <mergeCell ref="C221:C222"/>
    <mergeCell ref="B245:B246"/>
    <mergeCell ref="C245:C246"/>
  </mergeCells>
  <phoneticPr fontId="43"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K126"/>
  <sheetViews>
    <sheetView workbookViewId="0">
      <selection sqref="A1:XFD1048576"/>
    </sheetView>
  </sheetViews>
  <sheetFormatPr defaultRowHeight="12.75"/>
  <cols>
    <col min="1" max="1" width="9.5703125" style="231" customWidth="1"/>
    <col min="2" max="2" width="4.7109375" style="231" customWidth="1"/>
    <col min="3" max="3" width="39" style="231" customWidth="1"/>
    <col min="4" max="13" width="11" style="231" customWidth="1"/>
    <col min="14" max="36" width="15.42578125" style="231" customWidth="1"/>
    <col min="37" max="37" width="109.28515625" style="231" customWidth="1"/>
    <col min="38" max="16384" width="9.140625" style="231"/>
  </cols>
  <sheetData>
    <row r="1" spans="1:36" s="718" customFormat="1" ht="26.25">
      <c r="A1" s="660" t="s">
        <v>167</v>
      </c>
      <c r="D1" s="660"/>
      <c r="E1" s="719"/>
      <c r="F1" s="720"/>
      <c r="G1" s="720"/>
      <c r="I1" s="721"/>
      <c r="J1" s="721"/>
      <c r="L1" s="721"/>
    </row>
    <row r="2" spans="1:36" s="718" customFormat="1" ht="18">
      <c r="A2" s="722" t="s">
        <v>168</v>
      </c>
      <c r="E2" s="723"/>
    </row>
    <row r="3" spans="1:36" s="725" customFormat="1" ht="18.75" thickBot="1">
      <c r="A3" s="724" t="s">
        <v>735</v>
      </c>
      <c r="D3" s="724"/>
      <c r="E3" s="726"/>
    </row>
    <row r="5" spans="1:36" s="980" customFormat="1" ht="15.75" customHeight="1">
      <c r="B5" s="1350" t="s">
        <v>736</v>
      </c>
      <c r="C5" s="1350"/>
    </row>
    <row r="6" spans="1:36" ht="13.5" thickBot="1">
      <c r="B6" s="1380"/>
      <c r="C6" s="1380"/>
    </row>
    <row r="7" spans="1:36" ht="15.75" customHeight="1">
      <c r="B7" s="1380"/>
      <c r="C7" s="1918"/>
      <c r="D7" s="1351" t="s">
        <v>116</v>
      </c>
      <c r="E7" s="1352"/>
      <c r="F7" s="1352"/>
      <c r="G7" s="1352"/>
      <c r="H7" s="292"/>
      <c r="I7" s="1352" t="s">
        <v>117</v>
      </c>
      <c r="J7" s="293"/>
      <c r="K7" s="293"/>
      <c r="L7" s="293"/>
      <c r="M7" s="292"/>
      <c r="N7" s="235"/>
      <c r="O7" s="1908" t="s">
        <v>116</v>
      </c>
      <c r="P7" s="1923"/>
      <c r="Q7" s="1909"/>
      <c r="R7" s="295"/>
      <c r="S7" s="1908" t="s">
        <v>117</v>
      </c>
      <c r="T7" s="1909"/>
      <c r="U7" s="1557"/>
      <c r="W7" s="1558"/>
      <c r="X7" s="1558"/>
      <c r="Y7" s="1558"/>
      <c r="Z7" s="1558"/>
      <c r="AA7" s="1558"/>
      <c r="AB7" s="1558"/>
      <c r="AC7" s="1558"/>
      <c r="AD7" s="1558"/>
      <c r="AE7" s="1558"/>
      <c r="AF7" s="1558"/>
      <c r="AG7" s="1558"/>
      <c r="AH7" s="1558"/>
      <c r="AI7" s="1558"/>
      <c r="AJ7" s="1558"/>
    </row>
    <row r="8" spans="1:36" ht="15.75" customHeight="1">
      <c r="C8" s="1919"/>
      <c r="D8" s="1360" t="s">
        <v>32</v>
      </c>
      <c r="E8" s="1361" t="s">
        <v>33</v>
      </c>
      <c r="F8" s="1361" t="s">
        <v>29</v>
      </c>
      <c r="G8" s="1361" t="s">
        <v>34</v>
      </c>
      <c r="H8" s="1362" t="s">
        <v>35</v>
      </c>
      <c r="I8" s="1559" t="s">
        <v>118</v>
      </c>
      <c r="J8" s="1361" t="s">
        <v>136</v>
      </c>
      <c r="K8" s="1361" t="s">
        <v>137</v>
      </c>
      <c r="L8" s="1361" t="s">
        <v>138</v>
      </c>
      <c r="M8" s="1362" t="s">
        <v>139</v>
      </c>
      <c r="N8" s="235"/>
      <c r="O8" s="1560" t="s">
        <v>126</v>
      </c>
      <c r="P8" s="1561" t="s">
        <v>127</v>
      </c>
      <c r="Q8" s="1562" t="s">
        <v>245</v>
      </c>
      <c r="R8" s="295"/>
      <c r="S8" s="1560" t="s">
        <v>127</v>
      </c>
      <c r="T8" s="1562" t="s">
        <v>128</v>
      </c>
      <c r="U8" s="1557"/>
      <c r="W8" s="1563"/>
      <c r="X8" s="1563"/>
      <c r="Y8" s="1563"/>
      <c r="Z8" s="1563"/>
      <c r="AA8" s="1563"/>
      <c r="AB8" s="1563"/>
      <c r="AC8" s="1563"/>
      <c r="AD8" s="1563"/>
      <c r="AE8" s="1563"/>
      <c r="AF8" s="1563"/>
      <c r="AG8" s="1563"/>
      <c r="AH8" s="1563"/>
      <c r="AI8" s="1563"/>
      <c r="AJ8" s="1563"/>
    </row>
    <row r="9" spans="1:36" ht="15.75" customHeight="1">
      <c r="C9" s="1920"/>
      <c r="D9" s="1564" t="s">
        <v>729</v>
      </c>
      <c r="E9" s="1565" t="s">
        <v>729</v>
      </c>
      <c r="F9" s="1565" t="s">
        <v>729</v>
      </c>
      <c r="G9" s="1565" t="s">
        <v>729</v>
      </c>
      <c r="H9" s="1566" t="s">
        <v>729</v>
      </c>
      <c r="I9" s="1567" t="s">
        <v>729</v>
      </c>
      <c r="J9" s="1565" t="s">
        <v>729</v>
      </c>
      <c r="K9" s="1565" t="s">
        <v>729</v>
      </c>
      <c r="L9" s="1565" t="s">
        <v>729</v>
      </c>
      <c r="M9" s="1566" t="s">
        <v>729</v>
      </c>
      <c r="N9" s="301"/>
      <c r="O9" s="1564" t="s">
        <v>729</v>
      </c>
      <c r="P9" s="1565" t="s">
        <v>729</v>
      </c>
      <c r="Q9" s="1566" t="s">
        <v>729</v>
      </c>
      <c r="R9" s="295"/>
      <c r="S9" s="1564" t="s">
        <v>729</v>
      </c>
      <c r="T9" s="1566" t="s">
        <v>729</v>
      </c>
      <c r="U9" s="1568"/>
      <c r="W9" s="1568"/>
      <c r="X9" s="1568"/>
      <c r="Y9" s="1568"/>
      <c r="Z9" s="1568"/>
      <c r="AA9" s="1568"/>
      <c r="AB9" s="1568"/>
      <c r="AC9" s="1568"/>
      <c r="AD9" s="1568"/>
      <c r="AE9" s="1568"/>
      <c r="AF9" s="1568"/>
      <c r="AG9" s="1568"/>
      <c r="AH9" s="1568"/>
      <c r="AI9" s="1568"/>
      <c r="AJ9" s="1568"/>
    </row>
    <row r="10" spans="1:36" ht="15.75" customHeight="1">
      <c r="C10" s="1422" t="s">
        <v>737</v>
      </c>
      <c r="D10" s="312"/>
      <c r="E10" s="313"/>
      <c r="F10" s="313"/>
      <c r="G10" s="313"/>
      <c r="H10" s="314"/>
      <c r="I10" s="313"/>
      <c r="J10" s="313"/>
      <c r="K10" s="313"/>
      <c r="L10" s="313"/>
      <c r="M10" s="314"/>
      <c r="N10" s="301"/>
      <c r="O10" s="312"/>
      <c r="P10" s="298"/>
      <c r="Q10" s="299"/>
      <c r="R10" s="295"/>
      <c r="S10" s="312"/>
      <c r="T10" s="492"/>
      <c r="U10" s="1569"/>
      <c r="W10" s="1569"/>
      <c r="X10" s="1569"/>
      <c r="Y10" s="1569"/>
      <c r="Z10" s="1569"/>
      <c r="AA10" s="1569"/>
      <c r="AB10" s="1569"/>
      <c r="AC10" s="1569"/>
      <c r="AD10" s="1569"/>
      <c r="AE10" s="1569"/>
      <c r="AF10" s="1569"/>
      <c r="AG10" s="1569"/>
      <c r="AH10" s="1569"/>
      <c r="AI10" s="1569"/>
      <c r="AJ10" s="1569"/>
    </row>
    <row r="11" spans="1:36" ht="15.75" customHeight="1">
      <c r="C11" s="1570" t="s">
        <v>842</v>
      </c>
      <c r="D11" s="280">
        <v>0.59787787022900762</v>
      </c>
      <c r="E11" s="281">
        <v>1.4930413323059681</v>
      </c>
      <c r="F11" s="281">
        <v>1.2960606768848384</v>
      </c>
      <c r="G11" s="281">
        <v>1.4501552777777778</v>
      </c>
      <c r="H11" s="282">
        <v>0.7776191627692487</v>
      </c>
      <c r="I11" s="281">
        <v>0.95352027484310475</v>
      </c>
      <c r="J11" s="283">
        <v>0.93103337152803067</v>
      </c>
      <c r="K11" s="283">
        <v>0.92934109523010278</v>
      </c>
      <c r="L11" s="283">
        <v>0.92885146116891715</v>
      </c>
      <c r="M11" s="282">
        <v>0.93731354680290524</v>
      </c>
      <c r="N11" s="315"/>
      <c r="O11" s="232">
        <f t="shared" ref="O11:O16" si="0">SUM(D11:G11)</f>
        <v>4.8371351571975918</v>
      </c>
      <c r="P11" s="233">
        <f t="shared" ref="P11:P16" si="1">H11</f>
        <v>0.7776191627692487</v>
      </c>
      <c r="Q11" s="234">
        <f t="shared" ref="Q11:Q19" si="2">SUM(D11:H11)</f>
        <v>5.6147543199668402</v>
      </c>
      <c r="R11" s="295"/>
      <c r="S11" s="232">
        <f t="shared" ref="S11:S16" si="3">SUM(I11:M11)</f>
        <v>4.6800597495730605</v>
      </c>
      <c r="T11" s="1367">
        <f t="shared" ref="T11:T16" si="4">IF(Q11&lt;&gt;0,(S11-Q11)/Q11,"0")</f>
        <v>-0.16647114319318959</v>
      </c>
      <c r="U11" s="1571"/>
      <c r="W11" s="1571"/>
      <c r="X11" s="1571"/>
      <c r="Y11" s="1571"/>
      <c r="Z11" s="1571"/>
      <c r="AA11" s="1571"/>
      <c r="AB11" s="1571"/>
      <c r="AC11" s="1571"/>
      <c r="AD11" s="1571"/>
      <c r="AE11" s="1571"/>
      <c r="AF11" s="1571"/>
      <c r="AG11" s="1571"/>
      <c r="AH11" s="1571"/>
      <c r="AI11" s="1571"/>
      <c r="AJ11" s="1571"/>
    </row>
    <row r="12" spans="1:36" ht="15.75" customHeight="1">
      <c r="C12" s="1570" t="s">
        <v>837</v>
      </c>
      <c r="D12" s="280">
        <v>4.1851450916030535</v>
      </c>
      <c r="E12" s="281">
        <v>5.2754127074810873</v>
      </c>
      <c r="F12" s="281">
        <v>3.8881820306545154</v>
      </c>
      <c r="G12" s="281">
        <v>3.2349617735042733</v>
      </c>
      <c r="H12" s="282">
        <v>3.6659189101978868</v>
      </c>
      <c r="I12" s="281">
        <v>4.3438145853963652</v>
      </c>
      <c r="J12" s="283">
        <v>4.2413742480721393</v>
      </c>
      <c r="K12" s="283">
        <v>4.2336649893815785</v>
      </c>
      <c r="L12" s="283">
        <v>4.2314344342139556</v>
      </c>
      <c r="M12" s="282">
        <v>4.269983935435457</v>
      </c>
      <c r="N12" s="315"/>
      <c r="O12" s="232">
        <f t="shared" si="0"/>
        <v>16.583701603242929</v>
      </c>
      <c r="P12" s="233">
        <f t="shared" si="1"/>
        <v>3.6659189101978868</v>
      </c>
      <c r="Q12" s="234">
        <f t="shared" si="2"/>
        <v>20.249620513440817</v>
      </c>
      <c r="R12" s="295"/>
      <c r="S12" s="232">
        <f t="shared" si="3"/>
        <v>21.320272192499495</v>
      </c>
      <c r="T12" s="1367">
        <f t="shared" si="4"/>
        <v>5.2872678692819232E-2</v>
      </c>
      <c r="U12" s="1571"/>
      <c r="W12" s="1571"/>
      <c r="X12" s="1571"/>
      <c r="Y12" s="1571"/>
      <c r="Z12" s="1571"/>
      <c r="AA12" s="1571"/>
      <c r="AB12" s="1571"/>
      <c r="AC12" s="1571"/>
      <c r="AD12" s="1571"/>
      <c r="AE12" s="1571"/>
      <c r="AF12" s="1571"/>
      <c r="AG12" s="1571"/>
      <c r="AH12" s="1571"/>
      <c r="AI12" s="1571"/>
      <c r="AJ12" s="1571"/>
    </row>
    <row r="13" spans="1:36" ht="15.75" customHeight="1">
      <c r="C13" s="1570" t="s">
        <v>838</v>
      </c>
      <c r="D13" s="280">
        <v>10.861447975826973</v>
      </c>
      <c r="E13" s="281">
        <v>6.6689179509666578</v>
      </c>
      <c r="F13" s="281">
        <v>3.1903032046396027</v>
      </c>
      <c r="G13" s="281">
        <v>0.22310081196581197</v>
      </c>
      <c r="H13" s="282">
        <v>3.4437420065495301</v>
      </c>
      <c r="I13" s="281">
        <v>18.328778616428572</v>
      </c>
      <c r="J13" s="283">
        <v>13.758604268136454</v>
      </c>
      <c r="K13" s="283">
        <v>15.07597776706611</v>
      </c>
      <c r="L13" s="283">
        <v>11.249423251934662</v>
      </c>
      <c r="M13" s="282">
        <v>12.289222058082537</v>
      </c>
      <c r="N13" s="315"/>
      <c r="O13" s="232">
        <f t="shared" si="0"/>
        <v>20.943769943399044</v>
      </c>
      <c r="P13" s="233">
        <f t="shared" si="1"/>
        <v>3.4437420065495301</v>
      </c>
      <c r="Q13" s="234">
        <f t="shared" si="2"/>
        <v>24.387511949948575</v>
      </c>
      <c r="R13" s="295"/>
      <c r="S13" s="232">
        <f t="shared" si="3"/>
        <v>70.702005961648325</v>
      </c>
      <c r="T13" s="1367">
        <f t="shared" si="4"/>
        <v>1.8991069735507566</v>
      </c>
      <c r="U13" s="1571"/>
      <c r="W13" s="1571"/>
      <c r="X13" s="1571"/>
      <c r="Y13" s="1571"/>
      <c r="Z13" s="1571"/>
      <c r="AA13" s="1571"/>
      <c r="AB13" s="1571"/>
      <c r="AC13" s="1571"/>
      <c r="AD13" s="1571"/>
      <c r="AE13" s="1571"/>
      <c r="AF13" s="1571"/>
      <c r="AG13" s="1571"/>
      <c r="AH13" s="1571"/>
      <c r="AI13" s="1571"/>
      <c r="AJ13" s="1571"/>
    </row>
    <row r="14" spans="1:36" ht="15.75" customHeight="1">
      <c r="C14" s="1570" t="s">
        <v>781</v>
      </c>
      <c r="D14" s="280">
        <v>9.0678143651399488</v>
      </c>
      <c r="E14" s="281">
        <v>12.242938924908939</v>
      </c>
      <c r="F14" s="281">
        <v>24.026971009942006</v>
      </c>
      <c r="G14" s="281">
        <v>14.724653589743589</v>
      </c>
      <c r="H14" s="282">
        <v>1.1108845182417841</v>
      </c>
      <c r="I14" s="281">
        <v>5.933015043468207</v>
      </c>
      <c r="J14" s="283">
        <v>16.241359925544533</v>
      </c>
      <c r="K14" s="283">
        <v>22.200926163830228</v>
      </c>
      <c r="L14" s="283">
        <v>25.491812323191386</v>
      </c>
      <c r="M14" s="282">
        <v>26.453071209770879</v>
      </c>
      <c r="N14" s="315"/>
      <c r="O14" s="232">
        <f t="shared" si="0"/>
        <v>60.062377889734485</v>
      </c>
      <c r="P14" s="233">
        <f t="shared" si="1"/>
        <v>1.1108845182417841</v>
      </c>
      <c r="Q14" s="234">
        <f t="shared" si="2"/>
        <v>61.173262407976267</v>
      </c>
      <c r="R14" s="295"/>
      <c r="S14" s="232">
        <f t="shared" si="3"/>
        <v>96.320184665805229</v>
      </c>
      <c r="T14" s="1367">
        <f t="shared" si="4"/>
        <v>0.57454712850570844</v>
      </c>
      <c r="U14" s="1571"/>
      <c r="W14" s="1571" t="s">
        <v>853</v>
      </c>
      <c r="X14" s="1571"/>
      <c r="Y14" s="1571"/>
      <c r="Z14" s="1571"/>
      <c r="AA14" s="1571"/>
      <c r="AB14" s="1571"/>
      <c r="AC14" s="1571"/>
      <c r="AD14" s="1571"/>
      <c r="AE14" s="1571"/>
      <c r="AF14" s="1571"/>
      <c r="AG14" s="1571"/>
      <c r="AH14" s="1571"/>
      <c r="AI14" s="1571"/>
      <c r="AJ14" s="1571"/>
    </row>
    <row r="15" spans="1:36" ht="15.75" customHeight="1">
      <c r="C15" s="1388" t="s">
        <v>627</v>
      </c>
      <c r="D15" s="284"/>
      <c r="E15" s="285"/>
      <c r="F15" s="285"/>
      <c r="G15" s="281">
        <v>0</v>
      </c>
      <c r="H15" s="282">
        <v>0</v>
      </c>
      <c r="I15" s="281">
        <v>0</v>
      </c>
      <c r="J15" s="283">
        <v>0</v>
      </c>
      <c r="K15" s="283">
        <v>0</v>
      </c>
      <c r="L15" s="283">
        <v>0</v>
      </c>
      <c r="M15" s="282">
        <v>0</v>
      </c>
      <c r="N15" s="316"/>
      <c r="O15" s="232">
        <f t="shared" si="0"/>
        <v>0</v>
      </c>
      <c r="P15" s="233">
        <f t="shared" si="1"/>
        <v>0</v>
      </c>
      <c r="Q15" s="234">
        <f>SUM(D15:H15)</f>
        <v>0</v>
      </c>
      <c r="R15" s="295"/>
      <c r="S15" s="232">
        <f t="shared" si="3"/>
        <v>0</v>
      </c>
      <c r="T15" s="1367" t="str">
        <f t="shared" si="4"/>
        <v>0</v>
      </c>
      <c r="U15" s="1571"/>
      <c r="W15" s="1571"/>
      <c r="X15" s="1571"/>
      <c r="Y15" s="1571"/>
      <c r="Z15" s="1571"/>
      <c r="AA15" s="1571"/>
      <c r="AB15" s="1571"/>
      <c r="AC15" s="1571"/>
      <c r="AD15" s="1571"/>
      <c r="AE15" s="1571"/>
      <c r="AF15" s="1571"/>
      <c r="AG15" s="1571"/>
      <c r="AH15" s="1571"/>
      <c r="AI15" s="1571"/>
      <c r="AJ15" s="1571"/>
    </row>
    <row r="16" spans="1:36" ht="15.75" customHeight="1">
      <c r="C16" s="1388" t="s">
        <v>245</v>
      </c>
      <c r="D16" s="1372">
        <v>24.712285302798982</v>
      </c>
      <c r="E16" s="1375">
        <v>25.680310915662652</v>
      </c>
      <c r="F16" s="1375">
        <v>32.401516922120962</v>
      </c>
      <c r="G16" s="1375">
        <v>19.632871452991452</v>
      </c>
      <c r="H16" s="1374">
        <v>8.9981645977584499</v>
      </c>
      <c r="I16" s="1375">
        <v>29.559128520136248</v>
      </c>
      <c r="J16" s="1373">
        <v>35.17237181328116</v>
      </c>
      <c r="K16" s="1373">
        <v>42.439910015508019</v>
      </c>
      <c r="L16" s="1373">
        <v>41.901521470508925</v>
      </c>
      <c r="M16" s="1374">
        <v>43.949590750091772</v>
      </c>
      <c r="N16" s="317"/>
      <c r="O16" s="1372">
        <f t="shared" si="0"/>
        <v>102.42698459357405</v>
      </c>
      <c r="P16" s="1373">
        <f t="shared" si="1"/>
        <v>8.9981645977584499</v>
      </c>
      <c r="Q16" s="1374">
        <f t="shared" si="2"/>
        <v>111.42514919133249</v>
      </c>
      <c r="R16" s="295"/>
      <c r="S16" s="1372">
        <f t="shared" si="3"/>
        <v>193.02252256952613</v>
      </c>
      <c r="T16" s="1572">
        <f t="shared" si="4"/>
        <v>0.73230661094363525</v>
      </c>
      <c r="U16" s="1573"/>
      <c r="W16" s="1573"/>
      <c r="X16" s="1573"/>
      <c r="Y16" s="1573"/>
      <c r="Z16" s="1573"/>
      <c r="AA16" s="1573"/>
      <c r="AB16" s="1573"/>
      <c r="AC16" s="1573"/>
      <c r="AD16" s="1573"/>
      <c r="AE16" s="1573"/>
      <c r="AF16" s="1573"/>
      <c r="AG16" s="1573"/>
      <c r="AH16" s="1573"/>
      <c r="AI16" s="1573"/>
      <c r="AJ16" s="1573"/>
    </row>
    <row r="17" spans="1:36" ht="15.75" customHeight="1">
      <c r="C17" s="1388"/>
      <c r="D17" s="1574"/>
      <c r="E17" s="1575"/>
      <c r="F17" s="1575"/>
      <c r="G17" s="1575"/>
      <c r="H17" s="1576"/>
      <c r="I17" s="1575"/>
      <c r="J17" s="1575"/>
      <c r="K17" s="1575"/>
      <c r="L17" s="1575"/>
      <c r="M17" s="1576"/>
      <c r="N17" s="315"/>
      <c r="O17" s="318"/>
      <c r="P17" s="319"/>
      <c r="Q17" s="320"/>
      <c r="R17" s="295"/>
      <c r="S17" s="318"/>
      <c r="T17" s="1577"/>
      <c r="U17" s="1571"/>
      <c r="W17" s="1571"/>
      <c r="X17" s="1571"/>
      <c r="Y17" s="1571"/>
      <c r="Z17" s="1571"/>
      <c r="AA17" s="1571"/>
      <c r="AB17" s="1571"/>
      <c r="AC17" s="1571"/>
      <c r="AD17" s="1571"/>
      <c r="AE17" s="1571"/>
      <c r="AF17" s="1571"/>
      <c r="AG17" s="1571"/>
      <c r="AH17" s="1571"/>
      <c r="AI17" s="1571"/>
      <c r="AJ17" s="1571"/>
    </row>
    <row r="18" spans="1:36" ht="15.75" customHeight="1">
      <c r="C18" s="1388" t="s">
        <v>745</v>
      </c>
      <c r="D18" s="284"/>
      <c r="E18" s="285"/>
      <c r="F18" s="285"/>
      <c r="G18" s="281">
        <v>0</v>
      </c>
      <c r="H18" s="282">
        <v>0</v>
      </c>
      <c r="I18" s="281">
        <v>0</v>
      </c>
      <c r="J18" s="283">
        <v>0</v>
      </c>
      <c r="K18" s="283">
        <v>0</v>
      </c>
      <c r="L18" s="283">
        <v>0</v>
      </c>
      <c r="M18" s="282">
        <v>0</v>
      </c>
      <c r="N18" s="316"/>
      <c r="O18" s="232">
        <f>SUM(D18:G18)</f>
        <v>0</v>
      </c>
      <c r="P18" s="233">
        <f>H18</f>
        <v>0</v>
      </c>
      <c r="Q18" s="234">
        <f t="shared" si="2"/>
        <v>0</v>
      </c>
      <c r="R18" s="295"/>
      <c r="S18" s="232">
        <f>SUM(I18:M18)</f>
        <v>0</v>
      </c>
      <c r="T18" s="1367" t="str">
        <f>IF(Q18&lt;&gt;0,(S18-Q18)/Q18,"0")</f>
        <v>0</v>
      </c>
      <c r="U18" s="1571"/>
      <c r="W18" s="1571"/>
      <c r="X18" s="1571"/>
      <c r="Y18" s="1571"/>
      <c r="Z18" s="1571"/>
      <c r="AA18" s="1571"/>
      <c r="AB18" s="1571"/>
      <c r="AC18" s="1571"/>
      <c r="AD18" s="1571"/>
      <c r="AE18" s="1571"/>
      <c r="AF18" s="1571"/>
      <c r="AG18" s="1571"/>
      <c r="AH18" s="1571"/>
      <c r="AI18" s="1571"/>
      <c r="AJ18" s="1571"/>
    </row>
    <row r="19" spans="1:36" ht="15.75" customHeight="1" thickBot="1">
      <c r="C19" s="1393" t="s">
        <v>746</v>
      </c>
      <c r="D19" s="286"/>
      <c r="E19" s="287"/>
      <c r="F19" s="287"/>
      <c r="G19" s="288">
        <v>0</v>
      </c>
      <c r="H19" s="289">
        <v>0</v>
      </c>
      <c r="I19" s="288">
        <v>0</v>
      </c>
      <c r="J19" s="290">
        <v>0</v>
      </c>
      <c r="K19" s="290">
        <v>0</v>
      </c>
      <c r="L19" s="290">
        <v>0</v>
      </c>
      <c r="M19" s="289">
        <v>0</v>
      </c>
      <c r="N19" s="316"/>
      <c r="O19" s="236">
        <f>SUM(D19:G19)</f>
        <v>0</v>
      </c>
      <c r="P19" s="237">
        <f>H19</f>
        <v>0</v>
      </c>
      <c r="Q19" s="238">
        <f t="shared" si="2"/>
        <v>0</v>
      </c>
      <c r="R19" s="295"/>
      <c r="S19" s="236">
        <f>SUM(I19:M19)</f>
        <v>0</v>
      </c>
      <c r="T19" s="1379" t="str">
        <f>IF(Q19&lt;&gt;0,(S19-Q19)/Q19,"0")</f>
        <v>0</v>
      </c>
      <c r="U19" s="1571"/>
      <c r="W19" s="1571"/>
      <c r="X19" s="1571"/>
      <c r="Y19" s="1571"/>
      <c r="Z19" s="1571"/>
      <c r="AA19" s="1571"/>
      <c r="AB19" s="1571"/>
      <c r="AC19" s="1571"/>
      <c r="AD19" s="1571"/>
      <c r="AE19" s="1571"/>
      <c r="AF19" s="1571"/>
      <c r="AG19" s="1571"/>
      <c r="AH19" s="1571"/>
      <c r="AI19" s="1571"/>
      <c r="AJ19" s="1571"/>
    </row>
    <row r="20" spans="1:36">
      <c r="U20" s="727"/>
    </row>
    <row r="21" spans="1:36" s="493" customFormat="1"/>
    <row r="22" spans="1:36" s="493" customFormat="1">
      <c r="B22" s="1380" t="s">
        <v>543</v>
      </c>
    </row>
    <row r="23" spans="1:36" s="493" customFormat="1" ht="13.5" thickBot="1">
      <c r="A23" s="1380"/>
      <c r="B23" s="1380"/>
    </row>
    <row r="24" spans="1:36" s="493" customFormat="1" ht="27" customHeight="1">
      <c r="A24" s="1380"/>
      <c r="B24" s="1380"/>
      <c r="C24" s="1904" t="s">
        <v>544</v>
      </c>
      <c r="D24" s="1351" t="s">
        <v>545</v>
      </c>
      <c r="E24" s="1352"/>
      <c r="F24" s="1352"/>
      <c r="G24" s="1578"/>
      <c r="H24" s="1351" t="s">
        <v>546</v>
      </c>
      <c r="I24" s="1352"/>
      <c r="J24" s="1352"/>
      <c r="K24" s="1578"/>
      <c r="L24" s="1579" t="s">
        <v>545</v>
      </c>
      <c r="M24" s="1580" t="s">
        <v>546</v>
      </c>
    </row>
    <row r="25" spans="1:36" s="493" customFormat="1">
      <c r="A25" s="1380"/>
      <c r="B25" s="1380"/>
      <c r="C25" s="1905"/>
      <c r="D25" s="1581" t="s">
        <v>547</v>
      </c>
      <c r="E25" s="1582" t="s">
        <v>548</v>
      </c>
      <c r="F25" s="1582" t="s">
        <v>549</v>
      </c>
      <c r="G25" s="1583" t="s">
        <v>550</v>
      </c>
      <c r="H25" s="1581" t="s">
        <v>547</v>
      </c>
      <c r="I25" s="1582" t="s">
        <v>548</v>
      </c>
      <c r="J25" s="1582" t="s">
        <v>549</v>
      </c>
      <c r="K25" s="1583" t="s">
        <v>550</v>
      </c>
      <c r="L25" s="1584" t="s">
        <v>245</v>
      </c>
      <c r="M25" s="1585" t="s">
        <v>245</v>
      </c>
    </row>
    <row r="26" spans="1:36" s="493" customFormat="1" ht="15.75" customHeight="1">
      <c r="A26" s="1380"/>
      <c r="B26" s="1380"/>
      <c r="C26" s="1586" t="s">
        <v>551</v>
      </c>
      <c r="D26" s="667"/>
      <c r="E26" s="668"/>
      <c r="F26" s="668"/>
      <c r="G26" s="669"/>
      <c r="H26" s="667"/>
      <c r="I26" s="668"/>
      <c r="J26" s="668"/>
      <c r="K26" s="669"/>
      <c r="L26" s="1587">
        <f>SUM(D26:G26)</f>
        <v>0</v>
      </c>
      <c r="M26" s="1588">
        <f>SUM(H26:K26)</f>
        <v>0</v>
      </c>
    </row>
    <row r="27" spans="1:36" s="493" customFormat="1" ht="15.75" customHeight="1">
      <c r="A27" s="1380"/>
      <c r="B27" s="1380"/>
      <c r="C27" s="1589" t="s">
        <v>552</v>
      </c>
      <c r="D27" s="667"/>
      <c r="E27" s="668"/>
      <c r="F27" s="668"/>
      <c r="G27" s="669"/>
      <c r="H27" s="667"/>
      <c r="I27" s="668"/>
      <c r="J27" s="668"/>
      <c r="K27" s="669"/>
      <c r="L27" s="1587">
        <f>SUM(D27:G27)</f>
        <v>0</v>
      </c>
      <c r="M27" s="1588">
        <f>SUM(H27:K27)</f>
        <v>0</v>
      </c>
    </row>
    <row r="28" spans="1:36" s="493" customFormat="1" ht="15.75" customHeight="1">
      <c r="A28" s="1380"/>
      <c r="B28" s="1380"/>
      <c r="C28" s="1589" t="s">
        <v>553</v>
      </c>
      <c r="D28" s="667"/>
      <c r="E28" s="668"/>
      <c r="F28" s="668"/>
      <c r="G28" s="669"/>
      <c r="H28" s="667"/>
      <c r="I28" s="668"/>
      <c r="J28" s="668"/>
      <c r="K28" s="669"/>
      <c r="L28" s="1587">
        <f>SUM(D28:G28)</f>
        <v>0</v>
      </c>
      <c r="M28" s="1588">
        <f>SUM(H28:K28)</f>
        <v>0</v>
      </c>
    </row>
    <row r="29" spans="1:36" s="493" customFormat="1" ht="15.75" customHeight="1" thickBot="1">
      <c r="A29" s="1380"/>
      <c r="B29" s="1380"/>
      <c r="C29" s="1590" t="s">
        <v>554</v>
      </c>
      <c r="D29" s="1591" t="str">
        <f>IF(D27,D27/D28,"-")</f>
        <v>-</v>
      </c>
      <c r="E29" s="1592" t="str">
        <f t="shared" ref="E29:M29" si="5">IF(E27,E27/E28,"-")</f>
        <v>-</v>
      </c>
      <c r="F29" s="1592" t="str">
        <f t="shared" si="5"/>
        <v>-</v>
      </c>
      <c r="G29" s="1593" t="str">
        <f t="shared" si="5"/>
        <v>-</v>
      </c>
      <c r="H29" s="1591" t="str">
        <f t="shared" si="5"/>
        <v>-</v>
      </c>
      <c r="I29" s="1592" t="str">
        <f t="shared" si="5"/>
        <v>-</v>
      </c>
      <c r="J29" s="1592" t="str">
        <f t="shared" si="5"/>
        <v>-</v>
      </c>
      <c r="K29" s="1593" t="str">
        <f t="shared" si="5"/>
        <v>-</v>
      </c>
      <c r="L29" s="1594" t="str">
        <f t="shared" si="5"/>
        <v>-</v>
      </c>
      <c r="M29" s="1595" t="str">
        <f t="shared" si="5"/>
        <v>-</v>
      </c>
    </row>
    <row r="30" spans="1:36" s="493" customFormat="1">
      <c r="A30" s="1380"/>
      <c r="B30" s="1380"/>
      <c r="C30" s="1596"/>
      <c r="D30" s="1597"/>
      <c r="E30" s="1597"/>
      <c r="F30" s="1597"/>
      <c r="G30" s="1597"/>
    </row>
    <row r="31" spans="1:36" s="493" customFormat="1" ht="13.5" thickBot="1">
      <c r="A31" s="1380"/>
      <c r="B31" s="1380"/>
      <c r="C31" s="1596"/>
      <c r="D31" s="1597"/>
      <c r="E31" s="1597"/>
      <c r="F31" s="1597"/>
      <c r="G31" s="1597"/>
    </row>
    <row r="32" spans="1:36" s="493" customFormat="1" ht="39" customHeight="1">
      <c r="A32" s="1380"/>
      <c r="B32" s="1380"/>
      <c r="C32" s="1921" t="s">
        <v>555</v>
      </c>
      <c r="D32" s="1351" t="s">
        <v>545</v>
      </c>
      <c r="E32" s="1352"/>
      <c r="F32" s="1352"/>
      <c r="G32" s="1578"/>
      <c r="H32" s="1351" t="s">
        <v>546</v>
      </c>
      <c r="I32" s="1352"/>
      <c r="J32" s="1352"/>
      <c r="K32" s="1578"/>
      <c r="L32" s="1579" t="s">
        <v>545</v>
      </c>
      <c r="M32" s="1580" t="s">
        <v>546</v>
      </c>
    </row>
    <row r="33" spans="1:37" s="493" customFormat="1" ht="15.75" customHeight="1">
      <c r="A33" s="1380"/>
      <c r="B33" s="1380"/>
      <c r="C33" s="1922"/>
      <c r="D33" s="1581" t="s">
        <v>547</v>
      </c>
      <c r="E33" s="1582" t="s">
        <v>548</v>
      </c>
      <c r="F33" s="1582" t="s">
        <v>549</v>
      </c>
      <c r="G33" s="1583" t="s">
        <v>550</v>
      </c>
      <c r="H33" s="1581" t="s">
        <v>547</v>
      </c>
      <c r="I33" s="1582" t="s">
        <v>548</v>
      </c>
      <c r="J33" s="1582" t="s">
        <v>549</v>
      </c>
      <c r="K33" s="1583" t="s">
        <v>550</v>
      </c>
      <c r="L33" s="1584" t="s">
        <v>245</v>
      </c>
      <c r="M33" s="1585" t="s">
        <v>245</v>
      </c>
    </row>
    <row r="34" spans="1:37" s="493" customFormat="1" ht="25.5">
      <c r="A34" s="1380"/>
      <c r="B34" s="1380"/>
      <c r="C34" s="1598" t="s">
        <v>556</v>
      </c>
      <c r="D34" s="667"/>
      <c r="E34" s="668"/>
      <c r="F34" s="668"/>
      <c r="G34" s="669"/>
      <c r="H34" s="667"/>
      <c r="I34" s="668"/>
      <c r="J34" s="668"/>
      <c r="K34" s="669"/>
      <c r="L34" s="1587">
        <f t="shared" ref="L34:L39" si="6">SUM(D34:G34)</f>
        <v>0</v>
      </c>
      <c r="M34" s="1588">
        <f t="shared" ref="M34:M39" si="7">SUM(H34:K34)</f>
        <v>0</v>
      </c>
    </row>
    <row r="35" spans="1:37" s="493" customFormat="1" ht="25.5">
      <c r="A35" s="1380"/>
      <c r="B35" s="1380"/>
      <c r="C35" s="1598" t="s">
        <v>557</v>
      </c>
      <c r="D35" s="667"/>
      <c r="E35" s="668"/>
      <c r="F35" s="668"/>
      <c r="G35" s="669"/>
      <c r="H35" s="667"/>
      <c r="I35" s="668"/>
      <c r="J35" s="668"/>
      <c r="K35" s="669"/>
      <c r="L35" s="1587">
        <f t="shared" si="6"/>
        <v>0</v>
      </c>
      <c r="M35" s="1588">
        <f t="shared" si="7"/>
        <v>0</v>
      </c>
    </row>
    <row r="36" spans="1:37" s="493" customFormat="1" ht="25.5">
      <c r="A36" s="1380"/>
      <c r="B36" s="1380"/>
      <c r="C36" s="1598" t="s">
        <v>558</v>
      </c>
      <c r="D36" s="667"/>
      <c r="E36" s="668"/>
      <c r="F36" s="668"/>
      <c r="G36" s="669"/>
      <c r="H36" s="667"/>
      <c r="I36" s="668"/>
      <c r="J36" s="668"/>
      <c r="K36" s="669"/>
      <c r="L36" s="1587">
        <f t="shared" si="6"/>
        <v>0</v>
      </c>
      <c r="M36" s="1588">
        <f t="shared" si="7"/>
        <v>0</v>
      </c>
    </row>
    <row r="37" spans="1:37" s="493" customFormat="1" ht="38.25">
      <c r="A37" s="1380"/>
      <c r="B37" s="1380"/>
      <c r="C37" s="1598" t="s">
        <v>559</v>
      </c>
      <c r="D37" s="1599"/>
      <c r="E37" s="1600"/>
      <c r="F37" s="1600"/>
      <c r="G37" s="1601"/>
      <c r="H37" s="1599"/>
      <c r="I37" s="1600"/>
      <c r="J37" s="1600"/>
      <c r="K37" s="1601"/>
      <c r="L37" s="1602" t="str">
        <f t="shared" ref="L37:M37" si="8">IF(L35,L35/L36,"-")</f>
        <v>-</v>
      </c>
      <c r="M37" s="1603" t="str">
        <f t="shared" si="8"/>
        <v>-</v>
      </c>
    </row>
    <row r="38" spans="1:37" s="493" customFormat="1" ht="25.5">
      <c r="A38" s="1380"/>
      <c r="B38" s="1380"/>
      <c r="C38" s="1598" t="s">
        <v>560</v>
      </c>
      <c r="D38" s="667"/>
      <c r="E38" s="668"/>
      <c r="F38" s="668"/>
      <c r="G38" s="669"/>
      <c r="H38" s="667"/>
      <c r="I38" s="668"/>
      <c r="J38" s="668"/>
      <c r="K38" s="669"/>
      <c r="L38" s="1587">
        <f t="shared" si="6"/>
        <v>0</v>
      </c>
      <c r="M38" s="1588">
        <f t="shared" si="7"/>
        <v>0</v>
      </c>
    </row>
    <row r="39" spans="1:37" s="493" customFormat="1" ht="26.25" thickBot="1">
      <c r="A39" s="1380"/>
      <c r="B39" s="1380"/>
      <c r="C39" s="1604" t="s">
        <v>561</v>
      </c>
      <c r="D39" s="671"/>
      <c r="E39" s="672"/>
      <c r="F39" s="672"/>
      <c r="G39" s="996"/>
      <c r="H39" s="671"/>
      <c r="I39" s="672"/>
      <c r="J39" s="672"/>
      <c r="K39" s="996"/>
      <c r="L39" s="1605">
        <f t="shared" si="6"/>
        <v>0</v>
      </c>
      <c r="M39" s="1606">
        <f t="shared" si="7"/>
        <v>0</v>
      </c>
    </row>
    <row r="41" spans="1:37" ht="15.75" customHeight="1">
      <c r="B41" s="1380" t="s">
        <v>748</v>
      </c>
    </row>
    <row r="42" spans="1:37" ht="13.5" thickBot="1"/>
    <row r="43" spans="1:37" ht="13.5" thickBot="1">
      <c r="B43" s="303"/>
      <c r="C43" s="1910" t="s">
        <v>749</v>
      </c>
      <c r="D43" s="1911"/>
      <c r="E43" s="1911"/>
      <c r="F43" s="1911"/>
      <c r="G43" s="1911"/>
      <c r="H43" s="1911"/>
      <c r="I43" s="1911"/>
      <c r="J43" s="1911"/>
      <c r="K43" s="1912"/>
      <c r="L43" s="1908" t="s">
        <v>562</v>
      </c>
      <c r="M43" s="1913"/>
      <c r="N43" s="1913"/>
      <c r="O43" s="1913"/>
      <c r="P43" s="1914"/>
      <c r="Q43" s="1908" t="s">
        <v>563</v>
      </c>
      <c r="R43" s="1913"/>
      <c r="S43" s="1913"/>
      <c r="T43" s="1913"/>
      <c r="U43" s="1914"/>
      <c r="V43" s="1915" t="s">
        <v>564</v>
      </c>
      <c r="W43" s="1916"/>
      <c r="X43" s="1916"/>
      <c r="Y43" s="1916"/>
      <c r="Z43" s="1916"/>
      <c r="AA43" s="1916"/>
      <c r="AB43" s="1916"/>
      <c r="AC43" s="1916"/>
      <c r="AD43" s="1916"/>
      <c r="AE43" s="1916"/>
      <c r="AF43" s="1916"/>
      <c r="AG43" s="1916"/>
      <c r="AH43" s="1916"/>
      <c r="AI43" s="1917"/>
      <c r="AJ43" s="1904" t="s">
        <v>565</v>
      </c>
      <c r="AK43" s="1607" t="s">
        <v>750</v>
      </c>
    </row>
    <row r="44" spans="1:37" ht="78.75" customHeight="1">
      <c r="B44" s="294"/>
      <c r="C44" s="1608" t="s">
        <v>751</v>
      </c>
      <c r="D44" s="1609" t="s">
        <v>566</v>
      </c>
      <c r="E44" s="1609" t="s">
        <v>567</v>
      </c>
      <c r="F44" s="1609" t="s">
        <v>568</v>
      </c>
      <c r="G44" s="1609" t="s">
        <v>569</v>
      </c>
      <c r="H44" s="1609" t="s">
        <v>570</v>
      </c>
      <c r="I44" s="1609" t="s">
        <v>758</v>
      </c>
      <c r="J44" s="1609" t="s">
        <v>759</v>
      </c>
      <c r="K44" s="1610" t="s">
        <v>760</v>
      </c>
      <c r="L44" s="1559" t="s">
        <v>32</v>
      </c>
      <c r="M44" s="1361" t="s">
        <v>33</v>
      </c>
      <c r="N44" s="1361" t="s">
        <v>29</v>
      </c>
      <c r="O44" s="1361" t="s">
        <v>34</v>
      </c>
      <c r="P44" s="1362" t="s">
        <v>35</v>
      </c>
      <c r="Q44" s="1360" t="s">
        <v>118</v>
      </c>
      <c r="R44" s="1361" t="s">
        <v>136</v>
      </c>
      <c r="S44" s="1361" t="s">
        <v>137</v>
      </c>
      <c r="T44" s="1361" t="s">
        <v>138</v>
      </c>
      <c r="U44" s="1362" t="s">
        <v>139</v>
      </c>
      <c r="V44" s="1906" t="s">
        <v>571</v>
      </c>
      <c r="W44" s="1907"/>
      <c r="X44" s="1907"/>
      <c r="Y44" s="1907"/>
      <c r="Z44" s="1907"/>
      <c r="AA44" s="1907"/>
      <c r="AB44" s="1907"/>
      <c r="AC44" s="1907"/>
      <c r="AD44" s="1907"/>
      <c r="AE44" s="1907"/>
      <c r="AF44" s="1357" t="s">
        <v>572</v>
      </c>
      <c r="AG44" s="1357" t="s">
        <v>573</v>
      </c>
      <c r="AH44" s="1357" t="s">
        <v>574</v>
      </c>
      <c r="AI44" s="1357" t="s">
        <v>575</v>
      </c>
      <c r="AJ44" s="1905"/>
      <c r="AK44" s="1611" t="s">
        <v>74</v>
      </c>
    </row>
    <row r="45" spans="1:37" ht="15.75" customHeight="1" thickBot="1">
      <c r="B45" s="300"/>
      <c r="C45" s="1560" t="s">
        <v>75</v>
      </c>
      <c r="D45" s="1612" t="s">
        <v>76</v>
      </c>
      <c r="E45" s="1612" t="s">
        <v>76</v>
      </c>
      <c r="F45" s="1561" t="s">
        <v>77</v>
      </c>
      <c r="G45" s="1613" t="s">
        <v>78</v>
      </c>
      <c r="H45" s="1613" t="s">
        <v>78</v>
      </c>
      <c r="I45" s="1561" t="s">
        <v>79</v>
      </c>
      <c r="J45" s="1561" t="s">
        <v>729</v>
      </c>
      <c r="K45" s="1562" t="s">
        <v>729</v>
      </c>
      <c r="L45" s="1567" t="s">
        <v>729</v>
      </c>
      <c r="M45" s="1565" t="s">
        <v>729</v>
      </c>
      <c r="N45" s="1565" t="s">
        <v>729</v>
      </c>
      <c r="O45" s="1565" t="s">
        <v>729</v>
      </c>
      <c r="P45" s="1566" t="s">
        <v>729</v>
      </c>
      <c r="Q45" s="1564" t="s">
        <v>729</v>
      </c>
      <c r="R45" s="1565" t="s">
        <v>729</v>
      </c>
      <c r="S45" s="1565" t="s">
        <v>729</v>
      </c>
      <c r="T45" s="1565" t="s">
        <v>729</v>
      </c>
      <c r="U45" s="1566" t="s">
        <v>729</v>
      </c>
      <c r="V45" s="1614" t="s">
        <v>32</v>
      </c>
      <c r="W45" s="1615" t="s">
        <v>33</v>
      </c>
      <c r="X45" s="1615" t="s">
        <v>29</v>
      </c>
      <c r="Y45" s="1615" t="s">
        <v>34</v>
      </c>
      <c r="Z45" s="1615" t="s">
        <v>35</v>
      </c>
      <c r="AA45" s="1615" t="s">
        <v>118</v>
      </c>
      <c r="AB45" s="1615" t="s">
        <v>136</v>
      </c>
      <c r="AC45" s="1615" t="s">
        <v>137</v>
      </c>
      <c r="AD45" s="1615" t="s">
        <v>138</v>
      </c>
      <c r="AE45" s="1616" t="s">
        <v>139</v>
      </c>
      <c r="AF45" s="1617" t="s">
        <v>79</v>
      </c>
      <c r="AG45" s="728" t="s">
        <v>79</v>
      </c>
      <c r="AH45" s="728" t="s">
        <v>79</v>
      </c>
      <c r="AI45" s="728" t="s">
        <v>576</v>
      </c>
      <c r="AJ45" s="1618" t="s">
        <v>577</v>
      </c>
      <c r="AK45" s="1619" t="s">
        <v>65</v>
      </c>
    </row>
    <row r="46" spans="1:37" s="321" customFormat="1" ht="15.75" customHeight="1">
      <c r="B46" s="729">
        <v>1</v>
      </c>
      <c r="C46" s="322" t="s">
        <v>1024</v>
      </c>
      <c r="D46" s="322" t="s">
        <v>1025</v>
      </c>
      <c r="E46" s="322" t="s">
        <v>1025</v>
      </c>
      <c r="F46" s="322" t="s">
        <v>1026</v>
      </c>
      <c r="G46" s="323">
        <v>2011</v>
      </c>
      <c r="H46" s="323"/>
      <c r="I46" s="323">
        <v>14</v>
      </c>
      <c r="J46" s="324">
        <v>2.0670827408423702</v>
      </c>
      <c r="K46" s="779">
        <v>2.0670827408423702</v>
      </c>
      <c r="L46" s="324">
        <v>0</v>
      </c>
      <c r="M46" s="325">
        <v>0</v>
      </c>
      <c r="N46" s="325">
        <v>0</v>
      </c>
      <c r="O46" s="325">
        <v>0</v>
      </c>
      <c r="P46" s="326">
        <v>0</v>
      </c>
      <c r="Q46" s="325">
        <v>0</v>
      </c>
      <c r="R46" s="327">
        <v>1.034481523920034</v>
      </c>
      <c r="S46" s="327">
        <v>1.0326012169223362</v>
      </c>
      <c r="T46" s="327">
        <v>0</v>
      </c>
      <c r="U46" s="326">
        <v>0</v>
      </c>
      <c r="V46" s="730"/>
      <c r="W46" s="731"/>
      <c r="X46" s="731"/>
      <c r="Y46" s="731"/>
      <c r="Z46" s="732"/>
      <c r="AA46" s="730"/>
      <c r="AB46" s="731"/>
      <c r="AC46" s="731"/>
      <c r="AD46" s="731"/>
      <c r="AE46" s="732"/>
      <c r="AF46" s="325"/>
      <c r="AG46" s="327"/>
      <c r="AH46" s="327"/>
      <c r="AI46" s="733"/>
      <c r="AJ46" s="734"/>
      <c r="AK46" s="1620" t="s">
        <v>1027</v>
      </c>
    </row>
    <row r="47" spans="1:37" s="321" customFormat="1" ht="15.75" customHeight="1">
      <c r="B47" s="735">
        <v>2</v>
      </c>
      <c r="C47" s="322" t="s">
        <v>1028</v>
      </c>
      <c r="D47" s="322" t="s">
        <v>242</v>
      </c>
      <c r="E47" s="322" t="s">
        <v>242</v>
      </c>
      <c r="F47" s="322" t="s">
        <v>1029</v>
      </c>
      <c r="G47" s="323">
        <v>2013</v>
      </c>
      <c r="H47" s="323"/>
      <c r="I47" s="323">
        <v>80</v>
      </c>
      <c r="J47" s="324">
        <v>4.9811411799437408</v>
      </c>
      <c r="K47" s="779">
        <v>4.9811411799437408</v>
      </c>
      <c r="L47" s="324">
        <v>0</v>
      </c>
      <c r="M47" s="325">
        <v>0</v>
      </c>
      <c r="N47" s="325">
        <v>0</v>
      </c>
      <c r="O47" s="325">
        <v>0</v>
      </c>
      <c r="P47" s="326">
        <v>0</v>
      </c>
      <c r="Q47" s="325">
        <v>0</v>
      </c>
      <c r="R47" s="327">
        <v>0</v>
      </c>
      <c r="S47" s="327">
        <v>0</v>
      </c>
      <c r="T47" s="327">
        <v>1.9609086402454914</v>
      </c>
      <c r="U47" s="326">
        <v>3.0202325396982497</v>
      </c>
      <c r="V47" s="324"/>
      <c r="W47" s="327"/>
      <c r="X47" s="327"/>
      <c r="Y47" s="327"/>
      <c r="Z47" s="326"/>
      <c r="AA47" s="324"/>
      <c r="AB47" s="327"/>
      <c r="AC47" s="327"/>
      <c r="AD47" s="327"/>
      <c r="AE47" s="326"/>
      <c r="AF47" s="325"/>
      <c r="AG47" s="327"/>
      <c r="AH47" s="327"/>
      <c r="AI47" s="733"/>
      <c r="AJ47" s="734"/>
      <c r="AK47" s="1620" t="s">
        <v>1030</v>
      </c>
    </row>
    <row r="48" spans="1:37" s="321" customFormat="1" ht="15.75" customHeight="1">
      <c r="B48" s="735">
        <v>3</v>
      </c>
      <c r="C48" s="322" t="s">
        <v>1031</v>
      </c>
      <c r="D48" s="322" t="s">
        <v>242</v>
      </c>
      <c r="E48" s="322" t="s">
        <v>242</v>
      </c>
      <c r="F48" s="322" t="s">
        <v>1026</v>
      </c>
      <c r="G48" s="323">
        <v>2010</v>
      </c>
      <c r="H48" s="323"/>
      <c r="I48" s="323">
        <v>39</v>
      </c>
      <c r="J48" s="324">
        <v>1.034481523920034</v>
      </c>
      <c r="K48" s="779">
        <v>1.034481523920034</v>
      </c>
      <c r="L48" s="324">
        <v>0</v>
      </c>
      <c r="M48" s="325">
        <v>0</v>
      </c>
      <c r="N48" s="325">
        <v>0</v>
      </c>
      <c r="O48" s="325">
        <v>0</v>
      </c>
      <c r="P48" s="326">
        <v>0</v>
      </c>
      <c r="Q48" s="325">
        <v>0</v>
      </c>
      <c r="R48" s="327">
        <v>1.034481523920034</v>
      </c>
      <c r="S48" s="327">
        <v>0</v>
      </c>
      <c r="T48" s="327">
        <v>0</v>
      </c>
      <c r="U48" s="326">
        <v>0</v>
      </c>
      <c r="V48" s="324"/>
      <c r="W48" s="327"/>
      <c r="X48" s="327"/>
      <c r="Y48" s="327"/>
      <c r="Z48" s="326"/>
      <c r="AA48" s="324"/>
      <c r="AB48" s="327"/>
      <c r="AC48" s="327"/>
      <c r="AD48" s="327"/>
      <c r="AE48" s="326"/>
      <c r="AF48" s="325"/>
      <c r="AG48" s="327"/>
      <c r="AH48" s="327"/>
      <c r="AI48" s="733"/>
      <c r="AJ48" s="734"/>
      <c r="AK48" s="1620" t="s">
        <v>1032</v>
      </c>
    </row>
    <row r="49" spans="2:37" s="321" customFormat="1" ht="15.75" customHeight="1">
      <c r="B49" s="735">
        <v>4</v>
      </c>
      <c r="C49" s="322" t="s">
        <v>1033</v>
      </c>
      <c r="D49" s="322" t="s">
        <v>1025</v>
      </c>
      <c r="E49" s="322" t="s">
        <v>1025</v>
      </c>
      <c r="F49" s="322" t="s">
        <v>1034</v>
      </c>
      <c r="G49" s="323">
        <v>2007</v>
      </c>
      <c r="H49" s="323"/>
      <c r="I49" s="323">
        <v>12</v>
      </c>
      <c r="J49" s="324">
        <v>1.5892004580718411</v>
      </c>
      <c r="K49" s="779">
        <v>1.5892004580718411</v>
      </c>
      <c r="L49" s="324">
        <v>0</v>
      </c>
      <c r="M49" s="325">
        <v>0</v>
      </c>
      <c r="N49" s="325">
        <v>0</v>
      </c>
      <c r="O49" s="325">
        <v>0</v>
      </c>
      <c r="P49" s="326">
        <v>0</v>
      </c>
      <c r="Q49" s="325">
        <v>1.5892004580718411</v>
      </c>
      <c r="R49" s="327">
        <v>0</v>
      </c>
      <c r="S49" s="327">
        <v>0</v>
      </c>
      <c r="T49" s="327">
        <v>0</v>
      </c>
      <c r="U49" s="326">
        <v>0</v>
      </c>
      <c r="V49" s="324"/>
      <c r="W49" s="327"/>
      <c r="X49" s="327"/>
      <c r="Y49" s="327"/>
      <c r="Z49" s="326"/>
      <c r="AA49" s="324"/>
      <c r="AB49" s="327"/>
      <c r="AC49" s="327"/>
      <c r="AD49" s="327"/>
      <c r="AE49" s="326"/>
      <c r="AF49" s="325"/>
      <c r="AG49" s="327"/>
      <c r="AH49" s="327"/>
      <c r="AI49" s="733"/>
      <c r="AJ49" s="734"/>
      <c r="AK49" s="1620" t="s">
        <v>1035</v>
      </c>
    </row>
    <row r="50" spans="2:37" s="321" customFormat="1" ht="15.75" customHeight="1">
      <c r="B50" s="735">
        <v>5</v>
      </c>
      <c r="C50" s="322" t="s">
        <v>1036</v>
      </c>
      <c r="D50" s="322" t="s">
        <v>1025</v>
      </c>
      <c r="E50" s="322" t="s">
        <v>1025</v>
      </c>
      <c r="F50" s="322" t="s">
        <v>1029</v>
      </c>
      <c r="G50" s="323">
        <v>2007</v>
      </c>
      <c r="H50" s="323"/>
      <c r="I50" s="323">
        <v>9.5</v>
      </c>
      <c r="J50" s="324">
        <v>0.83008376394881334</v>
      </c>
      <c r="K50" s="779">
        <v>0.83008376394881334</v>
      </c>
      <c r="L50" s="324">
        <v>0</v>
      </c>
      <c r="M50" s="325">
        <v>0</v>
      </c>
      <c r="N50" s="325">
        <v>0</v>
      </c>
      <c r="O50" s="325">
        <v>0</v>
      </c>
      <c r="P50" s="326">
        <v>0</v>
      </c>
      <c r="Q50" s="325">
        <v>0.10594669720478943</v>
      </c>
      <c r="R50" s="327">
        <v>0.72413706674402389</v>
      </c>
      <c r="S50" s="327">
        <v>0</v>
      </c>
      <c r="T50" s="327">
        <v>0</v>
      </c>
      <c r="U50" s="326">
        <v>0</v>
      </c>
      <c r="V50" s="324"/>
      <c r="W50" s="327"/>
      <c r="X50" s="327"/>
      <c r="Y50" s="327"/>
      <c r="Z50" s="326"/>
      <c r="AA50" s="324"/>
      <c r="AB50" s="327"/>
      <c r="AC50" s="327"/>
      <c r="AD50" s="327"/>
      <c r="AE50" s="326"/>
      <c r="AF50" s="325"/>
      <c r="AG50" s="327"/>
      <c r="AH50" s="327"/>
      <c r="AI50" s="733"/>
      <c r="AJ50" s="734"/>
      <c r="AK50" s="1620" t="s">
        <v>1037</v>
      </c>
    </row>
    <row r="51" spans="2:37" s="321" customFormat="1" ht="15.75" customHeight="1">
      <c r="B51" s="735">
        <v>6</v>
      </c>
      <c r="C51" s="322" t="s">
        <v>1038</v>
      </c>
      <c r="D51" s="322" t="s">
        <v>242</v>
      </c>
      <c r="E51" s="322" t="s">
        <v>242</v>
      </c>
      <c r="F51" s="322" t="s">
        <v>1034</v>
      </c>
      <c r="G51" s="323">
        <v>2013</v>
      </c>
      <c r="H51" s="323"/>
      <c r="I51" s="323">
        <v>189</v>
      </c>
      <c r="J51" s="324">
        <v>0.41293167919978219</v>
      </c>
      <c r="K51" s="779">
        <v>0.41293167919978219</v>
      </c>
      <c r="L51" s="324">
        <v>0</v>
      </c>
      <c r="M51" s="325">
        <v>0</v>
      </c>
      <c r="N51" s="325">
        <v>0</v>
      </c>
      <c r="O51" s="325">
        <v>0</v>
      </c>
      <c r="P51" s="326">
        <v>0</v>
      </c>
      <c r="Q51" s="325">
        <v>0</v>
      </c>
      <c r="R51" s="327">
        <v>0</v>
      </c>
      <c r="S51" s="327">
        <v>0.20652024338446728</v>
      </c>
      <c r="T51" s="327">
        <v>0.2064114358153149</v>
      </c>
      <c r="U51" s="326">
        <v>0</v>
      </c>
      <c r="V51" s="324"/>
      <c r="W51" s="327"/>
      <c r="X51" s="327"/>
      <c r="Y51" s="327"/>
      <c r="Z51" s="326"/>
      <c r="AA51" s="324"/>
      <c r="AB51" s="327"/>
      <c r="AC51" s="327"/>
      <c r="AD51" s="327"/>
      <c r="AE51" s="326"/>
      <c r="AF51" s="325"/>
      <c r="AG51" s="327"/>
      <c r="AH51" s="327"/>
      <c r="AI51" s="733"/>
      <c r="AJ51" s="734"/>
      <c r="AK51" s="1620" t="s">
        <v>1039</v>
      </c>
    </row>
    <row r="52" spans="2:37" s="321" customFormat="1" ht="15.75" customHeight="1">
      <c r="B52" s="735">
        <v>7</v>
      </c>
      <c r="C52" s="322" t="s">
        <v>1040</v>
      </c>
      <c r="D52" s="322" t="s">
        <v>1025</v>
      </c>
      <c r="E52" s="322" t="s">
        <v>1025</v>
      </c>
      <c r="F52" s="322" t="s">
        <v>1029</v>
      </c>
      <c r="G52" s="323">
        <v>2011</v>
      </c>
      <c r="H52" s="323"/>
      <c r="I52" s="323">
        <v>16</v>
      </c>
      <c r="J52" s="324">
        <v>2.580959004460079</v>
      </c>
      <c r="K52" s="779">
        <v>2.580959004460079</v>
      </c>
      <c r="L52" s="324">
        <v>0</v>
      </c>
      <c r="M52" s="325">
        <v>0</v>
      </c>
      <c r="N52" s="325">
        <v>0</v>
      </c>
      <c r="O52" s="325">
        <v>0</v>
      </c>
      <c r="P52" s="326">
        <v>0</v>
      </c>
      <c r="Q52" s="325">
        <v>0</v>
      </c>
      <c r="R52" s="327">
        <v>0</v>
      </c>
      <c r="S52" s="327">
        <v>1.5489018253835045</v>
      </c>
      <c r="T52" s="327">
        <v>1.0320571790765745</v>
      </c>
      <c r="U52" s="326">
        <v>0</v>
      </c>
      <c r="V52" s="324"/>
      <c r="W52" s="327"/>
      <c r="X52" s="327"/>
      <c r="Y52" s="327"/>
      <c r="Z52" s="326"/>
      <c r="AA52" s="324"/>
      <c r="AB52" s="327"/>
      <c r="AC52" s="327"/>
      <c r="AD52" s="327"/>
      <c r="AE52" s="326"/>
      <c r="AF52" s="325"/>
      <c r="AG52" s="327"/>
      <c r="AH52" s="327"/>
      <c r="AI52" s="733"/>
      <c r="AJ52" s="734"/>
      <c r="AK52" s="1620" t="s">
        <v>1041</v>
      </c>
    </row>
    <row r="53" spans="2:37" s="321" customFormat="1" ht="15.75" customHeight="1">
      <c r="B53" s="735">
        <v>8</v>
      </c>
      <c r="C53" s="322" t="s">
        <v>1042</v>
      </c>
      <c r="D53" s="322" t="s">
        <v>242</v>
      </c>
      <c r="E53" s="322" t="s">
        <v>242</v>
      </c>
      <c r="F53" s="322" t="s">
        <v>1029</v>
      </c>
      <c r="G53" s="323">
        <v>2012</v>
      </c>
      <c r="H53" s="323"/>
      <c r="I53" s="323">
        <v>117</v>
      </c>
      <c r="J53" s="324">
        <v>1.5507821323812021</v>
      </c>
      <c r="K53" s="779">
        <v>1.5507821323812021</v>
      </c>
      <c r="L53" s="324">
        <v>0</v>
      </c>
      <c r="M53" s="325">
        <v>0</v>
      </c>
      <c r="N53" s="325">
        <v>0</v>
      </c>
      <c r="O53" s="325">
        <v>0</v>
      </c>
      <c r="P53" s="326">
        <v>0</v>
      </c>
      <c r="Q53" s="325">
        <v>0</v>
      </c>
      <c r="R53" s="327">
        <v>1.034481523920034</v>
      </c>
      <c r="S53" s="327">
        <v>0.5163006084611681</v>
      </c>
      <c r="T53" s="327">
        <v>0</v>
      </c>
      <c r="U53" s="326">
        <v>0</v>
      </c>
      <c r="V53" s="324"/>
      <c r="W53" s="327"/>
      <c r="X53" s="327"/>
      <c r="Y53" s="327"/>
      <c r="Z53" s="326"/>
      <c r="AA53" s="324"/>
      <c r="AB53" s="327"/>
      <c r="AC53" s="327"/>
      <c r="AD53" s="327"/>
      <c r="AE53" s="326"/>
      <c r="AF53" s="325"/>
      <c r="AG53" s="327"/>
      <c r="AH53" s="327"/>
      <c r="AI53" s="733"/>
      <c r="AJ53" s="734"/>
      <c r="AK53" s="1620" t="s">
        <v>1043</v>
      </c>
    </row>
    <row r="54" spans="2:37" s="321" customFormat="1" ht="15.75" customHeight="1">
      <c r="B54" s="735">
        <v>9</v>
      </c>
      <c r="C54" s="322" t="s">
        <v>1044</v>
      </c>
      <c r="D54" s="322" t="s">
        <v>1025</v>
      </c>
      <c r="E54" s="322" t="s">
        <v>1025</v>
      </c>
      <c r="F54" s="322" t="s">
        <v>1029</v>
      </c>
      <c r="G54" s="323">
        <v>2008</v>
      </c>
      <c r="H54" s="323"/>
      <c r="I54" s="323">
        <v>40</v>
      </c>
      <c r="J54" s="324">
        <v>5.0111033592613996</v>
      </c>
      <c r="K54" s="779">
        <v>5.0111033592613996</v>
      </c>
      <c r="L54" s="324">
        <v>0</v>
      </c>
      <c r="M54" s="325">
        <v>0</v>
      </c>
      <c r="N54" s="325">
        <v>0</v>
      </c>
      <c r="O54" s="325">
        <v>0</v>
      </c>
      <c r="P54" s="326">
        <v>0</v>
      </c>
      <c r="Q54" s="325">
        <v>2.0129872468909991</v>
      </c>
      <c r="R54" s="327">
        <v>1.9655148954480646</v>
      </c>
      <c r="S54" s="327">
        <v>1.0326012169223362</v>
      </c>
      <c r="T54" s="327">
        <v>0</v>
      </c>
      <c r="U54" s="326">
        <v>0</v>
      </c>
      <c r="V54" s="324"/>
      <c r="W54" s="327"/>
      <c r="X54" s="327"/>
      <c r="Y54" s="327"/>
      <c r="Z54" s="326"/>
      <c r="AA54" s="324"/>
      <c r="AB54" s="327"/>
      <c r="AC54" s="327"/>
      <c r="AD54" s="327"/>
      <c r="AE54" s="326"/>
      <c r="AF54" s="325"/>
      <c r="AG54" s="327"/>
      <c r="AH54" s="327"/>
      <c r="AI54" s="733"/>
      <c r="AJ54" s="734"/>
      <c r="AK54" s="1620" t="s">
        <v>1045</v>
      </c>
    </row>
    <row r="55" spans="2:37" s="321" customFormat="1" ht="15.75" customHeight="1">
      <c r="B55" s="735">
        <v>10</v>
      </c>
      <c r="C55" s="322" t="s">
        <v>1046</v>
      </c>
      <c r="D55" s="322" t="s">
        <v>242</v>
      </c>
      <c r="E55" s="322" t="s">
        <v>242</v>
      </c>
      <c r="F55" s="322" t="s">
        <v>1029</v>
      </c>
      <c r="G55" s="323">
        <v>2010</v>
      </c>
      <c r="H55" s="323"/>
      <c r="I55" s="323">
        <v>58.5</v>
      </c>
      <c r="J55" s="324">
        <v>2.0646583959989107</v>
      </c>
      <c r="K55" s="779">
        <v>2.0646583959989107</v>
      </c>
      <c r="L55" s="324">
        <v>0</v>
      </c>
      <c r="M55" s="325">
        <v>0</v>
      </c>
      <c r="N55" s="325">
        <v>0</v>
      </c>
      <c r="O55" s="325">
        <v>0</v>
      </c>
      <c r="P55" s="326">
        <v>0</v>
      </c>
      <c r="Q55" s="325">
        <v>0</v>
      </c>
      <c r="R55" s="327">
        <v>0</v>
      </c>
      <c r="S55" s="327">
        <v>1.0326012169223362</v>
      </c>
      <c r="T55" s="327">
        <v>1.0320571790765745</v>
      </c>
      <c r="U55" s="326">
        <v>0</v>
      </c>
      <c r="V55" s="324"/>
      <c r="W55" s="327"/>
      <c r="X55" s="327"/>
      <c r="Y55" s="327"/>
      <c r="Z55" s="326"/>
      <c r="AA55" s="324"/>
      <c r="AB55" s="327"/>
      <c r="AC55" s="327"/>
      <c r="AD55" s="327"/>
      <c r="AE55" s="326"/>
      <c r="AF55" s="325"/>
      <c r="AG55" s="327"/>
      <c r="AH55" s="327"/>
      <c r="AI55" s="733"/>
      <c r="AJ55" s="734"/>
      <c r="AK55" s="1620" t="s">
        <v>1047</v>
      </c>
    </row>
    <row r="56" spans="2:37" s="321" customFormat="1" ht="15.75" customHeight="1">
      <c r="B56" s="735">
        <v>11</v>
      </c>
      <c r="C56" s="322" t="s">
        <v>1048</v>
      </c>
      <c r="D56" s="322" t="s">
        <v>1025</v>
      </c>
      <c r="E56" s="322" t="s">
        <v>1025</v>
      </c>
      <c r="F56" s="322" t="s">
        <v>1029</v>
      </c>
      <c r="G56" s="323">
        <v>2012</v>
      </c>
      <c r="H56" s="323"/>
      <c r="I56" s="323">
        <v>39</v>
      </c>
      <c r="J56" s="324">
        <v>4.9549081314745047</v>
      </c>
      <c r="K56" s="779">
        <v>4.9549081314745047</v>
      </c>
      <c r="L56" s="324">
        <v>0</v>
      </c>
      <c r="M56" s="325">
        <v>0</v>
      </c>
      <c r="N56" s="325">
        <v>0</v>
      </c>
      <c r="O56" s="325">
        <v>0</v>
      </c>
      <c r="P56" s="326">
        <v>0</v>
      </c>
      <c r="Q56" s="325">
        <v>0</v>
      </c>
      <c r="R56" s="327">
        <v>0</v>
      </c>
      <c r="S56" s="327">
        <v>1.9619423121524389</v>
      </c>
      <c r="T56" s="327">
        <v>2.9929658193220656</v>
      </c>
      <c r="U56" s="326">
        <v>0</v>
      </c>
      <c r="V56" s="324"/>
      <c r="W56" s="327"/>
      <c r="X56" s="327"/>
      <c r="Y56" s="327"/>
      <c r="Z56" s="326"/>
      <c r="AA56" s="324"/>
      <c r="AB56" s="327"/>
      <c r="AC56" s="327"/>
      <c r="AD56" s="327"/>
      <c r="AE56" s="326"/>
      <c r="AF56" s="325"/>
      <c r="AG56" s="327"/>
      <c r="AH56" s="327"/>
      <c r="AI56" s="733"/>
      <c r="AJ56" s="734"/>
      <c r="AK56" s="1620" t="s">
        <v>1049</v>
      </c>
    </row>
    <row r="57" spans="2:37" s="321" customFormat="1" ht="15.75" customHeight="1">
      <c r="B57" s="735">
        <v>12</v>
      </c>
      <c r="C57" s="322" t="s">
        <v>1050</v>
      </c>
      <c r="D57" s="322" t="s">
        <v>1025</v>
      </c>
      <c r="E57" s="322" t="s">
        <v>1025</v>
      </c>
      <c r="F57" s="322" t="s">
        <v>1029</v>
      </c>
      <c r="G57" s="323">
        <v>2012</v>
      </c>
      <c r="H57" s="323"/>
      <c r="I57" s="323">
        <v>13.15</v>
      </c>
      <c r="J57" s="324">
        <v>0.20829189928953451</v>
      </c>
      <c r="K57" s="779">
        <v>0.20829189928953451</v>
      </c>
      <c r="L57" s="324">
        <v>0</v>
      </c>
      <c r="M57" s="325">
        <v>0</v>
      </c>
      <c r="N57" s="325">
        <v>0</v>
      </c>
      <c r="O57" s="325">
        <v>0</v>
      </c>
      <c r="P57" s="326">
        <v>0</v>
      </c>
      <c r="Q57" s="325">
        <v>0</v>
      </c>
      <c r="R57" s="327">
        <v>0</v>
      </c>
      <c r="S57" s="327">
        <v>0</v>
      </c>
      <c r="T57" s="327">
        <v>0</v>
      </c>
      <c r="U57" s="326">
        <v>0.20829189928953451</v>
      </c>
      <c r="V57" s="324"/>
      <c r="W57" s="327"/>
      <c r="X57" s="327"/>
      <c r="Y57" s="327"/>
      <c r="Z57" s="326"/>
      <c r="AA57" s="324"/>
      <c r="AB57" s="327"/>
      <c r="AC57" s="327"/>
      <c r="AD57" s="327"/>
      <c r="AE57" s="326"/>
      <c r="AF57" s="325"/>
      <c r="AG57" s="327"/>
      <c r="AH57" s="327"/>
      <c r="AI57" s="733"/>
      <c r="AJ57" s="734"/>
      <c r="AK57" s="1620" t="s">
        <v>1051</v>
      </c>
    </row>
    <row r="58" spans="2:37" s="321" customFormat="1" ht="15.75" customHeight="1">
      <c r="B58" s="735">
        <v>13</v>
      </c>
      <c r="C58" s="322" t="s">
        <v>1052</v>
      </c>
      <c r="D58" s="322" t="s">
        <v>1025</v>
      </c>
      <c r="E58" s="322" t="s">
        <v>1025</v>
      </c>
      <c r="F58" s="322" t="s">
        <v>1029</v>
      </c>
      <c r="G58" s="323">
        <v>2012</v>
      </c>
      <c r="H58" s="323"/>
      <c r="I58" s="323">
        <v>24</v>
      </c>
      <c r="J58" s="324">
        <v>1.4454240885529659</v>
      </c>
      <c r="K58" s="779">
        <v>1.4454240885529659</v>
      </c>
      <c r="L58" s="324">
        <v>0</v>
      </c>
      <c r="M58" s="325">
        <v>0</v>
      </c>
      <c r="N58" s="325">
        <v>0</v>
      </c>
      <c r="O58" s="325">
        <v>0</v>
      </c>
      <c r="P58" s="326">
        <v>0</v>
      </c>
      <c r="Q58" s="325">
        <v>0</v>
      </c>
      <c r="R58" s="327">
        <v>0</v>
      </c>
      <c r="S58" s="327">
        <v>1.0326012169223362</v>
      </c>
      <c r="T58" s="327">
        <v>0.41282287163062981</v>
      </c>
      <c r="U58" s="326">
        <v>0</v>
      </c>
      <c r="V58" s="324"/>
      <c r="W58" s="327"/>
      <c r="X58" s="327"/>
      <c r="Y58" s="327"/>
      <c r="Z58" s="326"/>
      <c r="AA58" s="324"/>
      <c r="AB58" s="327"/>
      <c r="AC58" s="327"/>
      <c r="AD58" s="327"/>
      <c r="AE58" s="326"/>
      <c r="AF58" s="325"/>
      <c r="AG58" s="327"/>
      <c r="AH58" s="327"/>
      <c r="AI58" s="733"/>
      <c r="AJ58" s="734"/>
      <c r="AK58" s="1620" t="s">
        <v>1053</v>
      </c>
    </row>
    <row r="59" spans="2:37" s="321" customFormat="1" ht="15.75" customHeight="1">
      <c r="B59" s="735">
        <v>14</v>
      </c>
      <c r="C59" s="322" t="s">
        <v>1054</v>
      </c>
      <c r="D59" s="322" t="s">
        <v>1025</v>
      </c>
      <c r="E59" s="322" t="s">
        <v>1025</v>
      </c>
      <c r="F59" s="322" t="s">
        <v>1029</v>
      </c>
      <c r="G59" s="323">
        <v>2008</v>
      </c>
      <c r="H59" s="323"/>
      <c r="I59" s="323">
        <v>25</v>
      </c>
      <c r="J59" s="324">
        <v>1.0594669720478942</v>
      </c>
      <c r="K59" s="779">
        <v>1.0594669720478942</v>
      </c>
      <c r="L59" s="324">
        <v>0</v>
      </c>
      <c r="M59" s="325">
        <v>0</v>
      </c>
      <c r="N59" s="325">
        <v>0</v>
      </c>
      <c r="O59" s="325">
        <v>0</v>
      </c>
      <c r="P59" s="326">
        <v>0</v>
      </c>
      <c r="Q59" s="325">
        <v>1.0594669720478942</v>
      </c>
      <c r="R59" s="327">
        <v>0</v>
      </c>
      <c r="S59" s="327">
        <v>0</v>
      </c>
      <c r="T59" s="327">
        <v>0</v>
      </c>
      <c r="U59" s="326">
        <v>0</v>
      </c>
      <c r="V59" s="324"/>
      <c r="W59" s="327"/>
      <c r="X59" s="327"/>
      <c r="Y59" s="327"/>
      <c r="Z59" s="326"/>
      <c r="AA59" s="324"/>
      <c r="AB59" s="327"/>
      <c r="AC59" s="327"/>
      <c r="AD59" s="327"/>
      <c r="AE59" s="326"/>
      <c r="AF59" s="325"/>
      <c r="AG59" s="327"/>
      <c r="AH59" s="327"/>
      <c r="AI59" s="733"/>
      <c r="AJ59" s="734"/>
      <c r="AK59" s="1620" t="s">
        <v>1055</v>
      </c>
    </row>
    <row r="60" spans="2:37" s="321" customFormat="1" ht="15.75" customHeight="1">
      <c r="B60" s="735">
        <v>15</v>
      </c>
      <c r="C60" s="322" t="s">
        <v>1056</v>
      </c>
      <c r="D60" s="322" t="s">
        <v>1025</v>
      </c>
      <c r="E60" s="322" t="s">
        <v>1025</v>
      </c>
      <c r="F60" s="322" t="s">
        <v>1029</v>
      </c>
      <c r="G60" s="323">
        <v>2010</v>
      </c>
      <c r="H60" s="323"/>
      <c r="I60" s="323">
        <v>35.200000000000003</v>
      </c>
      <c r="J60" s="324">
        <v>2.0670827408423702</v>
      </c>
      <c r="K60" s="779">
        <v>2.0670827408423702</v>
      </c>
      <c r="L60" s="324">
        <v>0</v>
      </c>
      <c r="M60" s="325">
        <v>0</v>
      </c>
      <c r="N60" s="325">
        <v>0</v>
      </c>
      <c r="O60" s="325">
        <v>0</v>
      </c>
      <c r="P60" s="326">
        <v>0</v>
      </c>
      <c r="Q60" s="325">
        <v>0</v>
      </c>
      <c r="R60" s="327">
        <v>1.034481523920034</v>
      </c>
      <c r="S60" s="327">
        <v>1.0326012169223362</v>
      </c>
      <c r="T60" s="327">
        <v>0</v>
      </c>
      <c r="U60" s="326">
        <v>0</v>
      </c>
      <c r="V60" s="324"/>
      <c r="W60" s="327"/>
      <c r="X60" s="327"/>
      <c r="Y60" s="327"/>
      <c r="Z60" s="326"/>
      <c r="AA60" s="324"/>
      <c r="AB60" s="327"/>
      <c r="AC60" s="327"/>
      <c r="AD60" s="327"/>
      <c r="AE60" s="326"/>
      <c r="AF60" s="325"/>
      <c r="AG60" s="327"/>
      <c r="AH60" s="327"/>
      <c r="AI60" s="733"/>
      <c r="AJ60" s="734"/>
      <c r="AK60" s="1620" t="s">
        <v>1057</v>
      </c>
    </row>
    <row r="61" spans="2:37" s="321" customFormat="1" ht="15.75" customHeight="1">
      <c r="B61" s="735">
        <v>16</v>
      </c>
      <c r="C61" s="322" t="s">
        <v>1058</v>
      </c>
      <c r="D61" s="322" t="s">
        <v>1025</v>
      </c>
      <c r="E61" s="322" t="s">
        <v>1025</v>
      </c>
      <c r="F61" s="322" t="s">
        <v>1029</v>
      </c>
      <c r="G61" s="323">
        <v>2012</v>
      </c>
      <c r="H61" s="323"/>
      <c r="I61" s="323">
        <v>16</v>
      </c>
      <c r="J61" s="324">
        <v>4.0434314392494883</v>
      </c>
      <c r="K61" s="779">
        <v>4.0434314392494883</v>
      </c>
      <c r="L61" s="324">
        <v>0</v>
      </c>
      <c r="M61" s="325">
        <v>0</v>
      </c>
      <c r="N61" s="325">
        <v>0</v>
      </c>
      <c r="O61" s="325">
        <v>0</v>
      </c>
      <c r="P61" s="326">
        <v>0</v>
      </c>
      <c r="Q61" s="325">
        <v>0</v>
      </c>
      <c r="R61" s="327">
        <v>0</v>
      </c>
      <c r="S61" s="327">
        <v>1.0326012169223362</v>
      </c>
      <c r="T61" s="327">
        <v>1.0320571790765745</v>
      </c>
      <c r="U61" s="326">
        <v>1.9787730432505775</v>
      </c>
      <c r="V61" s="324"/>
      <c r="W61" s="327"/>
      <c r="X61" s="327"/>
      <c r="Y61" s="327"/>
      <c r="Z61" s="326"/>
      <c r="AA61" s="324"/>
      <c r="AB61" s="327"/>
      <c r="AC61" s="327"/>
      <c r="AD61" s="327"/>
      <c r="AE61" s="326"/>
      <c r="AF61" s="325"/>
      <c r="AG61" s="327"/>
      <c r="AH61" s="327"/>
      <c r="AI61" s="733"/>
      <c r="AJ61" s="734"/>
      <c r="AK61" s="1620" t="s">
        <v>1059</v>
      </c>
    </row>
    <row r="62" spans="2:37" s="321" customFormat="1" ht="15.75" customHeight="1">
      <c r="B62" s="735">
        <v>17</v>
      </c>
      <c r="C62" s="322" t="s">
        <v>1060</v>
      </c>
      <c r="D62" s="322" t="s">
        <v>242</v>
      </c>
      <c r="E62" s="322" t="s">
        <v>242</v>
      </c>
      <c r="F62" s="322" t="s">
        <v>1034</v>
      </c>
      <c r="G62" s="323">
        <v>2012</v>
      </c>
      <c r="H62" s="323"/>
      <c r="I62" s="323">
        <v>35</v>
      </c>
      <c r="J62" s="324">
        <v>3.9274572076005034</v>
      </c>
      <c r="K62" s="779">
        <v>3.9274572076005034</v>
      </c>
      <c r="L62" s="324">
        <v>0</v>
      </c>
      <c r="M62" s="325">
        <v>0</v>
      </c>
      <c r="N62" s="325">
        <v>0</v>
      </c>
      <c r="O62" s="325">
        <v>0</v>
      </c>
      <c r="P62" s="326">
        <v>0</v>
      </c>
      <c r="Q62" s="325">
        <v>0</v>
      </c>
      <c r="R62" s="327">
        <v>1.9655148954480646</v>
      </c>
      <c r="S62" s="327">
        <v>1.9619423121524389</v>
      </c>
      <c r="T62" s="327">
        <v>0</v>
      </c>
      <c r="U62" s="326">
        <v>0</v>
      </c>
      <c r="V62" s="324"/>
      <c r="W62" s="327"/>
      <c r="X62" s="327"/>
      <c r="Y62" s="327"/>
      <c r="Z62" s="326"/>
      <c r="AA62" s="324"/>
      <c r="AB62" s="327"/>
      <c r="AC62" s="327"/>
      <c r="AD62" s="327"/>
      <c r="AE62" s="326"/>
      <c r="AF62" s="325"/>
      <c r="AG62" s="327"/>
      <c r="AH62" s="327"/>
      <c r="AI62" s="733"/>
      <c r="AJ62" s="734"/>
      <c r="AK62" s="1620" t="s">
        <v>1061</v>
      </c>
    </row>
    <row r="63" spans="2:37" s="321" customFormat="1" ht="15.75" customHeight="1">
      <c r="B63" s="735">
        <v>18</v>
      </c>
      <c r="C63" s="322" t="s">
        <v>1062</v>
      </c>
      <c r="D63" s="322" t="s">
        <v>1025</v>
      </c>
      <c r="E63" s="322" t="s">
        <v>1025</v>
      </c>
      <c r="F63" s="322" t="s">
        <v>1029</v>
      </c>
      <c r="G63" s="323">
        <v>2010</v>
      </c>
      <c r="H63" s="323"/>
      <c r="I63" s="323">
        <v>16</v>
      </c>
      <c r="J63" s="324">
        <v>1.5507821323812021</v>
      </c>
      <c r="K63" s="779">
        <v>1.5507821323812021</v>
      </c>
      <c r="L63" s="324">
        <v>0</v>
      </c>
      <c r="M63" s="325">
        <v>0</v>
      </c>
      <c r="N63" s="325">
        <v>0</v>
      </c>
      <c r="O63" s="325">
        <v>0</v>
      </c>
      <c r="P63" s="326">
        <v>0</v>
      </c>
      <c r="Q63" s="325">
        <v>0</v>
      </c>
      <c r="R63" s="327">
        <v>1.034481523920034</v>
      </c>
      <c r="S63" s="327">
        <v>0.5163006084611681</v>
      </c>
      <c r="T63" s="327">
        <v>0</v>
      </c>
      <c r="U63" s="326">
        <v>0</v>
      </c>
      <c r="V63" s="324"/>
      <c r="W63" s="327"/>
      <c r="X63" s="327"/>
      <c r="Y63" s="327"/>
      <c r="Z63" s="326"/>
      <c r="AA63" s="324"/>
      <c r="AB63" s="327"/>
      <c r="AC63" s="327"/>
      <c r="AD63" s="327"/>
      <c r="AE63" s="326"/>
      <c r="AF63" s="325"/>
      <c r="AG63" s="327"/>
      <c r="AH63" s="327"/>
      <c r="AI63" s="733"/>
      <c r="AJ63" s="734"/>
      <c r="AK63" s="1620" t="s">
        <v>1063</v>
      </c>
    </row>
    <row r="64" spans="2:37" s="321" customFormat="1" ht="15.75" customHeight="1">
      <c r="B64" s="735">
        <v>19</v>
      </c>
      <c r="C64" s="322" t="s">
        <v>1064</v>
      </c>
      <c r="D64" s="322" t="s">
        <v>1025</v>
      </c>
      <c r="E64" s="322" t="s">
        <v>1025</v>
      </c>
      <c r="F64" s="322" t="s">
        <v>1029</v>
      </c>
      <c r="G64" s="323">
        <v>2013</v>
      </c>
      <c r="H64" s="323"/>
      <c r="I64" s="323">
        <v>18.600000000000001</v>
      </c>
      <c r="J64" s="324">
        <v>2.5942464237480829</v>
      </c>
      <c r="K64" s="779">
        <v>2.5942464237480829</v>
      </c>
      <c r="L64" s="324">
        <v>0</v>
      </c>
      <c r="M64" s="325">
        <v>0</v>
      </c>
      <c r="N64" s="325">
        <v>0</v>
      </c>
      <c r="O64" s="325">
        <v>0</v>
      </c>
      <c r="P64" s="326">
        <v>0</v>
      </c>
      <c r="Q64" s="325">
        <v>0</v>
      </c>
      <c r="R64" s="327">
        <v>0</v>
      </c>
      <c r="S64" s="327">
        <v>0</v>
      </c>
      <c r="T64" s="327">
        <v>1.0320571790765745</v>
      </c>
      <c r="U64" s="326">
        <v>1.5621892446715087</v>
      </c>
      <c r="V64" s="324"/>
      <c r="W64" s="327"/>
      <c r="X64" s="327"/>
      <c r="Y64" s="327"/>
      <c r="Z64" s="326"/>
      <c r="AA64" s="324"/>
      <c r="AB64" s="327"/>
      <c r="AC64" s="327"/>
      <c r="AD64" s="327"/>
      <c r="AE64" s="326"/>
      <c r="AF64" s="325"/>
      <c r="AG64" s="327"/>
      <c r="AH64" s="327"/>
      <c r="AI64" s="733"/>
      <c r="AJ64" s="734"/>
      <c r="AK64" s="1620" t="s">
        <v>1065</v>
      </c>
    </row>
    <row r="65" spans="2:37" s="321" customFormat="1" ht="15.75" customHeight="1">
      <c r="B65" s="735">
        <v>20</v>
      </c>
      <c r="C65" s="328" t="s">
        <v>1066</v>
      </c>
      <c r="D65" s="328" t="s">
        <v>1025</v>
      </c>
      <c r="E65" s="328" t="s">
        <v>1025</v>
      </c>
      <c r="F65" s="328" t="s">
        <v>1067</v>
      </c>
      <c r="G65" s="329">
        <v>2014</v>
      </c>
      <c r="H65" s="323"/>
      <c r="I65" s="329">
        <v>24</v>
      </c>
      <c r="J65" s="780">
        <v>0</v>
      </c>
      <c r="K65" s="781">
        <v>0</v>
      </c>
      <c r="L65" s="780">
        <v>0</v>
      </c>
      <c r="M65" s="330">
        <v>0</v>
      </c>
      <c r="N65" s="330">
        <v>0</v>
      </c>
      <c r="O65" s="330">
        <v>0</v>
      </c>
      <c r="P65" s="331">
        <v>0</v>
      </c>
      <c r="Q65" s="330">
        <v>0</v>
      </c>
      <c r="R65" s="332">
        <v>0</v>
      </c>
      <c r="S65" s="332">
        <v>0</v>
      </c>
      <c r="T65" s="332">
        <v>0</v>
      </c>
      <c r="U65" s="331">
        <v>0</v>
      </c>
      <c r="V65" s="324"/>
      <c r="W65" s="327"/>
      <c r="X65" s="327"/>
      <c r="Y65" s="327"/>
      <c r="Z65" s="326"/>
      <c r="AA65" s="324"/>
      <c r="AB65" s="327"/>
      <c r="AC65" s="327"/>
      <c r="AD65" s="327"/>
      <c r="AE65" s="326"/>
      <c r="AF65" s="325"/>
      <c r="AG65" s="327"/>
      <c r="AH65" s="327"/>
      <c r="AI65" s="733"/>
      <c r="AJ65" s="734"/>
      <c r="AK65" s="1621" t="s">
        <v>1068</v>
      </c>
    </row>
    <row r="66" spans="2:37" s="321" customFormat="1" ht="15.75" customHeight="1">
      <c r="B66" s="735">
        <v>21</v>
      </c>
      <c r="C66" s="328" t="s">
        <v>1069</v>
      </c>
      <c r="D66" s="328" t="s">
        <v>1025</v>
      </c>
      <c r="E66" s="328" t="s">
        <v>1025</v>
      </c>
      <c r="F66" s="328" t="s">
        <v>1029</v>
      </c>
      <c r="G66" s="329">
        <v>2010</v>
      </c>
      <c r="H66" s="323"/>
      <c r="I66" s="329">
        <v>15</v>
      </c>
      <c r="J66" s="780">
        <v>0.10344815239200342</v>
      </c>
      <c r="K66" s="781">
        <v>0.10344815239200342</v>
      </c>
      <c r="L66" s="780">
        <v>0</v>
      </c>
      <c r="M66" s="330">
        <v>0</v>
      </c>
      <c r="N66" s="330">
        <v>0</v>
      </c>
      <c r="O66" s="330">
        <v>0</v>
      </c>
      <c r="P66" s="331">
        <v>0</v>
      </c>
      <c r="Q66" s="330">
        <v>0</v>
      </c>
      <c r="R66" s="332">
        <v>0.10344815239200342</v>
      </c>
      <c r="S66" s="332">
        <v>0</v>
      </c>
      <c r="T66" s="332">
        <v>0</v>
      </c>
      <c r="U66" s="331">
        <v>0</v>
      </c>
      <c r="V66" s="324"/>
      <c r="W66" s="327"/>
      <c r="X66" s="327"/>
      <c r="Y66" s="327"/>
      <c r="Z66" s="326"/>
      <c r="AA66" s="324"/>
      <c r="AB66" s="327"/>
      <c r="AC66" s="327"/>
      <c r="AD66" s="327"/>
      <c r="AE66" s="326"/>
      <c r="AF66" s="325"/>
      <c r="AG66" s="327"/>
      <c r="AH66" s="327"/>
      <c r="AI66" s="733"/>
      <c r="AJ66" s="734"/>
      <c r="AK66" s="1621" t="s">
        <v>1070</v>
      </c>
    </row>
    <row r="67" spans="2:37" s="321" customFormat="1" ht="15.75" customHeight="1">
      <c r="B67" s="735">
        <v>22</v>
      </c>
      <c r="C67" s="328" t="s">
        <v>1071</v>
      </c>
      <c r="D67" s="328" t="s">
        <v>1025</v>
      </c>
      <c r="E67" s="328" t="s">
        <v>1025</v>
      </c>
      <c r="F67" s="328" t="s">
        <v>1029</v>
      </c>
      <c r="G67" s="329">
        <v>2014</v>
      </c>
      <c r="H67" s="323"/>
      <c r="I67" s="329">
        <v>13.15</v>
      </c>
      <c r="J67" s="780">
        <v>0.52072974822383633</v>
      </c>
      <c r="K67" s="781">
        <v>0.52072974822383633</v>
      </c>
      <c r="L67" s="780">
        <v>0</v>
      </c>
      <c r="M67" s="330">
        <v>0</v>
      </c>
      <c r="N67" s="330">
        <v>0</v>
      </c>
      <c r="O67" s="330">
        <v>0</v>
      </c>
      <c r="P67" s="331">
        <v>0</v>
      </c>
      <c r="Q67" s="330">
        <v>0</v>
      </c>
      <c r="R67" s="332">
        <v>0</v>
      </c>
      <c r="S67" s="332">
        <v>0</v>
      </c>
      <c r="T67" s="332">
        <v>0</v>
      </c>
      <c r="U67" s="331">
        <v>0.52072974822383633</v>
      </c>
      <c r="V67" s="324"/>
      <c r="W67" s="327"/>
      <c r="X67" s="327"/>
      <c r="Y67" s="327"/>
      <c r="Z67" s="326"/>
      <c r="AA67" s="324"/>
      <c r="AB67" s="327"/>
      <c r="AC67" s="327"/>
      <c r="AD67" s="327"/>
      <c r="AE67" s="326"/>
      <c r="AF67" s="325"/>
      <c r="AG67" s="327"/>
      <c r="AH67" s="327"/>
      <c r="AI67" s="733"/>
      <c r="AJ67" s="734"/>
      <c r="AK67" s="1621" t="s">
        <v>1072</v>
      </c>
    </row>
    <row r="68" spans="2:37" s="321" customFormat="1" ht="15.75" customHeight="1">
      <c r="B68" s="735">
        <v>23</v>
      </c>
      <c r="C68" s="328" t="s">
        <v>1073</v>
      </c>
      <c r="D68" s="328" t="s">
        <v>1025</v>
      </c>
      <c r="E68" s="328" t="s">
        <v>1025</v>
      </c>
      <c r="F68" s="328" t="s">
        <v>1026</v>
      </c>
      <c r="G68" s="329">
        <v>2014</v>
      </c>
      <c r="H68" s="323"/>
      <c r="I68" s="329">
        <v>27</v>
      </c>
      <c r="J68" s="780">
        <v>1.0414594964476727</v>
      </c>
      <c r="K68" s="781">
        <v>1.0414594964476727</v>
      </c>
      <c r="L68" s="780">
        <v>0</v>
      </c>
      <c r="M68" s="330">
        <v>0</v>
      </c>
      <c r="N68" s="330">
        <v>0</v>
      </c>
      <c r="O68" s="330">
        <v>0</v>
      </c>
      <c r="P68" s="331">
        <v>0</v>
      </c>
      <c r="Q68" s="330">
        <v>0</v>
      </c>
      <c r="R68" s="332">
        <v>0</v>
      </c>
      <c r="S68" s="332">
        <v>0</v>
      </c>
      <c r="T68" s="332">
        <v>0</v>
      </c>
      <c r="U68" s="331">
        <v>1.0414594964476727</v>
      </c>
      <c r="V68" s="324"/>
      <c r="W68" s="327"/>
      <c r="X68" s="327"/>
      <c r="Y68" s="327"/>
      <c r="Z68" s="326"/>
      <c r="AA68" s="324"/>
      <c r="AB68" s="327"/>
      <c r="AC68" s="327"/>
      <c r="AD68" s="327"/>
      <c r="AE68" s="326"/>
      <c r="AF68" s="325"/>
      <c r="AG68" s="327"/>
      <c r="AH68" s="327"/>
      <c r="AI68" s="733"/>
      <c r="AJ68" s="734"/>
      <c r="AK68" s="1621" t="s">
        <v>1074</v>
      </c>
    </row>
    <row r="69" spans="2:37" s="321" customFormat="1" ht="15.75" customHeight="1">
      <c r="B69" s="735">
        <v>24</v>
      </c>
      <c r="C69" s="328" t="s">
        <v>1075</v>
      </c>
      <c r="D69" s="328" t="s">
        <v>1025</v>
      </c>
      <c r="E69" s="328" t="s">
        <v>1025</v>
      </c>
      <c r="F69" s="328" t="s">
        <v>1029</v>
      </c>
      <c r="G69" s="329">
        <v>2010</v>
      </c>
      <c r="H69" s="323"/>
      <c r="I69" s="329">
        <v>16</v>
      </c>
      <c r="J69" s="780">
        <v>1.5517222858800512</v>
      </c>
      <c r="K69" s="781">
        <v>1.5517222858800512</v>
      </c>
      <c r="L69" s="780">
        <v>0</v>
      </c>
      <c r="M69" s="330">
        <v>0</v>
      </c>
      <c r="N69" s="330">
        <v>0</v>
      </c>
      <c r="O69" s="330">
        <v>0</v>
      </c>
      <c r="P69" s="331">
        <v>0</v>
      </c>
      <c r="Q69" s="330">
        <v>0</v>
      </c>
      <c r="R69" s="332">
        <v>1.5517222858800512</v>
      </c>
      <c r="S69" s="332">
        <v>0</v>
      </c>
      <c r="T69" s="332">
        <v>0</v>
      </c>
      <c r="U69" s="331">
        <v>0</v>
      </c>
      <c r="V69" s="324"/>
      <c r="W69" s="327"/>
      <c r="X69" s="327"/>
      <c r="Y69" s="327"/>
      <c r="Z69" s="326"/>
      <c r="AA69" s="324"/>
      <c r="AB69" s="327"/>
      <c r="AC69" s="327"/>
      <c r="AD69" s="327"/>
      <c r="AE69" s="326"/>
      <c r="AF69" s="325"/>
      <c r="AG69" s="327"/>
      <c r="AH69" s="327"/>
      <c r="AI69" s="733"/>
      <c r="AJ69" s="734"/>
      <c r="AK69" s="1621" t="s">
        <v>1076</v>
      </c>
    </row>
    <row r="70" spans="2:37" s="321" customFormat="1" ht="15.75" customHeight="1">
      <c r="B70" s="735">
        <v>25</v>
      </c>
      <c r="C70" s="328" t="s">
        <v>1077</v>
      </c>
      <c r="D70" s="328" t="s">
        <v>242</v>
      </c>
      <c r="E70" s="328" t="s">
        <v>242</v>
      </c>
      <c r="F70" s="328" t="s">
        <v>1029</v>
      </c>
      <c r="G70" s="329">
        <v>2014</v>
      </c>
      <c r="H70" s="323"/>
      <c r="I70" s="329">
        <v>90</v>
      </c>
      <c r="J70" s="780">
        <v>3.5409622879220861</v>
      </c>
      <c r="K70" s="781">
        <v>3.5409622879220861</v>
      </c>
      <c r="L70" s="780">
        <v>0</v>
      </c>
      <c r="M70" s="330">
        <v>0</v>
      </c>
      <c r="N70" s="330">
        <v>0</v>
      </c>
      <c r="O70" s="330">
        <v>0</v>
      </c>
      <c r="P70" s="331">
        <v>0</v>
      </c>
      <c r="Q70" s="330">
        <v>0</v>
      </c>
      <c r="R70" s="332">
        <v>0</v>
      </c>
      <c r="S70" s="332">
        <v>0</v>
      </c>
      <c r="T70" s="332">
        <v>0</v>
      </c>
      <c r="U70" s="331">
        <v>3.5409622879220861</v>
      </c>
      <c r="V70" s="324"/>
      <c r="W70" s="327"/>
      <c r="X70" s="327"/>
      <c r="Y70" s="327"/>
      <c r="Z70" s="326"/>
      <c r="AA70" s="324"/>
      <c r="AB70" s="327"/>
      <c r="AC70" s="327"/>
      <c r="AD70" s="327"/>
      <c r="AE70" s="326"/>
      <c r="AF70" s="325"/>
      <c r="AG70" s="327"/>
      <c r="AH70" s="327"/>
      <c r="AI70" s="733"/>
      <c r="AJ70" s="734"/>
      <c r="AK70" s="1621" t="s">
        <v>1078</v>
      </c>
    </row>
    <row r="71" spans="2:37" s="321" customFormat="1" ht="15.75" customHeight="1">
      <c r="B71" s="735">
        <v>26</v>
      </c>
      <c r="C71" s="328" t="s">
        <v>1079</v>
      </c>
      <c r="D71" s="328" t="s">
        <v>1025</v>
      </c>
      <c r="E71" s="328" t="s">
        <v>1025</v>
      </c>
      <c r="F71" s="328" t="s">
        <v>1029</v>
      </c>
      <c r="G71" s="329">
        <v>2008</v>
      </c>
      <c r="H71" s="323"/>
      <c r="I71" s="329">
        <v>12</v>
      </c>
      <c r="J71" s="780">
        <v>1.5642150099439811</v>
      </c>
      <c r="K71" s="781">
        <v>1.5642150099439811</v>
      </c>
      <c r="L71" s="780">
        <v>0</v>
      </c>
      <c r="M71" s="330">
        <v>0</v>
      </c>
      <c r="N71" s="330">
        <v>0</v>
      </c>
      <c r="O71" s="330">
        <v>0</v>
      </c>
      <c r="P71" s="331">
        <v>0</v>
      </c>
      <c r="Q71" s="330">
        <v>0.5297334860239471</v>
      </c>
      <c r="R71" s="332">
        <v>1.034481523920034</v>
      </c>
      <c r="S71" s="332">
        <v>0</v>
      </c>
      <c r="T71" s="332">
        <v>0</v>
      </c>
      <c r="U71" s="331">
        <v>0</v>
      </c>
      <c r="V71" s="324"/>
      <c r="W71" s="327"/>
      <c r="X71" s="327"/>
      <c r="Y71" s="327"/>
      <c r="Z71" s="326"/>
      <c r="AA71" s="324"/>
      <c r="AB71" s="327"/>
      <c r="AC71" s="327"/>
      <c r="AD71" s="327"/>
      <c r="AE71" s="326"/>
      <c r="AF71" s="325"/>
      <c r="AG71" s="327"/>
      <c r="AH71" s="327"/>
      <c r="AI71" s="733"/>
      <c r="AJ71" s="734"/>
      <c r="AK71" s="1621" t="s">
        <v>1080</v>
      </c>
    </row>
    <row r="72" spans="2:37" s="321" customFormat="1" ht="15.75" customHeight="1">
      <c r="B72" s="735">
        <v>27</v>
      </c>
      <c r="C72" s="328" t="s">
        <v>1081</v>
      </c>
      <c r="D72" s="328" t="s">
        <v>242</v>
      </c>
      <c r="E72" s="328" t="s">
        <v>242</v>
      </c>
      <c r="F72" s="328" t="s">
        <v>1029</v>
      </c>
      <c r="G72" s="329">
        <v>2013</v>
      </c>
      <c r="H72" s="323"/>
      <c r="I72" s="329">
        <v>39</v>
      </c>
      <c r="J72" s="780">
        <v>6.0131983590203149</v>
      </c>
      <c r="K72" s="781">
        <v>6.0131983590203149</v>
      </c>
      <c r="L72" s="780">
        <v>0</v>
      </c>
      <c r="M72" s="330">
        <v>0</v>
      </c>
      <c r="N72" s="330">
        <v>0</v>
      </c>
      <c r="O72" s="330">
        <v>0</v>
      </c>
      <c r="P72" s="331">
        <v>0</v>
      </c>
      <c r="Q72" s="330">
        <v>0</v>
      </c>
      <c r="R72" s="332">
        <v>0</v>
      </c>
      <c r="S72" s="332">
        <v>0</v>
      </c>
      <c r="T72" s="332">
        <v>2.9929658193220656</v>
      </c>
      <c r="U72" s="331">
        <v>3.0202325396982497</v>
      </c>
      <c r="V72" s="324"/>
      <c r="W72" s="327"/>
      <c r="X72" s="327"/>
      <c r="Y72" s="327"/>
      <c r="Z72" s="326"/>
      <c r="AA72" s="324"/>
      <c r="AB72" s="327"/>
      <c r="AC72" s="327"/>
      <c r="AD72" s="327"/>
      <c r="AE72" s="326"/>
      <c r="AF72" s="325"/>
      <c r="AG72" s="327"/>
      <c r="AH72" s="327"/>
      <c r="AI72" s="733"/>
      <c r="AJ72" s="734"/>
      <c r="AK72" s="1621" t="s">
        <v>1082</v>
      </c>
    </row>
    <row r="73" spans="2:37" s="321" customFormat="1" ht="15.75" customHeight="1">
      <c r="B73" s="735">
        <v>28</v>
      </c>
      <c r="C73" s="328" t="s">
        <v>1083</v>
      </c>
      <c r="D73" s="328" t="s">
        <v>1025</v>
      </c>
      <c r="E73" s="328" t="s">
        <v>1025</v>
      </c>
      <c r="F73" s="328" t="s">
        <v>1029</v>
      </c>
      <c r="G73" s="329">
        <v>2010</v>
      </c>
      <c r="H73" s="323"/>
      <c r="I73" s="329">
        <v>24</v>
      </c>
      <c r="J73" s="780">
        <v>1.0469742479839641</v>
      </c>
      <c r="K73" s="781">
        <v>1.0469742479839641</v>
      </c>
      <c r="L73" s="780">
        <v>0</v>
      </c>
      <c r="M73" s="330">
        <v>0</v>
      </c>
      <c r="N73" s="330">
        <v>0</v>
      </c>
      <c r="O73" s="330">
        <v>0</v>
      </c>
      <c r="P73" s="331">
        <v>0</v>
      </c>
      <c r="Q73" s="330">
        <v>0.5297334860239471</v>
      </c>
      <c r="R73" s="332">
        <v>0.517240761960017</v>
      </c>
      <c r="S73" s="332">
        <v>0</v>
      </c>
      <c r="T73" s="332">
        <v>0</v>
      </c>
      <c r="U73" s="331">
        <v>0</v>
      </c>
      <c r="V73" s="324"/>
      <c r="W73" s="327"/>
      <c r="X73" s="327"/>
      <c r="Y73" s="327"/>
      <c r="Z73" s="326"/>
      <c r="AA73" s="324"/>
      <c r="AB73" s="327"/>
      <c r="AC73" s="327"/>
      <c r="AD73" s="327"/>
      <c r="AE73" s="326"/>
      <c r="AF73" s="325"/>
      <c r="AG73" s="327"/>
      <c r="AH73" s="327"/>
      <c r="AI73" s="733"/>
      <c r="AJ73" s="734"/>
      <c r="AK73" s="1621" t="s">
        <v>1084</v>
      </c>
    </row>
    <row r="74" spans="2:37" s="321" customFormat="1" ht="15.75" customHeight="1">
      <c r="B74" s="735">
        <v>29</v>
      </c>
      <c r="C74" s="328" t="s">
        <v>1085</v>
      </c>
      <c r="D74" s="328" t="s">
        <v>1025</v>
      </c>
      <c r="E74" s="328" t="s">
        <v>1025</v>
      </c>
      <c r="F74" s="328" t="s">
        <v>1029</v>
      </c>
      <c r="G74" s="329">
        <v>2008</v>
      </c>
      <c r="H74" s="323"/>
      <c r="I74" s="329">
        <v>13.1</v>
      </c>
      <c r="J74" s="780">
        <v>1.0469742479839641</v>
      </c>
      <c r="K74" s="781">
        <v>1.0469742479839641</v>
      </c>
      <c r="L74" s="780">
        <v>0</v>
      </c>
      <c r="M74" s="330">
        <v>0</v>
      </c>
      <c r="N74" s="330">
        <v>0</v>
      </c>
      <c r="O74" s="330">
        <v>0</v>
      </c>
      <c r="P74" s="331">
        <v>0</v>
      </c>
      <c r="Q74" s="330">
        <v>0.5297334860239471</v>
      </c>
      <c r="R74" s="332">
        <v>0.517240761960017</v>
      </c>
      <c r="S74" s="332">
        <v>0</v>
      </c>
      <c r="T74" s="332">
        <v>0</v>
      </c>
      <c r="U74" s="331">
        <v>0</v>
      </c>
      <c r="V74" s="324"/>
      <c r="W74" s="327"/>
      <c r="X74" s="327"/>
      <c r="Y74" s="327"/>
      <c r="Z74" s="326"/>
      <c r="AA74" s="324"/>
      <c r="AB74" s="327"/>
      <c r="AC74" s="327"/>
      <c r="AD74" s="327"/>
      <c r="AE74" s="326"/>
      <c r="AF74" s="325"/>
      <c r="AG74" s="327"/>
      <c r="AH74" s="327"/>
      <c r="AI74" s="733"/>
      <c r="AJ74" s="734"/>
      <c r="AK74" s="1621" t="s">
        <v>1086</v>
      </c>
    </row>
    <row r="75" spans="2:37" s="321" customFormat="1" ht="15.75" customHeight="1">
      <c r="B75" s="735">
        <v>30</v>
      </c>
      <c r="C75" s="328" t="s">
        <v>1087</v>
      </c>
      <c r="D75" s="328" t="s">
        <v>1025</v>
      </c>
      <c r="E75" s="328" t="s">
        <v>1025</v>
      </c>
      <c r="F75" s="328" t="s">
        <v>1026</v>
      </c>
      <c r="G75" s="329">
        <v>2007</v>
      </c>
      <c r="H75" s="323"/>
      <c r="I75" s="329">
        <v>40</v>
      </c>
      <c r="J75" s="780">
        <v>1.0326012169223362</v>
      </c>
      <c r="K75" s="781">
        <v>1.0326012169223362</v>
      </c>
      <c r="L75" s="780">
        <v>0</v>
      </c>
      <c r="M75" s="330">
        <v>0</v>
      </c>
      <c r="N75" s="330">
        <v>0</v>
      </c>
      <c r="O75" s="330">
        <v>0</v>
      </c>
      <c r="P75" s="331">
        <v>0</v>
      </c>
      <c r="Q75" s="330">
        <v>0</v>
      </c>
      <c r="R75" s="332">
        <v>0</v>
      </c>
      <c r="S75" s="332">
        <v>1.0326012169223362</v>
      </c>
      <c r="T75" s="332">
        <v>0</v>
      </c>
      <c r="U75" s="331">
        <v>0</v>
      </c>
      <c r="V75" s="324"/>
      <c r="W75" s="327"/>
      <c r="X75" s="327"/>
      <c r="Y75" s="327"/>
      <c r="Z75" s="326"/>
      <c r="AA75" s="324"/>
      <c r="AB75" s="327"/>
      <c r="AC75" s="327"/>
      <c r="AD75" s="327"/>
      <c r="AE75" s="326"/>
      <c r="AF75" s="325"/>
      <c r="AG75" s="327"/>
      <c r="AH75" s="327"/>
      <c r="AI75" s="733"/>
      <c r="AJ75" s="734"/>
      <c r="AK75" s="1621" t="s">
        <v>1088</v>
      </c>
    </row>
    <row r="76" spans="2:37" s="321" customFormat="1" ht="15.75" customHeight="1">
      <c r="B76" s="735">
        <v>31</v>
      </c>
      <c r="C76" s="328" t="s">
        <v>1089</v>
      </c>
      <c r="D76" s="328" t="s">
        <v>242</v>
      </c>
      <c r="E76" s="328" t="s">
        <v>242</v>
      </c>
      <c r="F76" s="328" t="s">
        <v>1029</v>
      </c>
      <c r="G76" s="329">
        <v>2007</v>
      </c>
      <c r="H76" s="323"/>
      <c r="I76" s="329">
        <v>117</v>
      </c>
      <c r="J76" s="780">
        <v>0.74162688043352587</v>
      </c>
      <c r="K76" s="781">
        <v>0.74162688043352587</v>
      </c>
      <c r="L76" s="780">
        <v>0</v>
      </c>
      <c r="M76" s="330">
        <v>0</v>
      </c>
      <c r="N76" s="330">
        <v>0</v>
      </c>
      <c r="O76" s="330">
        <v>0</v>
      </c>
      <c r="P76" s="331">
        <v>0</v>
      </c>
      <c r="Q76" s="330">
        <v>0.74162688043352587</v>
      </c>
      <c r="R76" s="332">
        <v>0</v>
      </c>
      <c r="S76" s="332">
        <v>0</v>
      </c>
      <c r="T76" s="332">
        <v>0</v>
      </c>
      <c r="U76" s="331">
        <v>0</v>
      </c>
      <c r="V76" s="324"/>
      <c r="W76" s="327"/>
      <c r="X76" s="327"/>
      <c r="Y76" s="327"/>
      <c r="Z76" s="326"/>
      <c r="AA76" s="324"/>
      <c r="AB76" s="327"/>
      <c r="AC76" s="327"/>
      <c r="AD76" s="327"/>
      <c r="AE76" s="326"/>
      <c r="AF76" s="325"/>
      <c r="AG76" s="327"/>
      <c r="AH76" s="327"/>
      <c r="AI76" s="733"/>
      <c r="AJ76" s="734"/>
      <c r="AK76" s="1621" t="s">
        <v>1090</v>
      </c>
    </row>
    <row r="77" spans="2:37" s="321" customFormat="1" ht="15.75" customHeight="1">
      <c r="B77" s="735">
        <v>32</v>
      </c>
      <c r="C77" s="328" t="s">
        <v>1091</v>
      </c>
      <c r="D77" s="328" t="s">
        <v>242</v>
      </c>
      <c r="E77" s="328" t="s">
        <v>242</v>
      </c>
      <c r="F77" s="328" t="s">
        <v>1034</v>
      </c>
      <c r="G77" s="329">
        <v>2014</v>
      </c>
      <c r="H77" s="323"/>
      <c r="I77" s="329">
        <v>117</v>
      </c>
      <c r="J77" s="780">
        <v>2.0735166755242469</v>
      </c>
      <c r="K77" s="781">
        <v>2.0735166755242469</v>
      </c>
      <c r="L77" s="780">
        <v>0</v>
      </c>
      <c r="M77" s="330">
        <v>0</v>
      </c>
      <c r="N77" s="330">
        <v>0</v>
      </c>
      <c r="O77" s="330">
        <v>0</v>
      </c>
      <c r="P77" s="331">
        <v>0</v>
      </c>
      <c r="Q77" s="330">
        <v>0</v>
      </c>
      <c r="R77" s="332">
        <v>0</v>
      </c>
      <c r="S77" s="332">
        <v>0</v>
      </c>
      <c r="T77" s="332">
        <v>1.0320571790765745</v>
      </c>
      <c r="U77" s="331">
        <v>1.0414594964476727</v>
      </c>
      <c r="V77" s="324"/>
      <c r="W77" s="327"/>
      <c r="X77" s="327"/>
      <c r="Y77" s="327"/>
      <c r="Z77" s="326"/>
      <c r="AA77" s="324"/>
      <c r="AB77" s="327"/>
      <c r="AC77" s="327"/>
      <c r="AD77" s="327"/>
      <c r="AE77" s="326"/>
      <c r="AF77" s="325"/>
      <c r="AG77" s="327"/>
      <c r="AH77" s="327"/>
      <c r="AI77" s="733"/>
      <c r="AJ77" s="734"/>
      <c r="AK77" s="1621" t="s">
        <v>1092</v>
      </c>
    </row>
    <row r="78" spans="2:37" s="321" customFormat="1" ht="15.75" customHeight="1">
      <c r="B78" s="735">
        <v>33</v>
      </c>
      <c r="C78" s="328" t="s">
        <v>1093</v>
      </c>
      <c r="D78" s="328" t="s">
        <v>1025</v>
      </c>
      <c r="E78" s="328" t="s">
        <v>1025</v>
      </c>
      <c r="F78" s="328" t="s">
        <v>1029</v>
      </c>
      <c r="G78" s="329">
        <v>2012</v>
      </c>
      <c r="H78" s="323"/>
      <c r="I78" s="329">
        <v>24</v>
      </c>
      <c r="J78" s="780">
        <v>1.239012652737651</v>
      </c>
      <c r="K78" s="781">
        <v>1.239012652737651</v>
      </c>
      <c r="L78" s="780">
        <v>0</v>
      </c>
      <c r="M78" s="330">
        <v>0</v>
      </c>
      <c r="N78" s="330">
        <v>0</v>
      </c>
      <c r="O78" s="330">
        <v>0</v>
      </c>
      <c r="P78" s="331">
        <v>0</v>
      </c>
      <c r="Q78" s="330">
        <v>0</v>
      </c>
      <c r="R78" s="332">
        <v>0</v>
      </c>
      <c r="S78" s="332">
        <v>1.0326012169223362</v>
      </c>
      <c r="T78" s="332">
        <v>0.2064114358153149</v>
      </c>
      <c r="U78" s="331">
        <v>0</v>
      </c>
      <c r="V78" s="324"/>
      <c r="W78" s="327"/>
      <c r="X78" s="327"/>
      <c r="Y78" s="327"/>
      <c r="Z78" s="326"/>
      <c r="AA78" s="324"/>
      <c r="AB78" s="327"/>
      <c r="AC78" s="327"/>
      <c r="AD78" s="327"/>
      <c r="AE78" s="326"/>
      <c r="AF78" s="325"/>
      <c r="AG78" s="327"/>
      <c r="AH78" s="327"/>
      <c r="AI78" s="733"/>
      <c r="AJ78" s="734"/>
      <c r="AK78" s="1621" t="s">
        <v>1094</v>
      </c>
    </row>
    <row r="79" spans="2:37" s="321" customFormat="1" ht="15.75" customHeight="1">
      <c r="B79" s="735">
        <v>34</v>
      </c>
      <c r="C79" s="328" t="s">
        <v>1095</v>
      </c>
      <c r="D79" s="328" t="s">
        <v>1025</v>
      </c>
      <c r="E79" s="328" t="s">
        <v>1025</v>
      </c>
      <c r="F79" s="328" t="s">
        <v>1026</v>
      </c>
      <c r="G79" s="329">
        <v>2008</v>
      </c>
      <c r="H79" s="323"/>
      <c r="I79" s="329">
        <v>16</v>
      </c>
      <c r="J79" s="780">
        <v>0.5297334860239471</v>
      </c>
      <c r="K79" s="781">
        <v>0.5297334860239471</v>
      </c>
      <c r="L79" s="780">
        <v>0</v>
      </c>
      <c r="M79" s="330">
        <v>0</v>
      </c>
      <c r="N79" s="330">
        <v>0</v>
      </c>
      <c r="O79" s="330">
        <v>0</v>
      </c>
      <c r="P79" s="331">
        <v>0</v>
      </c>
      <c r="Q79" s="330">
        <v>0.5297334860239471</v>
      </c>
      <c r="R79" s="332">
        <v>0</v>
      </c>
      <c r="S79" s="332">
        <v>0</v>
      </c>
      <c r="T79" s="332">
        <v>0</v>
      </c>
      <c r="U79" s="331">
        <v>0</v>
      </c>
      <c r="V79" s="324"/>
      <c r="W79" s="327"/>
      <c r="X79" s="327"/>
      <c r="Y79" s="327"/>
      <c r="Z79" s="326"/>
      <c r="AA79" s="324"/>
      <c r="AB79" s="327"/>
      <c r="AC79" s="327"/>
      <c r="AD79" s="327"/>
      <c r="AE79" s="326"/>
      <c r="AF79" s="325"/>
      <c r="AG79" s="327"/>
      <c r="AH79" s="327"/>
      <c r="AI79" s="733"/>
      <c r="AJ79" s="734"/>
      <c r="AK79" s="1621" t="s">
        <v>1096</v>
      </c>
    </row>
    <row r="80" spans="2:37" s="321" customFormat="1" ht="15.75" customHeight="1">
      <c r="B80" s="735">
        <v>35</v>
      </c>
      <c r="C80" s="328" t="s">
        <v>1097</v>
      </c>
      <c r="D80" s="328" t="s">
        <v>1025</v>
      </c>
      <c r="E80" s="328" t="s">
        <v>1025</v>
      </c>
      <c r="F80" s="328" t="s">
        <v>1029</v>
      </c>
      <c r="G80" s="329">
        <v>2008</v>
      </c>
      <c r="H80" s="323"/>
      <c r="I80" s="329">
        <v>7.5</v>
      </c>
      <c r="J80" s="780">
        <v>0.84757357763831542</v>
      </c>
      <c r="K80" s="781">
        <v>0.84757357763831542</v>
      </c>
      <c r="L80" s="780">
        <v>0</v>
      </c>
      <c r="M80" s="330">
        <v>0</v>
      </c>
      <c r="N80" s="330">
        <v>0</v>
      </c>
      <c r="O80" s="330">
        <v>0</v>
      </c>
      <c r="P80" s="331">
        <v>0</v>
      </c>
      <c r="Q80" s="330">
        <v>0.84757357763831542</v>
      </c>
      <c r="R80" s="332">
        <v>0</v>
      </c>
      <c r="S80" s="332">
        <v>0</v>
      </c>
      <c r="T80" s="332">
        <v>0</v>
      </c>
      <c r="U80" s="331">
        <v>0</v>
      </c>
      <c r="V80" s="324"/>
      <c r="W80" s="327"/>
      <c r="X80" s="327"/>
      <c r="Y80" s="327"/>
      <c r="Z80" s="326"/>
      <c r="AA80" s="324"/>
      <c r="AB80" s="327"/>
      <c r="AC80" s="327"/>
      <c r="AD80" s="327"/>
      <c r="AE80" s="326"/>
      <c r="AF80" s="325"/>
      <c r="AG80" s="327"/>
      <c r="AH80" s="327"/>
      <c r="AI80" s="733"/>
      <c r="AJ80" s="734"/>
      <c r="AK80" s="1621" t="s">
        <v>1098</v>
      </c>
    </row>
    <row r="81" spans="2:37" s="321" customFormat="1" ht="15.75" customHeight="1">
      <c r="B81" s="735">
        <v>36</v>
      </c>
      <c r="C81" s="328" t="s">
        <v>1099</v>
      </c>
      <c r="D81" s="328" t="s">
        <v>242</v>
      </c>
      <c r="E81" s="328" t="s">
        <v>242</v>
      </c>
      <c r="F81" s="328" t="s">
        <v>1029</v>
      </c>
      <c r="G81" s="329">
        <v>2015</v>
      </c>
      <c r="H81" s="323"/>
      <c r="I81" s="329">
        <v>117</v>
      </c>
      <c r="J81" s="780">
        <v>0.52072974822383633</v>
      </c>
      <c r="K81" s="781">
        <v>0.52072974822383633</v>
      </c>
      <c r="L81" s="780">
        <v>0</v>
      </c>
      <c r="M81" s="330">
        <v>0</v>
      </c>
      <c r="N81" s="330">
        <v>0</v>
      </c>
      <c r="O81" s="330">
        <v>0</v>
      </c>
      <c r="P81" s="331">
        <v>0</v>
      </c>
      <c r="Q81" s="330">
        <v>0</v>
      </c>
      <c r="R81" s="332">
        <v>0</v>
      </c>
      <c r="S81" s="332">
        <v>0</v>
      </c>
      <c r="T81" s="332">
        <v>0</v>
      </c>
      <c r="U81" s="331">
        <v>0.52072974822383633</v>
      </c>
      <c r="V81" s="324"/>
      <c r="W81" s="327"/>
      <c r="X81" s="327"/>
      <c r="Y81" s="327"/>
      <c r="Z81" s="326"/>
      <c r="AA81" s="324"/>
      <c r="AB81" s="327"/>
      <c r="AC81" s="327"/>
      <c r="AD81" s="327"/>
      <c r="AE81" s="326"/>
      <c r="AF81" s="325"/>
      <c r="AG81" s="327"/>
      <c r="AH81" s="327"/>
      <c r="AI81" s="733"/>
      <c r="AJ81" s="734"/>
      <c r="AK81" s="1621" t="s">
        <v>1100</v>
      </c>
    </row>
    <row r="82" spans="2:37" s="321" customFormat="1" ht="15.75" customHeight="1">
      <c r="B82" s="735">
        <v>37</v>
      </c>
      <c r="C82" s="328" t="s">
        <v>1101</v>
      </c>
      <c r="D82" s="328" t="s">
        <v>1025</v>
      </c>
      <c r="E82" s="328" t="s">
        <v>1025</v>
      </c>
      <c r="F82" s="328" t="s">
        <v>1026</v>
      </c>
      <c r="G82" s="329">
        <v>2011</v>
      </c>
      <c r="H82" s="323"/>
      <c r="I82" s="329">
        <v>31</v>
      </c>
      <c r="J82" s="780">
        <v>0.5163006084611681</v>
      </c>
      <c r="K82" s="781">
        <v>0.5163006084611681</v>
      </c>
      <c r="L82" s="780">
        <v>0</v>
      </c>
      <c r="M82" s="330">
        <v>0</v>
      </c>
      <c r="N82" s="330">
        <v>0</v>
      </c>
      <c r="O82" s="330">
        <v>0</v>
      </c>
      <c r="P82" s="331">
        <v>0</v>
      </c>
      <c r="Q82" s="330">
        <v>0</v>
      </c>
      <c r="R82" s="332">
        <v>0</v>
      </c>
      <c r="S82" s="332">
        <v>0.5163006084611681</v>
      </c>
      <c r="T82" s="332">
        <v>0</v>
      </c>
      <c r="U82" s="331">
        <v>0</v>
      </c>
      <c r="V82" s="324"/>
      <c r="W82" s="327"/>
      <c r="X82" s="327"/>
      <c r="Y82" s="327"/>
      <c r="Z82" s="326"/>
      <c r="AA82" s="324"/>
      <c r="AB82" s="327"/>
      <c r="AC82" s="327"/>
      <c r="AD82" s="327"/>
      <c r="AE82" s="326"/>
      <c r="AF82" s="325"/>
      <c r="AG82" s="327"/>
      <c r="AH82" s="327"/>
      <c r="AI82" s="733"/>
      <c r="AJ82" s="734"/>
      <c r="AK82" s="1621" t="s">
        <v>1102</v>
      </c>
    </row>
    <row r="83" spans="2:37" s="321" customFormat="1" ht="15.75" customHeight="1">
      <c r="B83" s="735">
        <v>38</v>
      </c>
      <c r="C83" s="328" t="s">
        <v>1103</v>
      </c>
      <c r="D83" s="328" t="s">
        <v>1025</v>
      </c>
      <c r="E83" s="328" t="s">
        <v>1025</v>
      </c>
      <c r="F83" s="328" t="s">
        <v>1029</v>
      </c>
      <c r="G83" s="329">
        <v>2011</v>
      </c>
      <c r="H83" s="323"/>
      <c r="I83" s="329">
        <v>16</v>
      </c>
      <c r="J83" s="780">
        <v>1.0335413704211851</v>
      </c>
      <c r="K83" s="781">
        <v>1.0335413704211851</v>
      </c>
      <c r="L83" s="780">
        <v>0</v>
      </c>
      <c r="M83" s="330">
        <v>0</v>
      </c>
      <c r="N83" s="330">
        <v>0</v>
      </c>
      <c r="O83" s="330">
        <v>0</v>
      </c>
      <c r="P83" s="331">
        <v>0</v>
      </c>
      <c r="Q83" s="330">
        <v>0</v>
      </c>
      <c r="R83" s="332">
        <v>0.517240761960017</v>
      </c>
      <c r="S83" s="332">
        <v>0.5163006084611681</v>
      </c>
      <c r="T83" s="332">
        <v>0</v>
      </c>
      <c r="U83" s="331">
        <v>0</v>
      </c>
      <c r="V83" s="324"/>
      <c r="W83" s="327"/>
      <c r="X83" s="327"/>
      <c r="Y83" s="327"/>
      <c r="Z83" s="326"/>
      <c r="AA83" s="324"/>
      <c r="AB83" s="327"/>
      <c r="AC83" s="327"/>
      <c r="AD83" s="327"/>
      <c r="AE83" s="326"/>
      <c r="AF83" s="325"/>
      <c r="AG83" s="327"/>
      <c r="AH83" s="327"/>
      <c r="AI83" s="733"/>
      <c r="AJ83" s="734"/>
      <c r="AK83" s="1621" t="s">
        <v>1104</v>
      </c>
    </row>
    <row r="84" spans="2:37" s="321" customFormat="1" ht="15.75" customHeight="1">
      <c r="B84" s="735">
        <v>39</v>
      </c>
      <c r="C84" s="328" t="s">
        <v>1105</v>
      </c>
      <c r="D84" s="328" t="s">
        <v>242</v>
      </c>
      <c r="E84" s="328" t="s">
        <v>242</v>
      </c>
      <c r="F84" s="328" t="s">
        <v>1034</v>
      </c>
      <c r="G84" s="329">
        <v>2014</v>
      </c>
      <c r="H84" s="323"/>
      <c r="I84" s="329">
        <v>190</v>
      </c>
      <c r="J84" s="780">
        <v>15.134092320239922</v>
      </c>
      <c r="K84" s="781">
        <v>15.134092320239922</v>
      </c>
      <c r="L84" s="780">
        <v>0</v>
      </c>
      <c r="M84" s="330">
        <v>0</v>
      </c>
      <c r="N84" s="330">
        <v>0</v>
      </c>
      <c r="O84" s="330">
        <v>0</v>
      </c>
      <c r="P84" s="331">
        <v>0</v>
      </c>
      <c r="Q84" s="330">
        <v>0</v>
      </c>
      <c r="R84" s="332">
        <v>0</v>
      </c>
      <c r="S84" s="332">
        <v>4.027144745997111</v>
      </c>
      <c r="T84" s="332">
        <v>4.0250229983986401</v>
      </c>
      <c r="U84" s="331">
        <v>7.0819245758441722</v>
      </c>
      <c r="V84" s="324"/>
      <c r="W84" s="327"/>
      <c r="X84" s="327"/>
      <c r="Y84" s="327"/>
      <c r="Z84" s="326"/>
      <c r="AA84" s="324"/>
      <c r="AB84" s="327"/>
      <c r="AC84" s="327"/>
      <c r="AD84" s="327"/>
      <c r="AE84" s="326"/>
      <c r="AF84" s="325"/>
      <c r="AG84" s="327"/>
      <c r="AH84" s="327"/>
      <c r="AI84" s="733"/>
      <c r="AJ84" s="734"/>
      <c r="AK84" s="1621" t="s">
        <v>1106</v>
      </c>
    </row>
    <row r="85" spans="2:37" s="321" customFormat="1" ht="15.75" customHeight="1">
      <c r="B85" s="735">
        <v>40</v>
      </c>
      <c r="C85" s="328" t="s">
        <v>1107</v>
      </c>
      <c r="D85" s="328" t="s">
        <v>1025</v>
      </c>
      <c r="E85" s="328" t="s">
        <v>1025</v>
      </c>
      <c r="F85" s="328" t="s">
        <v>1026</v>
      </c>
      <c r="G85" s="329">
        <v>2008</v>
      </c>
      <c r="H85" s="323"/>
      <c r="I85" s="329">
        <v>10</v>
      </c>
      <c r="J85" s="780">
        <v>0.20689630478400683</v>
      </c>
      <c r="K85" s="781">
        <v>0.20689630478400683</v>
      </c>
      <c r="L85" s="780">
        <v>0</v>
      </c>
      <c r="M85" s="330">
        <v>0</v>
      </c>
      <c r="N85" s="330">
        <v>0</v>
      </c>
      <c r="O85" s="330">
        <v>0</v>
      </c>
      <c r="P85" s="331">
        <v>0</v>
      </c>
      <c r="Q85" s="330">
        <v>0</v>
      </c>
      <c r="R85" s="332">
        <v>0.20689630478400683</v>
      </c>
      <c r="S85" s="332">
        <v>0</v>
      </c>
      <c r="T85" s="332">
        <v>0</v>
      </c>
      <c r="U85" s="331">
        <v>0</v>
      </c>
      <c r="V85" s="324"/>
      <c r="W85" s="327"/>
      <c r="X85" s="327"/>
      <c r="Y85" s="327"/>
      <c r="Z85" s="326"/>
      <c r="AA85" s="324"/>
      <c r="AB85" s="327"/>
      <c r="AC85" s="327"/>
      <c r="AD85" s="327"/>
      <c r="AE85" s="326"/>
      <c r="AF85" s="325"/>
      <c r="AG85" s="327"/>
      <c r="AH85" s="327"/>
      <c r="AI85" s="733"/>
      <c r="AJ85" s="734"/>
      <c r="AK85" s="1621" t="s">
        <v>1108</v>
      </c>
    </row>
    <row r="86" spans="2:37" s="321" customFormat="1" ht="15.75" customHeight="1">
      <c r="B86" s="735">
        <v>41</v>
      </c>
      <c r="C86" s="328" t="s">
        <v>1109</v>
      </c>
      <c r="D86" s="328" t="s">
        <v>242</v>
      </c>
      <c r="E86" s="328" t="s">
        <v>242</v>
      </c>
      <c r="F86" s="328" t="s">
        <v>1029</v>
      </c>
      <c r="G86" s="329">
        <v>2014</v>
      </c>
      <c r="H86" s="323"/>
      <c r="I86" s="329">
        <v>40</v>
      </c>
      <c r="J86" s="780">
        <v>3.0202325396982497</v>
      </c>
      <c r="K86" s="781">
        <v>3.0202325396982497</v>
      </c>
      <c r="L86" s="780">
        <v>0</v>
      </c>
      <c r="M86" s="330">
        <v>0</v>
      </c>
      <c r="N86" s="330">
        <v>0</v>
      </c>
      <c r="O86" s="330">
        <v>0</v>
      </c>
      <c r="P86" s="331">
        <v>0</v>
      </c>
      <c r="Q86" s="330">
        <v>0</v>
      </c>
      <c r="R86" s="332">
        <v>0</v>
      </c>
      <c r="S86" s="332">
        <v>0</v>
      </c>
      <c r="T86" s="332">
        <v>0</v>
      </c>
      <c r="U86" s="331">
        <v>3.0202325396982497</v>
      </c>
      <c r="V86" s="324"/>
      <c r="W86" s="327"/>
      <c r="X86" s="327"/>
      <c r="Y86" s="327"/>
      <c r="Z86" s="326"/>
      <c r="AA86" s="324"/>
      <c r="AB86" s="327"/>
      <c r="AC86" s="327"/>
      <c r="AD86" s="327"/>
      <c r="AE86" s="326"/>
      <c r="AF86" s="325"/>
      <c r="AG86" s="327"/>
      <c r="AH86" s="327"/>
      <c r="AI86" s="733"/>
      <c r="AJ86" s="734"/>
      <c r="AK86" s="1621" t="s">
        <v>1110</v>
      </c>
    </row>
    <row r="87" spans="2:37" s="321" customFormat="1" ht="15.75" customHeight="1">
      <c r="B87" s="735">
        <v>42</v>
      </c>
      <c r="C87" s="328" t="s">
        <v>1111</v>
      </c>
      <c r="D87" s="328" t="s">
        <v>1025</v>
      </c>
      <c r="E87" s="328" t="s">
        <v>1025</v>
      </c>
      <c r="F87" s="328" t="s">
        <v>1026</v>
      </c>
      <c r="G87" s="329">
        <v>2010</v>
      </c>
      <c r="H87" s="323"/>
      <c r="I87" s="329">
        <v>40</v>
      </c>
      <c r="J87" s="780">
        <v>1.2497513957372068</v>
      </c>
      <c r="K87" s="781">
        <v>1.2497513957372068</v>
      </c>
      <c r="L87" s="780">
        <v>0</v>
      </c>
      <c r="M87" s="330">
        <v>0</v>
      </c>
      <c r="N87" s="330">
        <v>0</v>
      </c>
      <c r="O87" s="330">
        <v>0</v>
      </c>
      <c r="P87" s="331">
        <v>0</v>
      </c>
      <c r="Q87" s="330">
        <v>0</v>
      </c>
      <c r="R87" s="332">
        <v>0</v>
      </c>
      <c r="S87" s="332">
        <v>0</v>
      </c>
      <c r="T87" s="332">
        <v>0</v>
      </c>
      <c r="U87" s="331">
        <v>1.2497513957372068</v>
      </c>
      <c r="V87" s="324"/>
      <c r="W87" s="327"/>
      <c r="X87" s="327"/>
      <c r="Y87" s="327"/>
      <c r="Z87" s="326"/>
      <c r="AA87" s="324"/>
      <c r="AB87" s="327"/>
      <c r="AC87" s="327"/>
      <c r="AD87" s="327"/>
      <c r="AE87" s="326"/>
      <c r="AF87" s="325"/>
      <c r="AG87" s="327"/>
      <c r="AH87" s="327"/>
      <c r="AI87" s="733"/>
      <c r="AJ87" s="734"/>
      <c r="AK87" s="1621" t="s">
        <v>1112</v>
      </c>
    </row>
    <row r="88" spans="2:37" s="321" customFormat="1" ht="15.75" customHeight="1">
      <c r="B88" s="735">
        <v>43</v>
      </c>
      <c r="C88" s="328" t="s">
        <v>1113</v>
      </c>
      <c r="D88" s="328" t="s">
        <v>1025</v>
      </c>
      <c r="E88" s="328" t="s">
        <v>1025</v>
      </c>
      <c r="F88" s="328" t="s">
        <v>1029</v>
      </c>
      <c r="G88" s="329">
        <v>2014</v>
      </c>
      <c r="H88" s="323"/>
      <c r="I88" s="329">
        <v>9.5</v>
      </c>
      <c r="J88" s="780">
        <v>1.3538973453819743</v>
      </c>
      <c r="K88" s="781">
        <v>1.3538973453819743</v>
      </c>
      <c r="L88" s="780">
        <v>0</v>
      </c>
      <c r="M88" s="330">
        <v>0</v>
      </c>
      <c r="N88" s="330">
        <v>0</v>
      </c>
      <c r="O88" s="330">
        <v>0</v>
      </c>
      <c r="P88" s="331">
        <v>0</v>
      </c>
      <c r="Q88" s="330">
        <v>0</v>
      </c>
      <c r="R88" s="332">
        <v>0</v>
      </c>
      <c r="S88" s="332">
        <v>0</v>
      </c>
      <c r="T88" s="332">
        <v>0</v>
      </c>
      <c r="U88" s="331">
        <v>1.3538973453819743</v>
      </c>
      <c r="V88" s="324"/>
      <c r="W88" s="327"/>
      <c r="X88" s="327"/>
      <c r="Y88" s="327"/>
      <c r="Z88" s="326"/>
      <c r="AA88" s="324"/>
      <c r="AB88" s="327"/>
      <c r="AC88" s="327"/>
      <c r="AD88" s="327"/>
      <c r="AE88" s="326"/>
      <c r="AF88" s="325"/>
      <c r="AG88" s="327"/>
      <c r="AH88" s="327"/>
      <c r="AI88" s="733"/>
      <c r="AJ88" s="734"/>
      <c r="AK88" s="1621" t="s">
        <v>1114</v>
      </c>
    </row>
    <row r="89" spans="2:37" s="321" customFormat="1" ht="15.75" customHeight="1">
      <c r="B89" s="735">
        <v>44</v>
      </c>
      <c r="C89" s="328" t="s">
        <v>1115</v>
      </c>
      <c r="D89" s="328" t="s">
        <v>1025</v>
      </c>
      <c r="E89" s="328" t="s">
        <v>1025</v>
      </c>
      <c r="F89" s="328" t="s">
        <v>1034</v>
      </c>
      <c r="G89" s="329">
        <v>2008</v>
      </c>
      <c r="H89" s="323"/>
      <c r="I89" s="329">
        <v>16</v>
      </c>
      <c r="J89" s="780">
        <v>1.5892004580718411</v>
      </c>
      <c r="K89" s="781">
        <v>1.5892004580718411</v>
      </c>
      <c r="L89" s="780">
        <v>0</v>
      </c>
      <c r="M89" s="330">
        <v>0</v>
      </c>
      <c r="N89" s="330">
        <v>0</v>
      </c>
      <c r="O89" s="330">
        <v>0</v>
      </c>
      <c r="P89" s="331">
        <v>0</v>
      </c>
      <c r="Q89" s="330">
        <v>1.5892004580718411</v>
      </c>
      <c r="R89" s="332">
        <v>0</v>
      </c>
      <c r="S89" s="332">
        <v>0</v>
      </c>
      <c r="T89" s="332">
        <v>0</v>
      </c>
      <c r="U89" s="331">
        <v>0</v>
      </c>
      <c r="V89" s="324"/>
      <c r="W89" s="327"/>
      <c r="X89" s="327"/>
      <c r="Y89" s="327"/>
      <c r="Z89" s="326"/>
      <c r="AA89" s="324"/>
      <c r="AB89" s="327"/>
      <c r="AC89" s="327"/>
      <c r="AD89" s="327"/>
      <c r="AE89" s="326"/>
      <c r="AF89" s="325"/>
      <c r="AG89" s="327"/>
      <c r="AH89" s="327"/>
      <c r="AI89" s="733"/>
      <c r="AJ89" s="734"/>
      <c r="AK89" s="1621" t="s">
        <v>1116</v>
      </c>
    </row>
    <row r="90" spans="2:37" s="321" customFormat="1" ht="15.75" customHeight="1">
      <c r="B90" s="735">
        <v>45</v>
      </c>
      <c r="C90" s="328" t="s">
        <v>1117</v>
      </c>
      <c r="D90" s="328" t="s">
        <v>1025</v>
      </c>
      <c r="E90" s="328" t="s">
        <v>1025</v>
      </c>
      <c r="F90" s="328" t="s">
        <v>1029</v>
      </c>
      <c r="G90" s="329">
        <v>2007</v>
      </c>
      <c r="H90" s="323"/>
      <c r="I90" s="329">
        <v>40</v>
      </c>
      <c r="J90" s="780">
        <v>2.3308273385053671</v>
      </c>
      <c r="K90" s="781">
        <v>2.3308273385053671</v>
      </c>
      <c r="L90" s="780">
        <v>0</v>
      </c>
      <c r="M90" s="330">
        <v>0</v>
      </c>
      <c r="N90" s="330">
        <v>0</v>
      </c>
      <c r="O90" s="330">
        <v>0</v>
      </c>
      <c r="P90" s="331">
        <v>0</v>
      </c>
      <c r="Q90" s="330">
        <v>2.3308273385053671</v>
      </c>
      <c r="R90" s="332">
        <v>0</v>
      </c>
      <c r="S90" s="332">
        <v>0</v>
      </c>
      <c r="T90" s="332">
        <v>0</v>
      </c>
      <c r="U90" s="331">
        <v>0</v>
      </c>
      <c r="V90" s="324"/>
      <c r="W90" s="327"/>
      <c r="X90" s="327"/>
      <c r="Y90" s="327"/>
      <c r="Z90" s="326"/>
      <c r="AA90" s="324"/>
      <c r="AB90" s="327"/>
      <c r="AC90" s="327"/>
      <c r="AD90" s="327"/>
      <c r="AE90" s="326"/>
      <c r="AF90" s="325"/>
      <c r="AG90" s="327"/>
      <c r="AH90" s="327"/>
      <c r="AI90" s="733"/>
      <c r="AJ90" s="734"/>
      <c r="AK90" s="1621" t="s">
        <v>1118</v>
      </c>
    </row>
    <row r="91" spans="2:37" s="321" customFormat="1" ht="15.75" customHeight="1">
      <c r="B91" s="735">
        <v>46</v>
      </c>
      <c r="C91" s="328" t="s">
        <v>1119</v>
      </c>
      <c r="D91" s="328" t="s">
        <v>1025</v>
      </c>
      <c r="E91" s="328" t="s">
        <v>1025</v>
      </c>
      <c r="F91" s="328" t="s">
        <v>1029</v>
      </c>
      <c r="G91" s="329">
        <v>2011</v>
      </c>
      <c r="H91" s="323"/>
      <c r="I91" s="329">
        <v>21.75</v>
      </c>
      <c r="J91" s="780">
        <v>2.4901004741033157</v>
      </c>
      <c r="K91" s="781">
        <v>2.4901004741033157</v>
      </c>
      <c r="L91" s="780">
        <v>0</v>
      </c>
      <c r="M91" s="330">
        <v>0</v>
      </c>
      <c r="N91" s="330">
        <v>0</v>
      </c>
      <c r="O91" s="330">
        <v>0</v>
      </c>
      <c r="P91" s="331">
        <v>0</v>
      </c>
      <c r="Q91" s="330">
        <v>0</v>
      </c>
      <c r="R91" s="332">
        <v>0</v>
      </c>
      <c r="S91" s="332">
        <v>0</v>
      </c>
      <c r="T91" s="332">
        <v>1.0320571790765745</v>
      </c>
      <c r="U91" s="331">
        <v>1.4580432950267415</v>
      </c>
      <c r="V91" s="324"/>
      <c r="W91" s="327"/>
      <c r="X91" s="327"/>
      <c r="Y91" s="327"/>
      <c r="Z91" s="326"/>
      <c r="AA91" s="324"/>
      <c r="AB91" s="327"/>
      <c r="AC91" s="327"/>
      <c r="AD91" s="327"/>
      <c r="AE91" s="326"/>
      <c r="AF91" s="325"/>
      <c r="AG91" s="327"/>
      <c r="AH91" s="327"/>
      <c r="AI91" s="733"/>
      <c r="AJ91" s="734"/>
      <c r="AK91" s="1621" t="s">
        <v>1120</v>
      </c>
    </row>
    <row r="92" spans="2:37" s="321" customFormat="1" ht="15.75" customHeight="1">
      <c r="B92" s="735">
        <v>47</v>
      </c>
      <c r="C92" s="328" t="s">
        <v>1121</v>
      </c>
      <c r="D92" s="328" t="s">
        <v>242</v>
      </c>
      <c r="E92" s="328" t="s">
        <v>242</v>
      </c>
      <c r="F92" s="328" t="s">
        <v>1034</v>
      </c>
      <c r="G92" s="329">
        <v>2008</v>
      </c>
      <c r="H92" s="323"/>
      <c r="I92" s="329">
        <v>190</v>
      </c>
      <c r="J92" s="780">
        <v>4.1319211909867866</v>
      </c>
      <c r="K92" s="781">
        <v>4.1319211909867866</v>
      </c>
      <c r="L92" s="780">
        <v>0</v>
      </c>
      <c r="M92" s="330">
        <v>0</v>
      </c>
      <c r="N92" s="330">
        <v>0</v>
      </c>
      <c r="O92" s="330">
        <v>0</v>
      </c>
      <c r="P92" s="331">
        <v>0</v>
      </c>
      <c r="Q92" s="330">
        <v>4.1319211909867866</v>
      </c>
      <c r="R92" s="332">
        <v>0</v>
      </c>
      <c r="S92" s="332">
        <v>0</v>
      </c>
      <c r="T92" s="332">
        <v>0</v>
      </c>
      <c r="U92" s="331">
        <v>0</v>
      </c>
      <c r="V92" s="324"/>
      <c r="W92" s="327"/>
      <c r="X92" s="327"/>
      <c r="Y92" s="327"/>
      <c r="Z92" s="326"/>
      <c r="AA92" s="324"/>
      <c r="AB92" s="327"/>
      <c r="AC92" s="327"/>
      <c r="AD92" s="327"/>
      <c r="AE92" s="326"/>
      <c r="AF92" s="325"/>
      <c r="AG92" s="327"/>
      <c r="AH92" s="327"/>
      <c r="AI92" s="733"/>
      <c r="AJ92" s="734"/>
      <c r="AK92" s="1621" t="s">
        <v>1122</v>
      </c>
    </row>
    <row r="93" spans="2:37" s="321" customFormat="1" ht="15.75" customHeight="1">
      <c r="B93" s="735">
        <v>48</v>
      </c>
      <c r="C93" s="328" t="s">
        <v>1123</v>
      </c>
      <c r="D93" s="328" t="s">
        <v>242</v>
      </c>
      <c r="E93" s="328" t="s">
        <v>242</v>
      </c>
      <c r="F93" s="328" t="s">
        <v>1029</v>
      </c>
      <c r="G93" s="329">
        <v>2010</v>
      </c>
      <c r="H93" s="323"/>
      <c r="I93" s="329">
        <v>117</v>
      </c>
      <c r="J93" s="780">
        <v>1.9655148954480646</v>
      </c>
      <c r="K93" s="781">
        <v>1.9655148954480646</v>
      </c>
      <c r="L93" s="780">
        <v>0</v>
      </c>
      <c r="M93" s="330">
        <v>0</v>
      </c>
      <c r="N93" s="330">
        <v>0</v>
      </c>
      <c r="O93" s="330">
        <v>0</v>
      </c>
      <c r="P93" s="331">
        <v>0</v>
      </c>
      <c r="Q93" s="330">
        <v>0</v>
      </c>
      <c r="R93" s="332">
        <v>1.9655148954480646</v>
      </c>
      <c r="S93" s="332">
        <v>0</v>
      </c>
      <c r="T93" s="332">
        <v>0</v>
      </c>
      <c r="U93" s="331">
        <v>0</v>
      </c>
      <c r="V93" s="324"/>
      <c r="W93" s="327"/>
      <c r="X93" s="327"/>
      <c r="Y93" s="327"/>
      <c r="Z93" s="326"/>
      <c r="AA93" s="324"/>
      <c r="AB93" s="327"/>
      <c r="AC93" s="327"/>
      <c r="AD93" s="327"/>
      <c r="AE93" s="326"/>
      <c r="AF93" s="325"/>
      <c r="AG93" s="327"/>
      <c r="AH93" s="327"/>
      <c r="AI93" s="733"/>
      <c r="AJ93" s="734"/>
      <c r="AK93" s="1621" t="s">
        <v>1124</v>
      </c>
    </row>
    <row r="94" spans="2:37" s="321" customFormat="1" ht="15.75" customHeight="1">
      <c r="B94" s="735">
        <v>49</v>
      </c>
      <c r="C94" s="328" t="s">
        <v>1125</v>
      </c>
      <c r="D94" s="328" t="s">
        <v>1025</v>
      </c>
      <c r="E94" s="328" t="s">
        <v>1025</v>
      </c>
      <c r="F94" s="328" t="s">
        <v>1029</v>
      </c>
      <c r="G94" s="329">
        <v>2008</v>
      </c>
      <c r="H94" s="323"/>
      <c r="I94" s="329">
        <v>16</v>
      </c>
      <c r="J94" s="780">
        <v>2.3992958635183665</v>
      </c>
      <c r="K94" s="781">
        <v>2.3992958635183665</v>
      </c>
      <c r="L94" s="780">
        <v>0</v>
      </c>
      <c r="M94" s="330">
        <v>0</v>
      </c>
      <c r="N94" s="330">
        <v>0</v>
      </c>
      <c r="O94" s="330">
        <v>0</v>
      </c>
      <c r="P94" s="331">
        <v>0</v>
      </c>
      <c r="Q94" s="330">
        <v>0.84757357763831542</v>
      </c>
      <c r="R94" s="332">
        <v>1.5517222858800512</v>
      </c>
      <c r="S94" s="332">
        <v>0</v>
      </c>
      <c r="T94" s="332">
        <v>0</v>
      </c>
      <c r="U94" s="331">
        <v>0</v>
      </c>
      <c r="V94" s="324"/>
      <c r="W94" s="327"/>
      <c r="X94" s="327"/>
      <c r="Y94" s="327"/>
      <c r="Z94" s="326"/>
      <c r="AA94" s="324"/>
      <c r="AB94" s="327"/>
      <c r="AC94" s="327"/>
      <c r="AD94" s="327"/>
      <c r="AE94" s="326"/>
      <c r="AF94" s="325"/>
      <c r="AG94" s="327"/>
      <c r="AH94" s="327"/>
      <c r="AI94" s="733"/>
      <c r="AJ94" s="734"/>
      <c r="AK94" s="1621" t="s">
        <v>1126</v>
      </c>
    </row>
    <row r="95" spans="2:37" s="321" customFormat="1" ht="15.75" customHeight="1">
      <c r="B95" s="735">
        <v>50</v>
      </c>
      <c r="C95" s="328" t="s">
        <v>1127</v>
      </c>
      <c r="D95" s="328" t="s">
        <v>1025</v>
      </c>
      <c r="E95" s="328" t="s">
        <v>1025</v>
      </c>
      <c r="F95" s="328" t="s">
        <v>1029</v>
      </c>
      <c r="G95" s="329">
        <v>2013</v>
      </c>
      <c r="H95" s="323"/>
      <c r="I95" s="329">
        <v>0</v>
      </c>
      <c r="J95" s="780">
        <v>0.20829189928953451</v>
      </c>
      <c r="K95" s="781">
        <v>0.20829189928953451</v>
      </c>
      <c r="L95" s="780">
        <v>0</v>
      </c>
      <c r="M95" s="330">
        <v>0</v>
      </c>
      <c r="N95" s="330">
        <v>0</v>
      </c>
      <c r="O95" s="330">
        <v>0</v>
      </c>
      <c r="P95" s="331">
        <v>0</v>
      </c>
      <c r="Q95" s="330">
        <v>0</v>
      </c>
      <c r="R95" s="332">
        <v>0</v>
      </c>
      <c r="S95" s="332">
        <v>0</v>
      </c>
      <c r="T95" s="332">
        <v>0</v>
      </c>
      <c r="U95" s="331">
        <v>0.20829189928953451</v>
      </c>
      <c r="V95" s="324"/>
      <c r="W95" s="327"/>
      <c r="X95" s="327"/>
      <c r="Y95" s="327"/>
      <c r="Z95" s="326"/>
      <c r="AA95" s="324"/>
      <c r="AB95" s="327"/>
      <c r="AC95" s="327"/>
      <c r="AD95" s="327"/>
      <c r="AE95" s="326"/>
      <c r="AF95" s="325"/>
      <c r="AG95" s="327"/>
      <c r="AH95" s="327"/>
      <c r="AI95" s="733"/>
      <c r="AJ95" s="734"/>
      <c r="AK95" s="1621" t="s">
        <v>1128</v>
      </c>
    </row>
    <row r="96" spans="2:37" s="321" customFormat="1" ht="15.75" customHeight="1">
      <c r="B96" s="735">
        <v>51</v>
      </c>
      <c r="C96" s="328" t="s">
        <v>1129</v>
      </c>
      <c r="D96" s="328" t="s">
        <v>242</v>
      </c>
      <c r="E96" s="328" t="s">
        <v>242</v>
      </c>
      <c r="F96" s="328" t="s">
        <v>1130</v>
      </c>
      <c r="G96" s="329">
        <v>2015</v>
      </c>
      <c r="H96" s="323"/>
      <c r="I96" s="329">
        <v>99.8</v>
      </c>
      <c r="J96" s="780">
        <v>4.3543850186009188</v>
      </c>
      <c r="K96" s="781">
        <v>4.3543850186009188</v>
      </c>
      <c r="L96" s="780">
        <v>0</v>
      </c>
      <c r="M96" s="330">
        <v>0</v>
      </c>
      <c r="N96" s="330">
        <v>0</v>
      </c>
      <c r="O96" s="330">
        <v>0</v>
      </c>
      <c r="P96" s="331">
        <v>0</v>
      </c>
      <c r="Q96" s="330">
        <v>0</v>
      </c>
      <c r="R96" s="332">
        <v>0</v>
      </c>
      <c r="S96" s="332">
        <v>0</v>
      </c>
      <c r="T96" s="332">
        <v>2.1673200760608062</v>
      </c>
      <c r="U96" s="331">
        <v>2.1870649425401121</v>
      </c>
      <c r="V96" s="324"/>
      <c r="W96" s="327"/>
      <c r="X96" s="327"/>
      <c r="Y96" s="327"/>
      <c r="Z96" s="326"/>
      <c r="AA96" s="324"/>
      <c r="AB96" s="327"/>
      <c r="AC96" s="327"/>
      <c r="AD96" s="327"/>
      <c r="AE96" s="326"/>
      <c r="AF96" s="325"/>
      <c r="AG96" s="327"/>
      <c r="AH96" s="327"/>
      <c r="AI96" s="733"/>
      <c r="AJ96" s="734"/>
      <c r="AK96" s="1621" t="s">
        <v>1131</v>
      </c>
    </row>
    <row r="97" spans="2:37" s="321" customFormat="1" ht="15.75" customHeight="1" thickBot="1">
      <c r="B97" s="735">
        <v>52</v>
      </c>
      <c r="C97" s="328" t="s">
        <v>1132</v>
      </c>
      <c r="D97" s="328" t="s">
        <v>1025</v>
      </c>
      <c r="E97" s="328" t="s">
        <v>1025</v>
      </c>
      <c r="F97" s="328" t="s">
        <v>1029</v>
      </c>
      <c r="G97" s="329">
        <v>2010</v>
      </c>
      <c r="H97" s="329"/>
      <c r="I97" s="329">
        <v>24</v>
      </c>
      <c r="J97" s="780">
        <v>0.52072974822383633</v>
      </c>
      <c r="K97" s="781">
        <v>0.52072974822383633</v>
      </c>
      <c r="L97" s="780">
        <v>0</v>
      </c>
      <c r="M97" s="330">
        <v>0</v>
      </c>
      <c r="N97" s="330">
        <v>0</v>
      </c>
      <c r="O97" s="330">
        <v>0</v>
      </c>
      <c r="P97" s="331">
        <v>0</v>
      </c>
      <c r="Q97" s="330">
        <v>0</v>
      </c>
      <c r="R97" s="332">
        <v>0</v>
      </c>
      <c r="S97" s="332">
        <v>0</v>
      </c>
      <c r="T97" s="332">
        <v>0</v>
      </c>
      <c r="U97" s="331">
        <v>0.52072974822383633</v>
      </c>
      <c r="V97" s="736"/>
      <c r="W97" s="737"/>
      <c r="X97" s="737"/>
      <c r="Y97" s="737"/>
      <c r="Z97" s="738"/>
      <c r="AA97" s="736"/>
      <c r="AB97" s="737"/>
      <c r="AC97" s="737"/>
      <c r="AD97" s="737"/>
      <c r="AE97" s="738"/>
      <c r="AF97" s="325"/>
      <c r="AG97" s="327"/>
      <c r="AH97" s="327"/>
      <c r="AI97" s="733"/>
      <c r="AJ97" s="734"/>
      <c r="AK97" s="1621" t="s">
        <v>1133</v>
      </c>
    </row>
    <row r="98" spans="2:37" s="321" customFormat="1" ht="15.75" customHeight="1">
      <c r="B98" s="735">
        <v>53</v>
      </c>
      <c r="C98" s="328" t="s">
        <v>1134</v>
      </c>
      <c r="D98" s="328" t="s">
        <v>1025</v>
      </c>
      <c r="E98" s="328" t="s">
        <v>1025</v>
      </c>
      <c r="F98" s="328" t="s">
        <v>1029</v>
      </c>
      <c r="G98" s="329">
        <v>2010</v>
      </c>
      <c r="H98" s="323"/>
      <c r="I98" s="329">
        <v>16</v>
      </c>
      <c r="J98" s="780">
        <v>1.0469742479839641</v>
      </c>
      <c r="K98" s="781">
        <v>1.0469742479839641</v>
      </c>
      <c r="L98" s="780">
        <v>0</v>
      </c>
      <c r="M98" s="330">
        <v>0</v>
      </c>
      <c r="N98" s="330">
        <v>0</v>
      </c>
      <c r="O98" s="330">
        <v>0</v>
      </c>
      <c r="P98" s="331">
        <v>0</v>
      </c>
      <c r="Q98" s="330">
        <v>0.5297334860239471</v>
      </c>
      <c r="R98" s="332">
        <v>0.517240761960017</v>
      </c>
      <c r="S98" s="332">
        <v>0</v>
      </c>
      <c r="T98" s="332">
        <v>0</v>
      </c>
      <c r="U98" s="331">
        <v>0</v>
      </c>
      <c r="V98" s="324"/>
      <c r="W98" s="327"/>
      <c r="X98" s="327"/>
      <c r="Y98" s="327"/>
      <c r="Z98" s="326"/>
      <c r="AA98" s="324"/>
      <c r="AB98" s="327"/>
      <c r="AC98" s="327"/>
      <c r="AD98" s="327"/>
      <c r="AE98" s="326"/>
      <c r="AF98" s="325"/>
      <c r="AG98" s="327"/>
      <c r="AH98" s="327"/>
      <c r="AI98" s="733"/>
      <c r="AJ98" s="734"/>
      <c r="AK98" s="1621" t="s">
        <v>1135</v>
      </c>
    </row>
    <row r="99" spans="2:37" s="321" customFormat="1" ht="15.75" customHeight="1">
      <c r="B99" s="735">
        <v>54</v>
      </c>
      <c r="C99" s="328" t="s">
        <v>1136</v>
      </c>
      <c r="D99" s="328" t="s">
        <v>242</v>
      </c>
      <c r="E99" s="328" t="s">
        <v>242</v>
      </c>
      <c r="F99" s="328" t="s">
        <v>1026</v>
      </c>
      <c r="G99" s="329">
        <v>2011</v>
      </c>
      <c r="H99" s="323"/>
      <c r="I99" s="329">
        <v>117</v>
      </c>
      <c r="J99" s="780">
        <v>30.657600688092032</v>
      </c>
      <c r="K99" s="781">
        <v>30.090100688092029</v>
      </c>
      <c r="L99" s="780">
        <v>0</v>
      </c>
      <c r="M99" s="330">
        <v>0</v>
      </c>
      <c r="N99" s="330">
        <v>0</v>
      </c>
      <c r="O99" s="330">
        <v>0</v>
      </c>
      <c r="P99" s="331">
        <v>0.5675</v>
      </c>
      <c r="Q99" s="330">
        <v>1.0594669720478942</v>
      </c>
      <c r="R99" s="332">
        <v>10.03447078202433</v>
      </c>
      <c r="S99" s="332">
        <v>11.978174116299099</v>
      </c>
      <c r="T99" s="332">
        <v>7.0179888177207062</v>
      </c>
      <c r="U99" s="331">
        <v>0</v>
      </c>
      <c r="V99" s="324"/>
      <c r="W99" s="327"/>
      <c r="X99" s="327"/>
      <c r="Y99" s="327"/>
      <c r="Z99" s="326"/>
      <c r="AA99" s="324"/>
      <c r="AB99" s="327"/>
      <c r="AC99" s="327"/>
      <c r="AD99" s="327"/>
      <c r="AE99" s="326"/>
      <c r="AF99" s="325"/>
      <c r="AG99" s="327"/>
      <c r="AH99" s="327"/>
      <c r="AI99" s="733"/>
      <c r="AJ99" s="734"/>
      <c r="AK99" s="1621" t="s">
        <v>1137</v>
      </c>
    </row>
    <row r="100" spans="2:37" s="321" customFormat="1" ht="15.75" customHeight="1">
      <c r="B100" s="735">
        <v>55</v>
      </c>
      <c r="C100" s="328" t="s">
        <v>1138</v>
      </c>
      <c r="D100" s="328" t="s">
        <v>1025</v>
      </c>
      <c r="E100" s="328" t="s">
        <v>1025</v>
      </c>
      <c r="F100" s="328" t="s">
        <v>1026</v>
      </c>
      <c r="G100" s="329">
        <v>2013</v>
      </c>
      <c r="H100" s="323"/>
      <c r="I100" s="329">
        <v>15</v>
      </c>
      <c r="J100" s="780">
        <v>0.72244002535360208</v>
      </c>
      <c r="K100" s="781">
        <v>0.72244002535360208</v>
      </c>
      <c r="L100" s="780">
        <v>0</v>
      </c>
      <c r="M100" s="330">
        <v>0</v>
      </c>
      <c r="N100" s="330">
        <v>0</v>
      </c>
      <c r="O100" s="330">
        <v>0</v>
      </c>
      <c r="P100" s="331">
        <v>0</v>
      </c>
      <c r="Q100" s="330">
        <v>0</v>
      </c>
      <c r="R100" s="332">
        <v>0</v>
      </c>
      <c r="S100" s="332">
        <v>0</v>
      </c>
      <c r="T100" s="332">
        <v>0.72244002535360208</v>
      </c>
      <c r="U100" s="331">
        <v>0</v>
      </c>
      <c r="V100" s="324"/>
      <c r="W100" s="327"/>
      <c r="X100" s="327"/>
      <c r="Y100" s="327"/>
      <c r="Z100" s="326"/>
      <c r="AA100" s="324"/>
      <c r="AB100" s="327"/>
      <c r="AC100" s="327"/>
      <c r="AD100" s="327"/>
      <c r="AE100" s="326"/>
      <c r="AF100" s="325"/>
      <c r="AG100" s="327"/>
      <c r="AH100" s="327"/>
      <c r="AI100" s="733"/>
      <c r="AJ100" s="734"/>
      <c r="AK100" s="1621" t="s">
        <v>1139</v>
      </c>
    </row>
    <row r="101" spans="2:37" s="321" customFormat="1" ht="15.75" customHeight="1">
      <c r="B101" s="735">
        <v>56</v>
      </c>
      <c r="C101" s="328" t="s">
        <v>1140</v>
      </c>
      <c r="D101" s="328" t="s">
        <v>1025</v>
      </c>
      <c r="E101" s="328" t="s">
        <v>1025</v>
      </c>
      <c r="F101" s="328" t="s">
        <v>1026</v>
      </c>
      <c r="G101" s="329">
        <v>2008</v>
      </c>
      <c r="H101" s="323"/>
      <c r="I101" s="329">
        <v>24</v>
      </c>
      <c r="J101" s="780">
        <v>0.63568018322873654</v>
      </c>
      <c r="K101" s="781">
        <v>0.63568018322873654</v>
      </c>
      <c r="L101" s="780">
        <v>0</v>
      </c>
      <c r="M101" s="330">
        <v>0</v>
      </c>
      <c r="N101" s="330">
        <v>0</v>
      </c>
      <c r="O101" s="330">
        <v>0</v>
      </c>
      <c r="P101" s="331">
        <v>0</v>
      </c>
      <c r="Q101" s="330">
        <v>0.63568018322873654</v>
      </c>
      <c r="R101" s="332">
        <v>0</v>
      </c>
      <c r="S101" s="332">
        <v>0</v>
      </c>
      <c r="T101" s="332">
        <v>0</v>
      </c>
      <c r="U101" s="331">
        <v>0</v>
      </c>
      <c r="V101" s="324"/>
      <c r="W101" s="327"/>
      <c r="X101" s="327"/>
      <c r="Y101" s="327"/>
      <c r="Z101" s="326"/>
      <c r="AA101" s="324"/>
      <c r="AB101" s="327"/>
      <c r="AC101" s="327"/>
      <c r="AD101" s="327"/>
      <c r="AE101" s="326"/>
      <c r="AF101" s="325"/>
      <c r="AG101" s="327"/>
      <c r="AH101" s="327"/>
      <c r="AI101" s="733"/>
      <c r="AJ101" s="734"/>
      <c r="AK101" s="1621" t="s">
        <v>1141</v>
      </c>
    </row>
    <row r="102" spans="2:37" s="321" customFormat="1" ht="15.75" customHeight="1">
      <c r="B102" s="735">
        <v>57</v>
      </c>
      <c r="C102" s="328" t="s">
        <v>1142</v>
      </c>
      <c r="D102" s="328" t="s">
        <v>1025</v>
      </c>
      <c r="E102" s="328" t="s">
        <v>1025</v>
      </c>
      <c r="F102" s="328" t="s">
        <v>1143</v>
      </c>
      <c r="G102" s="329">
        <v>2012</v>
      </c>
      <c r="H102" s="323"/>
      <c r="I102" s="329">
        <v>0</v>
      </c>
      <c r="J102" s="780">
        <v>1.239012652737651</v>
      </c>
      <c r="K102" s="781">
        <v>1.239012652737651</v>
      </c>
      <c r="L102" s="780">
        <v>0</v>
      </c>
      <c r="M102" s="330">
        <v>0</v>
      </c>
      <c r="N102" s="330">
        <v>0</v>
      </c>
      <c r="O102" s="330">
        <v>0</v>
      </c>
      <c r="P102" s="331">
        <v>0</v>
      </c>
      <c r="Q102" s="330">
        <v>0</v>
      </c>
      <c r="R102" s="332">
        <v>0</v>
      </c>
      <c r="S102" s="332">
        <v>1.0326012169223362</v>
      </c>
      <c r="T102" s="332">
        <v>0.2064114358153149</v>
      </c>
      <c r="U102" s="331">
        <v>0</v>
      </c>
      <c r="V102" s="324"/>
      <c r="W102" s="327"/>
      <c r="X102" s="327"/>
      <c r="Y102" s="327"/>
      <c r="Z102" s="326"/>
      <c r="AA102" s="324"/>
      <c r="AB102" s="327"/>
      <c r="AC102" s="327"/>
      <c r="AD102" s="327"/>
      <c r="AE102" s="326"/>
      <c r="AF102" s="325"/>
      <c r="AG102" s="327"/>
      <c r="AH102" s="327"/>
      <c r="AI102" s="733"/>
      <c r="AJ102" s="734"/>
      <c r="AK102" s="1621" t="s">
        <v>1144</v>
      </c>
    </row>
    <row r="103" spans="2:37" s="321" customFormat="1" ht="15.75" customHeight="1">
      <c r="B103" s="735">
        <v>58</v>
      </c>
      <c r="C103" s="328" t="s">
        <v>1145</v>
      </c>
      <c r="D103" s="328" t="s">
        <v>1025</v>
      </c>
      <c r="E103" s="328" t="s">
        <v>1025</v>
      </c>
      <c r="F103" s="328" t="s">
        <v>1029</v>
      </c>
      <c r="G103" s="329">
        <v>2010</v>
      </c>
      <c r="H103" s="323"/>
      <c r="I103" s="329">
        <v>24</v>
      </c>
      <c r="J103" s="780">
        <v>1.4473339799891987</v>
      </c>
      <c r="K103" s="781">
        <v>1.4473339799891987</v>
      </c>
      <c r="L103" s="780">
        <v>0</v>
      </c>
      <c r="M103" s="330">
        <v>0</v>
      </c>
      <c r="N103" s="330">
        <v>0</v>
      </c>
      <c r="O103" s="330">
        <v>0</v>
      </c>
      <c r="P103" s="331">
        <v>0</v>
      </c>
      <c r="Q103" s="330">
        <v>0</v>
      </c>
      <c r="R103" s="332">
        <v>0.93103337152803067</v>
      </c>
      <c r="S103" s="332">
        <v>0.5163006084611681</v>
      </c>
      <c r="T103" s="332">
        <v>0</v>
      </c>
      <c r="U103" s="331">
        <v>0</v>
      </c>
      <c r="V103" s="324"/>
      <c r="W103" s="327"/>
      <c r="X103" s="327"/>
      <c r="Y103" s="327"/>
      <c r="Z103" s="326"/>
      <c r="AA103" s="324"/>
      <c r="AB103" s="327"/>
      <c r="AC103" s="327"/>
      <c r="AD103" s="327"/>
      <c r="AE103" s="326"/>
      <c r="AF103" s="325"/>
      <c r="AG103" s="327"/>
      <c r="AH103" s="327"/>
      <c r="AI103" s="733"/>
      <c r="AJ103" s="734"/>
      <c r="AK103" s="1621" t="s">
        <v>1146</v>
      </c>
    </row>
    <row r="104" spans="2:37" s="321" customFormat="1" ht="15.75" customHeight="1">
      <c r="B104" s="735">
        <v>59</v>
      </c>
      <c r="C104" s="328" t="s">
        <v>1147</v>
      </c>
      <c r="D104" s="328" t="s">
        <v>242</v>
      </c>
      <c r="E104" s="328" t="s">
        <v>242</v>
      </c>
      <c r="F104" s="328" t="s">
        <v>1034</v>
      </c>
      <c r="G104" s="329">
        <v>2010</v>
      </c>
      <c r="H104" s="323"/>
      <c r="I104" s="329">
        <v>40</v>
      </c>
      <c r="J104" s="780">
        <v>0.20689630478400683</v>
      </c>
      <c r="K104" s="781">
        <v>0.20689630478400683</v>
      </c>
      <c r="L104" s="780">
        <v>0</v>
      </c>
      <c r="M104" s="330">
        <v>0</v>
      </c>
      <c r="N104" s="330">
        <v>0</v>
      </c>
      <c r="O104" s="330">
        <v>0</v>
      </c>
      <c r="P104" s="331">
        <v>0</v>
      </c>
      <c r="Q104" s="330">
        <v>0</v>
      </c>
      <c r="R104" s="332">
        <v>0.20689630478400683</v>
      </c>
      <c r="S104" s="332">
        <v>0</v>
      </c>
      <c r="T104" s="332">
        <v>0</v>
      </c>
      <c r="U104" s="331">
        <v>0</v>
      </c>
      <c r="V104" s="324"/>
      <c r="W104" s="327"/>
      <c r="X104" s="327"/>
      <c r="Y104" s="327"/>
      <c r="Z104" s="326"/>
      <c r="AA104" s="324"/>
      <c r="AB104" s="327"/>
      <c r="AC104" s="327"/>
      <c r="AD104" s="327"/>
      <c r="AE104" s="326"/>
      <c r="AF104" s="325"/>
      <c r="AG104" s="327"/>
      <c r="AH104" s="327"/>
      <c r="AI104" s="733"/>
      <c r="AJ104" s="734"/>
      <c r="AK104" s="1621" t="s">
        <v>1148</v>
      </c>
    </row>
    <row r="105" spans="2:37" s="321" customFormat="1" ht="15.75" customHeight="1">
      <c r="B105" s="735">
        <v>60</v>
      </c>
      <c r="C105" s="328" t="s">
        <v>1149</v>
      </c>
      <c r="D105" s="328" t="s">
        <v>1025</v>
      </c>
      <c r="E105" s="328" t="s">
        <v>1025</v>
      </c>
      <c r="F105" s="328" t="s">
        <v>1150</v>
      </c>
      <c r="G105" s="329">
        <v>2009</v>
      </c>
      <c r="H105" s="323"/>
      <c r="I105" s="329">
        <v>10</v>
      </c>
      <c r="J105" s="780">
        <v>0.5297334860239471</v>
      </c>
      <c r="K105" s="781">
        <v>0.5297334860239471</v>
      </c>
      <c r="L105" s="780">
        <v>0</v>
      </c>
      <c r="M105" s="330">
        <v>0</v>
      </c>
      <c r="N105" s="330">
        <v>0</v>
      </c>
      <c r="O105" s="330">
        <v>0</v>
      </c>
      <c r="P105" s="331">
        <v>0</v>
      </c>
      <c r="Q105" s="330">
        <v>0.5297334860239471</v>
      </c>
      <c r="R105" s="332">
        <v>0</v>
      </c>
      <c r="S105" s="332">
        <v>0</v>
      </c>
      <c r="T105" s="332">
        <v>0</v>
      </c>
      <c r="U105" s="331">
        <v>0</v>
      </c>
      <c r="V105" s="324"/>
      <c r="W105" s="327"/>
      <c r="X105" s="327"/>
      <c r="Y105" s="327"/>
      <c r="Z105" s="326"/>
      <c r="AA105" s="324"/>
      <c r="AB105" s="327"/>
      <c r="AC105" s="327"/>
      <c r="AD105" s="327"/>
      <c r="AE105" s="326"/>
      <c r="AF105" s="325"/>
      <c r="AG105" s="327"/>
      <c r="AH105" s="327"/>
      <c r="AI105" s="733"/>
      <c r="AJ105" s="734"/>
      <c r="AK105" s="1621" t="s">
        <v>1151</v>
      </c>
    </row>
    <row r="106" spans="2:37" s="321" customFormat="1" ht="15.75" customHeight="1">
      <c r="B106" s="735">
        <v>61</v>
      </c>
      <c r="C106" s="328" t="s">
        <v>1152</v>
      </c>
      <c r="D106" s="328" t="s">
        <v>1025</v>
      </c>
      <c r="E106" s="328" t="s">
        <v>1025</v>
      </c>
      <c r="F106" s="328" t="s">
        <v>1026</v>
      </c>
      <c r="G106" s="329">
        <v>2014</v>
      </c>
      <c r="H106" s="323"/>
      <c r="I106" s="329">
        <v>4</v>
      </c>
      <c r="J106" s="780">
        <v>0.20829189928953451</v>
      </c>
      <c r="K106" s="781">
        <v>0.20829189928953451</v>
      </c>
      <c r="L106" s="780">
        <v>0</v>
      </c>
      <c r="M106" s="330">
        <v>0</v>
      </c>
      <c r="N106" s="330">
        <v>0</v>
      </c>
      <c r="O106" s="330">
        <v>0</v>
      </c>
      <c r="P106" s="331">
        <v>0</v>
      </c>
      <c r="Q106" s="330">
        <v>0</v>
      </c>
      <c r="R106" s="332">
        <v>0</v>
      </c>
      <c r="S106" s="332">
        <v>0</v>
      </c>
      <c r="T106" s="332">
        <v>0</v>
      </c>
      <c r="U106" s="331">
        <v>0.20829189928953451</v>
      </c>
      <c r="V106" s="324"/>
      <c r="W106" s="327"/>
      <c r="X106" s="327"/>
      <c r="Y106" s="327"/>
      <c r="Z106" s="326"/>
      <c r="AA106" s="324"/>
      <c r="AB106" s="327"/>
      <c r="AC106" s="327"/>
      <c r="AD106" s="327"/>
      <c r="AE106" s="326"/>
      <c r="AF106" s="325"/>
      <c r="AG106" s="327"/>
      <c r="AH106" s="327"/>
      <c r="AI106" s="733"/>
      <c r="AJ106" s="734"/>
      <c r="AK106" s="1621" t="s">
        <v>1153</v>
      </c>
    </row>
    <row r="107" spans="2:37" s="321" customFormat="1" ht="15.75" customHeight="1">
      <c r="B107" s="735">
        <v>62</v>
      </c>
      <c r="C107" s="328" t="s">
        <v>1154</v>
      </c>
      <c r="D107" s="328" t="s">
        <v>1025</v>
      </c>
      <c r="E107" s="328" t="s">
        <v>1025</v>
      </c>
      <c r="F107" s="328" t="s">
        <v>1029</v>
      </c>
      <c r="G107" s="329">
        <v>2007</v>
      </c>
      <c r="H107" s="323"/>
      <c r="I107" s="329">
        <v>40</v>
      </c>
      <c r="J107" s="780">
        <v>4.207454218938893</v>
      </c>
      <c r="K107" s="781">
        <v>3.0724542189388933</v>
      </c>
      <c r="L107" s="780">
        <v>0</v>
      </c>
      <c r="M107" s="330">
        <v>0</v>
      </c>
      <c r="N107" s="330">
        <v>0</v>
      </c>
      <c r="O107" s="330">
        <v>0</v>
      </c>
      <c r="P107" s="331">
        <v>1.135</v>
      </c>
      <c r="Q107" s="330">
        <v>3.0724542189388933</v>
      </c>
      <c r="R107" s="332">
        <v>0</v>
      </c>
      <c r="S107" s="332">
        <v>0</v>
      </c>
      <c r="T107" s="332">
        <v>0</v>
      </c>
      <c r="U107" s="331">
        <v>0</v>
      </c>
      <c r="V107" s="324"/>
      <c r="W107" s="327"/>
      <c r="X107" s="327"/>
      <c r="Y107" s="327"/>
      <c r="Z107" s="326"/>
      <c r="AA107" s="324"/>
      <c r="AB107" s="327"/>
      <c r="AC107" s="327"/>
      <c r="AD107" s="327"/>
      <c r="AE107" s="326"/>
      <c r="AF107" s="325"/>
      <c r="AG107" s="327"/>
      <c r="AH107" s="327"/>
      <c r="AI107" s="733"/>
      <c r="AJ107" s="734"/>
      <c r="AK107" s="1621" t="s">
        <v>1155</v>
      </c>
    </row>
    <row r="108" spans="2:37" s="321" customFormat="1" ht="15.75" customHeight="1">
      <c r="B108" s="735">
        <v>63</v>
      </c>
      <c r="C108" s="328" t="s">
        <v>1156</v>
      </c>
      <c r="D108" s="328" t="s">
        <v>1025</v>
      </c>
      <c r="E108" s="328" t="s">
        <v>1025</v>
      </c>
      <c r="F108" s="328" t="s">
        <v>1026</v>
      </c>
      <c r="G108" s="329">
        <v>2014</v>
      </c>
      <c r="H108" s="323"/>
      <c r="I108" s="329">
        <v>24</v>
      </c>
      <c r="J108" s="780">
        <v>1.9787730432505775</v>
      </c>
      <c r="K108" s="781">
        <v>1.9787730432505775</v>
      </c>
      <c r="L108" s="780">
        <v>0</v>
      </c>
      <c r="M108" s="330">
        <v>0</v>
      </c>
      <c r="N108" s="330">
        <v>0</v>
      </c>
      <c r="O108" s="330">
        <v>0</v>
      </c>
      <c r="P108" s="331">
        <v>0</v>
      </c>
      <c r="Q108" s="330">
        <v>0</v>
      </c>
      <c r="R108" s="332">
        <v>0</v>
      </c>
      <c r="S108" s="332">
        <v>0</v>
      </c>
      <c r="T108" s="332">
        <v>0</v>
      </c>
      <c r="U108" s="331">
        <v>1.9787730432505775</v>
      </c>
      <c r="V108" s="324"/>
      <c r="W108" s="327"/>
      <c r="X108" s="327"/>
      <c r="Y108" s="327"/>
      <c r="Z108" s="326"/>
      <c r="AA108" s="324"/>
      <c r="AB108" s="327"/>
      <c r="AC108" s="327"/>
      <c r="AD108" s="327"/>
      <c r="AE108" s="326"/>
      <c r="AF108" s="325"/>
      <c r="AG108" s="327"/>
      <c r="AH108" s="327"/>
      <c r="AI108" s="733"/>
      <c r="AJ108" s="734"/>
      <c r="AK108" s="1621" t="s">
        <v>1157</v>
      </c>
    </row>
    <row r="109" spans="2:37" ht="15.75" customHeight="1">
      <c r="B109" s="735">
        <v>64</v>
      </c>
      <c r="C109" s="328" t="s">
        <v>1158</v>
      </c>
      <c r="D109" s="328" t="s">
        <v>242</v>
      </c>
      <c r="E109" s="328" t="s">
        <v>242</v>
      </c>
      <c r="F109" s="328" t="s">
        <v>1026</v>
      </c>
      <c r="G109" s="329">
        <v>2012</v>
      </c>
      <c r="H109" s="323"/>
      <c r="I109" s="329">
        <v>75</v>
      </c>
      <c r="J109" s="780">
        <v>6.0131983590203149</v>
      </c>
      <c r="K109" s="781">
        <v>6.0131983590203149</v>
      </c>
      <c r="L109" s="780">
        <v>0</v>
      </c>
      <c r="M109" s="330">
        <v>0</v>
      </c>
      <c r="N109" s="330">
        <v>0</v>
      </c>
      <c r="O109" s="330">
        <v>0</v>
      </c>
      <c r="P109" s="331">
        <v>0</v>
      </c>
      <c r="Q109" s="330">
        <v>0</v>
      </c>
      <c r="R109" s="332">
        <v>0</v>
      </c>
      <c r="S109" s="332">
        <v>0</v>
      </c>
      <c r="T109" s="332">
        <v>2.9929658193220656</v>
      </c>
      <c r="U109" s="331">
        <v>3.0202325396982497</v>
      </c>
      <c r="V109" s="324"/>
      <c r="W109" s="327"/>
      <c r="X109" s="327"/>
      <c r="Y109" s="327"/>
      <c r="Z109" s="326"/>
      <c r="AA109" s="324"/>
      <c r="AB109" s="327"/>
      <c r="AC109" s="327"/>
      <c r="AD109" s="327"/>
      <c r="AE109" s="326"/>
      <c r="AF109" s="325"/>
      <c r="AG109" s="327"/>
      <c r="AH109" s="327"/>
      <c r="AI109" s="733"/>
      <c r="AJ109" s="734"/>
      <c r="AK109" s="1621" t="s">
        <v>1159</v>
      </c>
    </row>
    <row r="110" spans="2:37" ht="15.75" customHeight="1">
      <c r="B110" s="735">
        <v>65</v>
      </c>
      <c r="C110" s="328" t="s">
        <v>1160</v>
      </c>
      <c r="D110" s="328" t="s">
        <v>242</v>
      </c>
      <c r="E110" s="328" t="s">
        <v>242</v>
      </c>
      <c r="F110" s="328" t="s">
        <v>1034</v>
      </c>
      <c r="G110" s="329">
        <v>2013</v>
      </c>
      <c r="H110" s="323"/>
      <c r="I110" s="329">
        <v>240</v>
      </c>
      <c r="J110" s="780">
        <v>1.0320571790765745</v>
      </c>
      <c r="K110" s="781">
        <v>1.0320571790765745</v>
      </c>
      <c r="L110" s="780">
        <v>0</v>
      </c>
      <c r="M110" s="330">
        <v>0</v>
      </c>
      <c r="N110" s="330">
        <v>0</v>
      </c>
      <c r="O110" s="330">
        <v>0</v>
      </c>
      <c r="P110" s="331">
        <v>0</v>
      </c>
      <c r="Q110" s="330">
        <v>0</v>
      </c>
      <c r="R110" s="332">
        <v>0</v>
      </c>
      <c r="S110" s="332">
        <v>0</v>
      </c>
      <c r="T110" s="332">
        <v>1.0320571790765745</v>
      </c>
      <c r="U110" s="331">
        <v>0</v>
      </c>
      <c r="V110" s="324"/>
      <c r="W110" s="327"/>
      <c r="X110" s="327"/>
      <c r="Y110" s="327"/>
      <c r="Z110" s="326"/>
      <c r="AA110" s="324"/>
      <c r="AB110" s="327"/>
      <c r="AC110" s="327"/>
      <c r="AD110" s="327"/>
      <c r="AE110" s="326"/>
      <c r="AF110" s="325"/>
      <c r="AG110" s="327"/>
      <c r="AH110" s="327"/>
      <c r="AI110" s="733"/>
      <c r="AJ110" s="734"/>
      <c r="AK110" s="1621" t="s">
        <v>1161</v>
      </c>
    </row>
    <row r="111" spans="2:37" ht="15.75" customHeight="1">
      <c r="B111" s="735">
        <v>66</v>
      </c>
      <c r="C111" s="328" t="s">
        <v>1162</v>
      </c>
      <c r="D111" s="328" t="s">
        <v>1025</v>
      </c>
      <c r="E111" s="328" t="s">
        <v>1025</v>
      </c>
      <c r="F111" s="328" t="s">
        <v>1029</v>
      </c>
      <c r="G111" s="329">
        <v>2013</v>
      </c>
      <c r="H111" s="323"/>
      <c r="I111" s="329">
        <v>24</v>
      </c>
      <c r="J111" s="780">
        <v>3.6127441646137721</v>
      </c>
      <c r="K111" s="781">
        <v>3.6127441646137721</v>
      </c>
      <c r="L111" s="780">
        <v>0</v>
      </c>
      <c r="M111" s="330">
        <v>0</v>
      </c>
      <c r="N111" s="330">
        <v>0</v>
      </c>
      <c r="O111" s="330">
        <v>0</v>
      </c>
      <c r="P111" s="331">
        <v>0</v>
      </c>
      <c r="Q111" s="330">
        <v>0</v>
      </c>
      <c r="R111" s="332">
        <v>0</v>
      </c>
      <c r="S111" s="332">
        <v>1.0326012169223362</v>
      </c>
      <c r="T111" s="332">
        <v>2.5801429476914359</v>
      </c>
      <c r="U111" s="331">
        <v>0</v>
      </c>
      <c r="V111" s="324"/>
      <c r="W111" s="327"/>
      <c r="X111" s="327"/>
      <c r="Y111" s="327"/>
      <c r="Z111" s="326"/>
      <c r="AA111" s="324"/>
      <c r="AB111" s="327"/>
      <c r="AC111" s="327"/>
      <c r="AD111" s="327"/>
      <c r="AE111" s="326"/>
      <c r="AF111" s="325"/>
      <c r="AG111" s="327"/>
      <c r="AH111" s="327"/>
      <c r="AI111" s="733"/>
      <c r="AJ111" s="734"/>
      <c r="AK111" s="1621" t="s">
        <v>1163</v>
      </c>
    </row>
    <row r="112" spans="2:37" ht="15.75" customHeight="1">
      <c r="B112" s="735">
        <v>67</v>
      </c>
      <c r="C112" s="328" t="s">
        <v>1164</v>
      </c>
      <c r="D112" s="328" t="s">
        <v>1025</v>
      </c>
      <c r="E112" s="328" t="s">
        <v>1025</v>
      </c>
      <c r="F112" s="328" t="s">
        <v>1029</v>
      </c>
      <c r="G112" s="329">
        <v>2008</v>
      </c>
      <c r="H112" s="323"/>
      <c r="I112" s="329">
        <v>32</v>
      </c>
      <c r="J112" s="780">
        <v>1.5767077340079112</v>
      </c>
      <c r="K112" s="781">
        <v>1.5767077340079112</v>
      </c>
      <c r="L112" s="780">
        <v>0</v>
      </c>
      <c r="M112" s="330">
        <v>0</v>
      </c>
      <c r="N112" s="330">
        <v>0</v>
      </c>
      <c r="O112" s="330">
        <v>0</v>
      </c>
      <c r="P112" s="331">
        <v>0</v>
      </c>
      <c r="Q112" s="330">
        <v>1.0594669720478942</v>
      </c>
      <c r="R112" s="332">
        <v>0.517240761960017</v>
      </c>
      <c r="S112" s="332">
        <v>0</v>
      </c>
      <c r="T112" s="332">
        <v>0</v>
      </c>
      <c r="U112" s="331">
        <v>0</v>
      </c>
      <c r="V112" s="324"/>
      <c r="W112" s="327"/>
      <c r="X112" s="327"/>
      <c r="Y112" s="327"/>
      <c r="Z112" s="326"/>
      <c r="AA112" s="324"/>
      <c r="AB112" s="327"/>
      <c r="AC112" s="327"/>
      <c r="AD112" s="327"/>
      <c r="AE112" s="326"/>
      <c r="AF112" s="325"/>
      <c r="AG112" s="327"/>
      <c r="AH112" s="327"/>
      <c r="AI112" s="733"/>
      <c r="AJ112" s="734"/>
      <c r="AK112" s="1621" t="s">
        <v>1165</v>
      </c>
    </row>
    <row r="113" spans="2:37" ht="15.75" customHeight="1">
      <c r="B113" s="735">
        <v>68</v>
      </c>
      <c r="C113" s="328" t="s">
        <v>1166</v>
      </c>
      <c r="D113" s="328" t="s">
        <v>242</v>
      </c>
      <c r="E113" s="328" t="s">
        <v>242</v>
      </c>
      <c r="F113" s="328" t="s">
        <v>1034</v>
      </c>
      <c r="G113" s="329">
        <v>2010</v>
      </c>
      <c r="H113" s="323"/>
      <c r="I113" s="329">
        <v>181</v>
      </c>
      <c r="J113" s="780">
        <v>3.5103000996901814</v>
      </c>
      <c r="K113" s="781">
        <v>3.5103000996901814</v>
      </c>
      <c r="L113" s="780">
        <v>0</v>
      </c>
      <c r="M113" s="330">
        <v>0</v>
      </c>
      <c r="N113" s="330">
        <v>0</v>
      </c>
      <c r="O113" s="330">
        <v>0</v>
      </c>
      <c r="P113" s="331">
        <v>0</v>
      </c>
      <c r="Q113" s="330">
        <v>0</v>
      </c>
      <c r="R113" s="332">
        <v>0</v>
      </c>
      <c r="S113" s="332">
        <v>2.478242920613607</v>
      </c>
      <c r="T113" s="332">
        <v>1.0320571790765745</v>
      </c>
      <c r="U113" s="331">
        <v>0</v>
      </c>
      <c r="V113" s="324"/>
      <c r="W113" s="327"/>
      <c r="X113" s="327"/>
      <c r="Y113" s="327"/>
      <c r="Z113" s="326"/>
      <c r="AA113" s="324"/>
      <c r="AB113" s="327"/>
      <c r="AC113" s="327"/>
      <c r="AD113" s="327"/>
      <c r="AE113" s="326"/>
      <c r="AF113" s="325"/>
      <c r="AG113" s="327"/>
      <c r="AH113" s="327"/>
      <c r="AI113" s="733"/>
      <c r="AJ113" s="734"/>
      <c r="AK113" s="1621" t="s">
        <v>1167</v>
      </c>
    </row>
    <row r="114" spans="2:37" ht="15.75" customHeight="1">
      <c r="B114" s="735">
        <v>69</v>
      </c>
      <c r="C114" s="328" t="s">
        <v>1168</v>
      </c>
      <c r="D114" s="328" t="s">
        <v>1025</v>
      </c>
      <c r="E114" s="328" t="s">
        <v>1025</v>
      </c>
      <c r="F114" s="328" t="s">
        <v>1026</v>
      </c>
      <c r="G114" s="329">
        <v>2011</v>
      </c>
      <c r="H114" s="323"/>
      <c r="I114" s="329">
        <v>27</v>
      </c>
      <c r="J114" s="780">
        <v>0.20652024338446728</v>
      </c>
      <c r="K114" s="781">
        <v>0.20652024338446728</v>
      </c>
      <c r="L114" s="780">
        <v>0</v>
      </c>
      <c r="M114" s="330">
        <v>0</v>
      </c>
      <c r="N114" s="330">
        <v>0</v>
      </c>
      <c r="O114" s="330">
        <v>0</v>
      </c>
      <c r="P114" s="331">
        <v>0</v>
      </c>
      <c r="Q114" s="330">
        <v>0</v>
      </c>
      <c r="R114" s="332">
        <v>0</v>
      </c>
      <c r="S114" s="332">
        <v>0.20652024338446728</v>
      </c>
      <c r="T114" s="332">
        <v>0</v>
      </c>
      <c r="U114" s="331">
        <v>0</v>
      </c>
      <c r="V114" s="324"/>
      <c r="W114" s="327"/>
      <c r="X114" s="327"/>
      <c r="Y114" s="327"/>
      <c r="Z114" s="326"/>
      <c r="AA114" s="324"/>
      <c r="AB114" s="327"/>
      <c r="AC114" s="327"/>
      <c r="AD114" s="327"/>
      <c r="AE114" s="326"/>
      <c r="AF114" s="325"/>
      <c r="AG114" s="327"/>
      <c r="AH114" s="327"/>
      <c r="AI114" s="733"/>
      <c r="AJ114" s="734"/>
      <c r="AK114" s="1621" t="s">
        <v>1169</v>
      </c>
    </row>
    <row r="115" spans="2:37" ht="15.75" customHeight="1">
      <c r="B115" s="735">
        <v>70</v>
      </c>
      <c r="C115" s="328">
        <v>0</v>
      </c>
      <c r="D115" s="328">
        <v>0</v>
      </c>
      <c r="E115" s="328">
        <v>0</v>
      </c>
      <c r="F115" s="328">
        <v>0</v>
      </c>
      <c r="G115" s="329">
        <v>0</v>
      </c>
      <c r="H115" s="323"/>
      <c r="I115" s="329">
        <v>0</v>
      </c>
      <c r="J115" s="780">
        <v>0</v>
      </c>
      <c r="K115" s="781">
        <v>0</v>
      </c>
      <c r="L115" s="780">
        <v>0</v>
      </c>
      <c r="M115" s="330">
        <v>0</v>
      </c>
      <c r="N115" s="330">
        <v>0</v>
      </c>
      <c r="O115" s="330">
        <v>0</v>
      </c>
      <c r="P115" s="331">
        <v>0</v>
      </c>
      <c r="Q115" s="330">
        <v>0</v>
      </c>
      <c r="R115" s="332">
        <v>0</v>
      </c>
      <c r="S115" s="332">
        <v>0</v>
      </c>
      <c r="T115" s="332">
        <v>0</v>
      </c>
      <c r="U115" s="331">
        <v>0</v>
      </c>
      <c r="V115" s="324"/>
      <c r="W115" s="327"/>
      <c r="X115" s="327"/>
      <c r="Y115" s="327"/>
      <c r="Z115" s="326"/>
      <c r="AA115" s="324"/>
      <c r="AB115" s="327"/>
      <c r="AC115" s="327"/>
      <c r="AD115" s="327"/>
      <c r="AE115" s="326"/>
      <c r="AF115" s="325"/>
      <c r="AG115" s="327"/>
      <c r="AH115" s="327"/>
      <c r="AI115" s="733"/>
      <c r="AJ115" s="734"/>
      <c r="AK115" s="1621">
        <v>0</v>
      </c>
    </row>
    <row r="116" spans="2:37" s="321" customFormat="1" ht="15.75" customHeight="1" thickBot="1">
      <c r="B116" s="333"/>
      <c r="C116" s="739" t="s">
        <v>245</v>
      </c>
      <c r="D116" s="334"/>
      <c r="E116" s="334"/>
      <c r="F116" s="334"/>
      <c r="G116" s="334"/>
      <c r="H116" s="334"/>
      <c r="I116" s="740">
        <f t="shared" ref="I116:U116" si="9">SUM(I46:I115)</f>
        <v>3262.75</v>
      </c>
      <c r="J116" s="335">
        <f t="shared" si="9"/>
        <v>168.72469062745364</v>
      </c>
      <c r="K116" s="741">
        <f t="shared" si="9"/>
        <v>167.0221906274536</v>
      </c>
      <c r="L116" s="742">
        <f t="shared" si="9"/>
        <v>0</v>
      </c>
      <c r="M116" s="336">
        <f t="shared" si="9"/>
        <v>0</v>
      </c>
      <c r="N116" s="336">
        <f t="shared" si="9"/>
        <v>0</v>
      </c>
      <c r="O116" s="336">
        <f t="shared" si="9"/>
        <v>0</v>
      </c>
      <c r="P116" s="337">
        <f t="shared" si="9"/>
        <v>1.7025000000000001</v>
      </c>
      <c r="Q116" s="338">
        <f t="shared" si="9"/>
        <v>24.261793659896771</v>
      </c>
      <c r="R116" s="336">
        <f t="shared" si="9"/>
        <v>29.999964193680984</v>
      </c>
      <c r="S116" s="997">
        <f t="shared" si="9"/>
        <v>37.276903930896339</v>
      </c>
      <c r="T116" s="997">
        <f t="shared" si="9"/>
        <v>36.741235575126048</v>
      </c>
      <c r="U116" s="337">
        <f t="shared" si="9"/>
        <v>38.742293267853412</v>
      </c>
      <c r="V116" s="998">
        <f>SUM(V46:V115)</f>
        <v>0</v>
      </c>
      <c r="W116" s="998">
        <f t="shared" ref="W116:AH116" si="10">SUM(W46:W115)</f>
        <v>0</v>
      </c>
      <c r="X116" s="998">
        <f t="shared" si="10"/>
        <v>0</v>
      </c>
      <c r="Y116" s="998">
        <f t="shared" si="10"/>
        <v>0</v>
      </c>
      <c r="Z116" s="998">
        <f t="shared" si="10"/>
        <v>0</v>
      </c>
      <c r="AA116" s="998">
        <f t="shared" si="10"/>
        <v>0</v>
      </c>
      <c r="AB116" s="998">
        <f t="shared" si="10"/>
        <v>0</v>
      </c>
      <c r="AC116" s="998">
        <f t="shared" si="10"/>
        <v>0</v>
      </c>
      <c r="AD116" s="998">
        <f t="shared" si="10"/>
        <v>0</v>
      </c>
      <c r="AE116" s="998">
        <f t="shared" si="10"/>
        <v>0</v>
      </c>
      <c r="AF116" s="998">
        <f t="shared" si="10"/>
        <v>0</v>
      </c>
      <c r="AG116" s="998">
        <f t="shared" si="10"/>
        <v>0</v>
      </c>
      <c r="AH116" s="998">
        <f t="shared" si="10"/>
        <v>0</v>
      </c>
      <c r="AI116" s="999"/>
      <c r="AJ116" s="1000"/>
      <c r="AK116" s="1001"/>
    </row>
    <row r="117" spans="2:37" s="321" customFormat="1"/>
    <row r="118" spans="2:37" s="321" customFormat="1"/>
    <row r="119" spans="2:37" s="321" customFormat="1"/>
    <row r="120" spans="2:37" s="321" customFormat="1"/>
    <row r="121" spans="2:37" s="321" customFormat="1"/>
    <row r="122" spans="2:37" s="321" customFormat="1"/>
    <row r="123" spans="2:37" s="321" customFormat="1"/>
    <row r="124" spans="2:37" s="321" customFormat="1"/>
    <row r="125" spans="2:37" s="321" customFormat="1"/>
    <row r="126" spans="2:37" s="321"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342" t="s">
        <v>852</v>
      </c>
      <c r="F1" s="230" t="s">
        <v>1021</v>
      </c>
    </row>
    <row r="2" spans="1:19">
      <c r="A2" s="1342"/>
    </row>
    <row r="3" spans="1:19">
      <c r="A3" s="1342" t="s">
        <v>486</v>
      </c>
    </row>
    <row r="6" spans="1:19">
      <c r="B6" s="1380" t="s">
        <v>487</v>
      </c>
      <c r="C6" s="493"/>
      <c r="D6" s="493"/>
      <c r="E6" s="493"/>
      <c r="F6" s="493"/>
      <c r="G6" s="493"/>
      <c r="H6" s="493"/>
      <c r="I6" s="493"/>
      <c r="J6" s="493"/>
      <c r="K6" s="493"/>
      <c r="L6" s="493"/>
      <c r="M6" s="493"/>
      <c r="N6" s="493"/>
      <c r="O6" s="493"/>
      <c r="P6" s="493"/>
      <c r="Q6" s="493"/>
      <c r="R6" s="493"/>
      <c r="S6" s="493"/>
    </row>
    <row r="7" spans="1:19" ht="13.5" thickBot="1">
      <c r="B7" s="493"/>
      <c r="C7" s="493"/>
      <c r="D7" s="493"/>
      <c r="E7" s="493"/>
      <c r="F7" s="493"/>
      <c r="G7" s="493"/>
      <c r="H7" s="493"/>
      <c r="I7" s="493"/>
      <c r="J7" s="493"/>
      <c r="K7" s="493"/>
      <c r="L7" s="493"/>
      <c r="M7" s="493"/>
      <c r="N7" s="493"/>
      <c r="O7" s="493"/>
      <c r="P7" s="493"/>
      <c r="Q7" s="493"/>
      <c r="R7" s="493"/>
      <c r="S7" s="493"/>
    </row>
    <row r="8" spans="1:19" ht="15" customHeight="1">
      <c r="B8" s="1928"/>
      <c r="C8" s="1929"/>
      <c r="D8" s="1002" t="s">
        <v>488</v>
      </c>
      <c r="E8" s="495"/>
      <c r="F8" s="496"/>
      <c r="G8" s="494" t="s">
        <v>471</v>
      </c>
      <c r="H8" s="495"/>
      <c r="I8" s="496"/>
      <c r="J8" s="493"/>
      <c r="K8" s="493"/>
      <c r="L8" s="493"/>
      <c r="M8" s="493"/>
      <c r="N8" s="493"/>
      <c r="O8" s="493"/>
      <c r="P8" s="493"/>
      <c r="Q8" s="493"/>
      <c r="R8" s="493"/>
      <c r="S8" s="493"/>
    </row>
    <row r="9" spans="1:19" ht="15" customHeight="1">
      <c r="B9" s="1930"/>
      <c r="C9" s="1931"/>
      <c r="D9" s="1003" t="s">
        <v>242</v>
      </c>
      <c r="E9" s="497" t="s">
        <v>244</v>
      </c>
      <c r="F9" s="1337" t="s">
        <v>238</v>
      </c>
      <c r="G9" s="1336" t="s">
        <v>242</v>
      </c>
      <c r="H9" s="497" t="s">
        <v>244</v>
      </c>
      <c r="I9" s="1337" t="s">
        <v>238</v>
      </c>
      <c r="J9" s="493"/>
      <c r="K9" s="493"/>
      <c r="L9" s="493"/>
      <c r="M9" s="493"/>
      <c r="N9" s="493"/>
      <c r="O9" s="493"/>
      <c r="P9" s="493"/>
      <c r="Q9" s="493"/>
      <c r="R9" s="493"/>
      <c r="S9" s="493"/>
    </row>
    <row r="10" spans="1:19" ht="15" customHeight="1">
      <c r="B10" s="1934" t="s">
        <v>720</v>
      </c>
      <c r="C10" s="1935"/>
      <c r="D10" s="339">
        <v>50</v>
      </c>
      <c r="E10" s="340">
        <v>175</v>
      </c>
      <c r="F10" s="341">
        <v>411</v>
      </c>
      <c r="G10" s="339">
        <v>51</v>
      </c>
      <c r="H10" s="340">
        <v>177</v>
      </c>
      <c r="I10" s="341">
        <v>420</v>
      </c>
      <c r="J10" s="493"/>
      <c r="K10" s="493"/>
      <c r="L10" s="493"/>
      <c r="M10" s="493"/>
      <c r="N10" s="493"/>
      <c r="O10" s="493"/>
      <c r="P10" s="493"/>
      <c r="Q10" s="493"/>
      <c r="R10" s="493"/>
      <c r="S10" s="493"/>
    </row>
    <row r="11" spans="1:19" ht="27" customHeight="1">
      <c r="B11" s="1932" t="s">
        <v>458</v>
      </c>
      <c r="C11" s="1933"/>
      <c r="D11" s="342">
        <v>5</v>
      </c>
      <c r="E11" s="343">
        <v>12</v>
      </c>
      <c r="F11" s="344">
        <v>32</v>
      </c>
      <c r="G11" s="342">
        <v>5</v>
      </c>
      <c r="H11" s="343">
        <v>10</v>
      </c>
      <c r="I11" s="344">
        <v>30</v>
      </c>
      <c r="J11" s="493"/>
      <c r="K11" s="493"/>
      <c r="L11" s="493"/>
      <c r="M11" s="493"/>
      <c r="N11" s="493"/>
      <c r="O11" s="493"/>
      <c r="P11" s="493"/>
      <c r="Q11" s="493"/>
      <c r="R11" s="493"/>
      <c r="S11" s="493"/>
    </row>
    <row r="12" spans="1:19" ht="30" customHeight="1" thickBot="1">
      <c r="B12" s="1936" t="s">
        <v>607</v>
      </c>
      <c r="C12" s="1937"/>
      <c r="D12" s="345">
        <v>5</v>
      </c>
      <c r="E12" s="1622">
        <v>12</v>
      </c>
      <c r="F12" s="346">
        <v>32</v>
      </c>
      <c r="G12" s="345">
        <v>5</v>
      </c>
      <c r="H12" s="1622">
        <v>10</v>
      </c>
      <c r="I12" s="346">
        <v>30</v>
      </c>
      <c r="J12" s="493"/>
      <c r="K12" s="493"/>
      <c r="L12" s="493"/>
      <c r="M12" s="493"/>
      <c r="N12" s="493"/>
      <c r="O12" s="493"/>
      <c r="P12" s="493"/>
      <c r="Q12" s="493"/>
      <c r="R12" s="493"/>
      <c r="S12" s="493"/>
    </row>
    <row r="13" spans="1:19">
      <c r="B13" s="493"/>
      <c r="C13" s="493"/>
      <c r="D13" s="493"/>
      <c r="E13" s="493"/>
      <c r="F13" s="493"/>
      <c r="G13" s="493"/>
      <c r="H13" s="493"/>
      <c r="I13" s="493"/>
      <c r="J13" s="493"/>
      <c r="K13" s="493"/>
      <c r="L13" s="493"/>
      <c r="M13" s="493"/>
      <c r="N13" s="493"/>
      <c r="O13" s="493"/>
      <c r="P13" s="493"/>
      <c r="Q13" s="493"/>
      <c r="R13" s="493"/>
      <c r="S13" s="493"/>
    </row>
    <row r="14" spans="1:19">
      <c r="B14" s="1380" t="s">
        <v>608</v>
      </c>
      <c r="C14" s="493"/>
      <c r="D14" s="493"/>
      <c r="E14" s="493"/>
      <c r="F14" s="493"/>
      <c r="G14" s="493"/>
      <c r="H14" s="493"/>
      <c r="I14" s="493"/>
      <c r="J14" s="493"/>
      <c r="K14" s="493"/>
      <c r="L14" s="493"/>
      <c r="M14" s="493"/>
      <c r="N14" s="493"/>
      <c r="O14" s="493"/>
      <c r="P14" s="493"/>
      <c r="Q14" s="493"/>
      <c r="R14" s="493"/>
      <c r="S14" s="493"/>
    </row>
    <row r="15" spans="1:19" ht="13.5" thickBot="1">
      <c r="B15" s="493"/>
      <c r="C15" s="493"/>
      <c r="D15" s="493"/>
      <c r="E15" s="493"/>
      <c r="F15" s="493"/>
      <c r="G15" s="493"/>
      <c r="H15" s="493"/>
      <c r="I15" s="493"/>
      <c r="J15" s="493"/>
      <c r="K15" s="493"/>
      <c r="L15" s="493"/>
      <c r="M15" s="493"/>
      <c r="N15" s="493"/>
      <c r="O15" s="493"/>
      <c r="P15" s="493"/>
      <c r="Q15" s="493"/>
      <c r="R15" s="493"/>
      <c r="S15" s="493"/>
    </row>
    <row r="16" spans="1:19">
      <c r="B16" s="1938" t="s">
        <v>480</v>
      </c>
      <c r="C16" s="1939"/>
      <c r="D16" s="494" t="s">
        <v>116</v>
      </c>
      <c r="E16" s="495"/>
      <c r="F16" s="496"/>
      <c r="G16" s="494" t="s">
        <v>117</v>
      </c>
      <c r="H16" s="495"/>
      <c r="I16" s="496"/>
      <c r="J16" s="493"/>
      <c r="K16" s="493"/>
      <c r="L16" s="493"/>
      <c r="M16" s="493"/>
      <c r="N16" s="493"/>
      <c r="O16" s="493"/>
      <c r="P16" s="493"/>
      <c r="Q16" s="493"/>
      <c r="R16" s="493"/>
      <c r="S16" s="493"/>
    </row>
    <row r="17" spans="2:19">
      <c r="B17" s="1940"/>
      <c r="C17" s="1941"/>
      <c r="D17" s="1336" t="s">
        <v>242</v>
      </c>
      <c r="E17" s="497" t="s">
        <v>244</v>
      </c>
      <c r="F17" s="1337" t="s">
        <v>238</v>
      </c>
      <c r="G17" s="1336" t="s">
        <v>242</v>
      </c>
      <c r="H17" s="497" t="s">
        <v>244</v>
      </c>
      <c r="I17" s="1337" t="s">
        <v>238</v>
      </c>
      <c r="J17" s="493"/>
      <c r="K17" s="493"/>
      <c r="L17" s="493"/>
      <c r="M17" s="493"/>
      <c r="N17" s="493"/>
      <c r="O17" s="493"/>
      <c r="P17" s="493"/>
      <c r="Q17" s="493"/>
      <c r="R17" s="493"/>
      <c r="S17" s="493"/>
    </row>
    <row r="18" spans="2:19" ht="15" customHeight="1">
      <c r="B18" s="1924" t="s">
        <v>481</v>
      </c>
      <c r="C18" s="1925"/>
      <c r="D18" s="342">
        <v>0</v>
      </c>
      <c r="E18" s="343">
        <v>0</v>
      </c>
      <c r="F18" s="347">
        <v>0</v>
      </c>
      <c r="G18" s="342">
        <v>1</v>
      </c>
      <c r="H18" s="343">
        <v>3</v>
      </c>
      <c r="I18" s="347">
        <v>3</v>
      </c>
      <c r="J18" s="493"/>
      <c r="K18" s="493"/>
      <c r="L18" s="493"/>
      <c r="M18" s="493"/>
      <c r="N18" s="493"/>
      <c r="O18" s="493"/>
      <c r="P18" s="493"/>
      <c r="Q18" s="493"/>
      <c r="R18" s="493"/>
      <c r="S18" s="493"/>
    </row>
    <row r="19" spans="2:19" ht="15" customHeight="1">
      <c r="B19" s="1924" t="s">
        <v>645</v>
      </c>
      <c r="C19" s="1925"/>
      <c r="D19" s="342">
        <v>0</v>
      </c>
      <c r="E19" s="343">
        <v>0</v>
      </c>
      <c r="F19" s="347">
        <v>0</v>
      </c>
      <c r="G19" s="342">
        <v>0</v>
      </c>
      <c r="H19" s="343">
        <v>0</v>
      </c>
      <c r="I19" s="347">
        <v>0</v>
      </c>
      <c r="J19" s="493"/>
      <c r="K19" s="493"/>
      <c r="L19" s="493"/>
      <c r="M19" s="493"/>
      <c r="N19" s="493"/>
      <c r="O19" s="493"/>
      <c r="P19" s="493"/>
      <c r="Q19" s="493"/>
      <c r="R19" s="493"/>
      <c r="S19" s="493"/>
    </row>
    <row r="20" spans="2:19" ht="15" customHeight="1" thickBot="1">
      <c r="B20" s="1926" t="s">
        <v>646</v>
      </c>
      <c r="C20" s="1927"/>
      <c r="D20" s="345">
        <v>0</v>
      </c>
      <c r="E20" s="348">
        <v>0</v>
      </c>
      <c r="F20" s="346">
        <v>0</v>
      </c>
      <c r="G20" s="345">
        <v>0</v>
      </c>
      <c r="H20" s="348">
        <v>0</v>
      </c>
      <c r="I20" s="346">
        <v>0</v>
      </c>
      <c r="J20" s="493"/>
      <c r="K20" s="493"/>
      <c r="L20" s="493"/>
      <c r="M20" s="493"/>
      <c r="N20" s="493"/>
      <c r="O20" s="493"/>
      <c r="P20" s="493"/>
      <c r="Q20" s="493"/>
      <c r="R20" s="493"/>
      <c r="S20" s="493"/>
    </row>
    <row r="21" spans="2:19">
      <c r="B21" s="493"/>
      <c r="C21" s="493"/>
      <c r="D21" s="493"/>
      <c r="E21" s="493"/>
      <c r="F21" s="493"/>
      <c r="G21" s="493"/>
      <c r="H21" s="493"/>
      <c r="I21" s="493"/>
      <c r="J21" s="493"/>
      <c r="K21" s="493"/>
      <c r="L21" s="493"/>
      <c r="M21" s="493"/>
      <c r="N21" s="493"/>
      <c r="O21" s="493"/>
      <c r="P21" s="493"/>
      <c r="Q21" s="493"/>
      <c r="R21" s="493"/>
      <c r="S21" s="493"/>
    </row>
    <row r="22" spans="2:19">
      <c r="B22" s="1380" t="s">
        <v>647</v>
      </c>
      <c r="C22" s="493"/>
      <c r="D22" s="493"/>
      <c r="E22" s="493"/>
      <c r="F22" s="493"/>
      <c r="G22" s="493"/>
      <c r="H22" s="493"/>
      <c r="I22" s="493"/>
      <c r="J22" s="493"/>
      <c r="K22" s="493"/>
      <c r="L22" s="493"/>
      <c r="M22" s="493"/>
      <c r="N22" s="493"/>
      <c r="O22" s="493"/>
      <c r="P22" s="493"/>
      <c r="Q22" s="493"/>
      <c r="R22" s="493"/>
      <c r="S22" s="493"/>
    </row>
    <row r="23" spans="2:19" ht="13.5" thickBot="1">
      <c r="B23" s="1380"/>
      <c r="C23" s="493"/>
      <c r="D23" s="493"/>
      <c r="E23" s="493"/>
      <c r="F23" s="493"/>
      <c r="G23" s="493"/>
      <c r="H23" s="493"/>
      <c r="I23" s="493"/>
      <c r="J23" s="493"/>
      <c r="K23" s="493"/>
      <c r="L23" s="493"/>
      <c r="M23" s="493"/>
      <c r="N23" s="493"/>
      <c r="O23" s="493"/>
      <c r="P23" s="493"/>
      <c r="Q23" s="493"/>
      <c r="R23" s="493"/>
      <c r="S23" s="493"/>
    </row>
    <row r="24" spans="2:19">
      <c r="B24" s="1918"/>
      <c r="C24" s="1351" t="s">
        <v>116</v>
      </c>
      <c r="D24" s="1352"/>
      <c r="E24" s="1352"/>
      <c r="F24" s="1352"/>
      <c r="G24" s="498"/>
      <c r="H24" s="1351" t="s">
        <v>117</v>
      </c>
      <c r="I24" s="499"/>
      <c r="J24" s="499"/>
      <c r="K24" s="499"/>
      <c r="L24" s="498"/>
      <c r="M24" s="349"/>
      <c r="N24" s="1353" t="s">
        <v>116</v>
      </c>
      <c r="O24" s="1354"/>
      <c r="P24" s="1355"/>
      <c r="Q24" s="349"/>
      <c r="R24" s="1353" t="s">
        <v>117</v>
      </c>
      <c r="S24" s="1355"/>
    </row>
    <row r="25" spans="2:19">
      <c r="B25" s="1919"/>
      <c r="C25" s="1360" t="s">
        <v>32</v>
      </c>
      <c r="D25" s="1361" t="s">
        <v>33</v>
      </c>
      <c r="E25" s="1361" t="s">
        <v>29</v>
      </c>
      <c r="F25" s="1361" t="s">
        <v>34</v>
      </c>
      <c r="G25" s="1362" t="s">
        <v>35</v>
      </c>
      <c r="H25" s="1360" t="s">
        <v>118</v>
      </c>
      <c r="I25" s="1361" t="s">
        <v>136</v>
      </c>
      <c r="J25" s="1361" t="s">
        <v>137</v>
      </c>
      <c r="K25" s="1361" t="s">
        <v>138</v>
      </c>
      <c r="L25" s="1362" t="s">
        <v>139</v>
      </c>
      <c r="M25" s="349"/>
      <c r="N25" s="1360" t="s">
        <v>126</v>
      </c>
      <c r="O25" s="1361" t="s">
        <v>127</v>
      </c>
      <c r="P25" s="1362" t="s">
        <v>245</v>
      </c>
      <c r="Q25" s="349"/>
      <c r="R25" s="1360" t="s">
        <v>127</v>
      </c>
      <c r="S25" s="1362" t="s">
        <v>128</v>
      </c>
    </row>
    <row r="26" spans="2:19">
      <c r="B26" s="1920"/>
      <c r="C26" s="1564" t="s">
        <v>729</v>
      </c>
      <c r="D26" s="1565" t="s">
        <v>729</v>
      </c>
      <c r="E26" s="1565" t="s">
        <v>729</v>
      </c>
      <c r="F26" s="1565" t="s">
        <v>729</v>
      </c>
      <c r="G26" s="1566" t="s">
        <v>729</v>
      </c>
      <c r="H26" s="1564" t="s">
        <v>729</v>
      </c>
      <c r="I26" s="1565" t="s">
        <v>729</v>
      </c>
      <c r="J26" s="1565" t="s">
        <v>729</v>
      </c>
      <c r="K26" s="1565" t="s">
        <v>729</v>
      </c>
      <c r="L26" s="1566" t="s">
        <v>729</v>
      </c>
      <c r="M26" s="350"/>
      <c r="N26" s="1564" t="s">
        <v>729</v>
      </c>
      <c r="O26" s="1565" t="s">
        <v>729</v>
      </c>
      <c r="P26" s="1566" t="s">
        <v>729</v>
      </c>
      <c r="Q26" s="350"/>
      <c r="R26" s="1564" t="s">
        <v>729</v>
      </c>
      <c r="S26" s="1566" t="s">
        <v>729</v>
      </c>
    </row>
    <row r="27" spans="2:19">
      <c r="B27" s="1623" t="s">
        <v>730</v>
      </c>
      <c r="C27" s="500"/>
      <c r="D27" s="501"/>
      <c r="E27" s="501"/>
      <c r="F27" s="501"/>
      <c r="G27" s="502"/>
      <c r="H27" s="500"/>
      <c r="I27" s="501"/>
      <c r="J27" s="501"/>
      <c r="K27" s="501"/>
      <c r="L27" s="502"/>
      <c r="M27" s="350"/>
      <c r="N27" s="500"/>
      <c r="O27" s="503"/>
      <c r="P27" s="504"/>
      <c r="Q27" s="350"/>
      <c r="R27" s="500"/>
      <c r="S27" s="492"/>
    </row>
    <row r="28" spans="2:19">
      <c r="B28" s="1004" t="s">
        <v>731</v>
      </c>
      <c r="C28" s="280">
        <v>0</v>
      </c>
      <c r="D28" s="281">
        <v>0</v>
      </c>
      <c r="E28" s="281">
        <v>0</v>
      </c>
      <c r="F28" s="281">
        <v>0</v>
      </c>
      <c r="G28" s="282">
        <v>0</v>
      </c>
      <c r="H28" s="280">
        <v>0</v>
      </c>
      <c r="I28" s="283">
        <v>0</v>
      </c>
      <c r="J28" s="283">
        <v>0</v>
      </c>
      <c r="K28" s="283">
        <v>0</v>
      </c>
      <c r="L28" s="282">
        <v>0</v>
      </c>
      <c r="M28" s="349"/>
      <c r="N28" s="505">
        <v>0</v>
      </c>
      <c r="O28" s="506">
        <v>0</v>
      </c>
      <c r="P28" s="507">
        <v>0</v>
      </c>
      <c r="Q28" s="349"/>
      <c r="R28" s="505">
        <v>0</v>
      </c>
      <c r="S28" s="1367" t="s">
        <v>1023</v>
      </c>
    </row>
    <row r="29" spans="2:19">
      <c r="B29" s="1004" t="s">
        <v>238</v>
      </c>
      <c r="C29" s="280">
        <v>0</v>
      </c>
      <c r="D29" s="281">
        <v>0</v>
      </c>
      <c r="E29" s="281">
        <v>0.79757580115990068</v>
      </c>
      <c r="F29" s="281">
        <v>0</v>
      </c>
      <c r="G29" s="282">
        <v>0</v>
      </c>
      <c r="H29" s="280">
        <v>0.5297334860239471</v>
      </c>
      <c r="I29" s="283">
        <v>0</v>
      </c>
      <c r="J29" s="283">
        <v>0</v>
      </c>
      <c r="K29" s="283">
        <v>0.72244002535360208</v>
      </c>
      <c r="L29" s="282">
        <v>0</v>
      </c>
      <c r="M29" s="349"/>
      <c r="N29" s="505">
        <v>0.79757580115990068</v>
      </c>
      <c r="O29" s="506">
        <v>0</v>
      </c>
      <c r="P29" s="507">
        <v>0.79757580115990068</v>
      </c>
      <c r="Q29" s="349"/>
      <c r="R29" s="505">
        <v>1.2521735113775492</v>
      </c>
      <c r="S29" s="1367">
        <v>0.56997430157301021</v>
      </c>
    </row>
    <row r="30" spans="2:19">
      <c r="B30" s="1004" t="s">
        <v>732</v>
      </c>
      <c r="C30" s="280">
        <v>0</v>
      </c>
      <c r="D30" s="281">
        <v>0</v>
      </c>
      <c r="E30" s="281">
        <v>0.79757580115990068</v>
      </c>
      <c r="F30" s="281">
        <v>2.454108931623932</v>
      </c>
      <c r="G30" s="282">
        <v>0.66653071094507021</v>
      </c>
      <c r="H30" s="280">
        <v>3.6021877049628404</v>
      </c>
      <c r="I30" s="283">
        <v>0.72413706674402389</v>
      </c>
      <c r="J30" s="283">
        <v>1.0326012169223362</v>
      </c>
      <c r="K30" s="283">
        <v>1.6512914865225192</v>
      </c>
      <c r="L30" s="282">
        <v>0</v>
      </c>
      <c r="M30" s="349"/>
      <c r="N30" s="505">
        <v>0.79757580115990068</v>
      </c>
      <c r="O30" s="506">
        <v>3.1206396425690022</v>
      </c>
      <c r="P30" s="507">
        <v>3.918215443728903</v>
      </c>
      <c r="Q30" s="349"/>
      <c r="R30" s="505">
        <v>7.0102174751517197</v>
      </c>
      <c r="S30" s="1367">
        <v>0.78913527748239587</v>
      </c>
    </row>
    <row r="31" spans="2:19">
      <c r="B31" s="1004" t="s">
        <v>733</v>
      </c>
      <c r="C31" s="280">
        <v>0</v>
      </c>
      <c r="D31" s="281">
        <v>0</v>
      </c>
      <c r="E31" s="281">
        <v>2.093636478044739</v>
      </c>
      <c r="F31" s="281">
        <v>2.7887601495726493</v>
      </c>
      <c r="G31" s="282">
        <v>4.2213611693187794</v>
      </c>
      <c r="H31" s="280">
        <v>0</v>
      </c>
      <c r="I31" s="283">
        <v>0.517240761960017</v>
      </c>
      <c r="J31" s="283">
        <v>0.5163006084611681</v>
      </c>
      <c r="K31" s="283">
        <v>0</v>
      </c>
      <c r="L31" s="282">
        <v>0</v>
      </c>
      <c r="M31" s="349"/>
      <c r="N31" s="505">
        <v>2.093636478044739</v>
      </c>
      <c r="O31" s="506">
        <v>7.0101213188914286</v>
      </c>
      <c r="P31" s="507">
        <v>9.1037577969361685</v>
      </c>
      <c r="Q31" s="349"/>
      <c r="R31" s="505">
        <v>1.0335413704211851</v>
      </c>
      <c r="S31" s="1367">
        <v>-0.8864709064679841</v>
      </c>
    </row>
    <row r="32" spans="2:19" ht="13.5" thickBot="1">
      <c r="B32" s="1624" t="s">
        <v>734</v>
      </c>
      <c r="C32" s="775">
        <v>0</v>
      </c>
      <c r="D32" s="776">
        <v>0</v>
      </c>
      <c r="E32" s="776">
        <v>3.6887880803645405</v>
      </c>
      <c r="F32" s="776">
        <v>5.2428690811965808</v>
      </c>
      <c r="G32" s="777">
        <v>4.8878918802638491</v>
      </c>
      <c r="H32" s="775">
        <v>4.1319211909867875</v>
      </c>
      <c r="I32" s="778">
        <v>1.2413778287040409</v>
      </c>
      <c r="J32" s="778">
        <v>1.5489018253835043</v>
      </c>
      <c r="K32" s="778">
        <v>2.3737315118761213</v>
      </c>
      <c r="L32" s="777">
        <v>0</v>
      </c>
      <c r="M32" s="351"/>
      <c r="N32" s="775">
        <v>3.6887880803645405</v>
      </c>
      <c r="O32" s="778">
        <v>10.13076096146043</v>
      </c>
      <c r="P32" s="777">
        <v>13.81954904182497</v>
      </c>
      <c r="Q32" s="351"/>
      <c r="R32" s="775">
        <v>9.2959323569504537</v>
      </c>
      <c r="S32" s="1437">
        <v>-0.32733460919627377</v>
      </c>
    </row>
    <row r="33" spans="2:19">
      <c r="B33" s="231"/>
      <c r="C33" s="231"/>
      <c r="D33" s="231"/>
      <c r="E33" s="231"/>
      <c r="F33" s="231"/>
      <c r="G33" s="231"/>
      <c r="H33" s="231"/>
      <c r="I33" s="231"/>
      <c r="J33" s="231"/>
      <c r="K33" s="231"/>
      <c r="L33" s="231"/>
      <c r="M33" s="235"/>
      <c r="N33" s="231"/>
      <c r="O33" s="231"/>
      <c r="P33" s="231"/>
      <c r="Q33" s="235"/>
      <c r="R33" s="231"/>
      <c r="S33" s="231"/>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topLeftCell="A76" workbookViewId="0">
      <selection activeCell="A76" sqref="A1:XFD1048576"/>
    </sheetView>
  </sheetViews>
  <sheetFormatPr defaultRowHeight="14.25"/>
  <cols>
    <col min="1" max="1" width="4.28515625" style="1683" customWidth="1"/>
    <col min="2" max="2" width="45.85546875" style="1685" customWidth="1"/>
    <col min="3" max="3" width="40.28515625" style="1685" customWidth="1"/>
    <col min="4" max="8" width="10.28515625" style="1685" customWidth="1"/>
    <col min="9" max="13" width="10.28515625" style="1686" customWidth="1"/>
    <col min="14" max="14" width="4.140625" style="1686" customWidth="1"/>
    <col min="15" max="17" width="13.7109375" style="1686" customWidth="1"/>
    <col min="18" max="18" width="4.28515625" style="1686" customWidth="1"/>
    <col min="19" max="20" width="11.85546875" style="1686" customWidth="1"/>
    <col min="21" max="23" width="9.140625" style="1686"/>
    <col min="24" max="16384" width="9.140625" style="1685"/>
  </cols>
  <sheetData>
    <row r="1" spans="1:20" s="661" customFormat="1" ht="20.25">
      <c r="A1" s="660" t="s">
        <v>167</v>
      </c>
      <c r="G1" s="660" t="s">
        <v>853</v>
      </c>
    </row>
    <row r="2" spans="1:20" s="661" customFormat="1" ht="20.25">
      <c r="A2" s="662" t="s">
        <v>168</v>
      </c>
      <c r="B2" s="660"/>
    </row>
    <row r="3" spans="1:20" s="664" customFormat="1" ht="21" thickBot="1">
      <c r="A3" s="663" t="s">
        <v>854</v>
      </c>
    </row>
    <row r="4" spans="1:20" s="665" customFormat="1" ht="12.75">
      <c r="A4" s="1625"/>
      <c r="S4" s="349"/>
      <c r="T4" s="349"/>
    </row>
    <row r="5" spans="1:20" s="1005" customFormat="1" ht="12.75">
      <c r="A5" s="1626"/>
      <c r="B5" s="1010" t="s">
        <v>112</v>
      </c>
      <c r="O5" s="1006"/>
      <c r="P5" s="1006"/>
      <c r="Q5" s="1006"/>
      <c r="R5" s="1006"/>
      <c r="S5" s="1006"/>
      <c r="T5" s="1006"/>
    </row>
    <row r="6" spans="1:20" s="1629" customFormat="1" ht="13.5" thickBot="1">
      <c r="A6" s="1627"/>
      <c r="B6" s="1596"/>
      <c r="C6" s="1596"/>
      <c r="D6" s="1596"/>
      <c r="E6" s="1596"/>
      <c r="F6" s="1596"/>
      <c r="G6" s="1596"/>
      <c r="H6" s="1596"/>
      <c r="I6" s="1596"/>
      <c r="J6" s="1596"/>
      <c r="K6" s="1596"/>
      <c r="L6" s="1596"/>
      <c r="M6" s="1596"/>
      <c r="N6" s="1006"/>
      <c r="O6" s="1628"/>
      <c r="P6" s="1628"/>
      <c r="Q6" s="1628"/>
      <c r="R6" s="1006"/>
      <c r="S6" s="1628"/>
      <c r="T6" s="1628"/>
    </row>
    <row r="7" spans="1:20" s="1629" customFormat="1" ht="15" customHeight="1">
      <c r="A7" s="1627"/>
      <c r="B7" s="1942" t="s">
        <v>113</v>
      </c>
      <c r="C7" s="1943"/>
      <c r="D7" s="1630" t="s">
        <v>114</v>
      </c>
      <c r="E7" s="1631"/>
      <c r="F7" s="1631"/>
      <c r="G7" s="1631"/>
      <c r="H7" s="1632"/>
      <c r="I7" s="1630" t="s">
        <v>115</v>
      </c>
      <c r="J7" s="1631"/>
      <c r="K7" s="1631"/>
      <c r="L7" s="1631"/>
      <c r="M7" s="1632"/>
      <c r="N7" s="1006"/>
      <c r="O7" s="1353" t="s">
        <v>116</v>
      </c>
      <c r="P7" s="1354"/>
      <c r="Q7" s="1355"/>
      <c r="R7" s="1006"/>
      <c r="S7" s="1353" t="s">
        <v>117</v>
      </c>
      <c r="T7" s="1355"/>
    </row>
    <row r="8" spans="1:20" s="1629" customFormat="1" ht="15" customHeight="1">
      <c r="A8" s="1627"/>
      <c r="B8" s="1944"/>
      <c r="C8" s="1945"/>
      <c r="D8" s="1633" t="s">
        <v>32</v>
      </c>
      <c r="E8" s="1634" t="s">
        <v>33</v>
      </c>
      <c r="F8" s="1634" t="s">
        <v>29</v>
      </c>
      <c r="G8" s="1634" t="s">
        <v>34</v>
      </c>
      <c r="H8" s="1635" t="s">
        <v>35</v>
      </c>
      <c r="I8" s="1633" t="s">
        <v>118</v>
      </c>
      <c r="J8" s="1634" t="s">
        <v>136</v>
      </c>
      <c r="K8" s="1634" t="s">
        <v>137</v>
      </c>
      <c r="L8" s="1634" t="s">
        <v>138</v>
      </c>
      <c r="M8" s="1635" t="s">
        <v>139</v>
      </c>
      <c r="N8" s="1006"/>
      <c r="O8" s="1360" t="s">
        <v>126</v>
      </c>
      <c r="P8" s="1361" t="s">
        <v>127</v>
      </c>
      <c r="Q8" s="1362" t="s">
        <v>245</v>
      </c>
      <c r="R8" s="1006"/>
      <c r="S8" s="1360" t="s">
        <v>127</v>
      </c>
      <c r="T8" s="1362" t="s">
        <v>128</v>
      </c>
    </row>
    <row r="9" spans="1:20" s="1629" customFormat="1" ht="15" customHeight="1">
      <c r="A9" s="1627"/>
      <c r="B9" s="1946"/>
      <c r="C9" s="1947"/>
      <c r="D9" s="1633" t="s">
        <v>14</v>
      </c>
      <c r="E9" s="1634" t="s">
        <v>14</v>
      </c>
      <c r="F9" s="1634" t="s">
        <v>14</v>
      </c>
      <c r="G9" s="1634" t="s">
        <v>14</v>
      </c>
      <c r="H9" s="1635" t="s">
        <v>14</v>
      </c>
      <c r="I9" s="1636" t="s">
        <v>14</v>
      </c>
      <c r="J9" s="1634" t="s">
        <v>14</v>
      </c>
      <c r="K9" s="1634" t="s">
        <v>14</v>
      </c>
      <c r="L9" s="1634" t="s">
        <v>14</v>
      </c>
      <c r="M9" s="1635" t="s">
        <v>14</v>
      </c>
      <c r="N9" s="1596"/>
      <c r="O9" s="1433"/>
      <c r="P9" s="1434"/>
      <c r="Q9" s="1435"/>
      <c r="R9" s="1006"/>
      <c r="S9" s="1637"/>
      <c r="T9" s="1638"/>
    </row>
    <row r="10" spans="1:20" s="1629" customFormat="1" ht="15" customHeight="1">
      <c r="A10" s="1627"/>
      <c r="B10" s="1953" t="s">
        <v>103</v>
      </c>
      <c r="C10" s="1639" t="s">
        <v>104</v>
      </c>
      <c r="D10" s="748">
        <v>0.29920762142543345</v>
      </c>
      <c r="E10" s="749">
        <v>0.29907656419407114</v>
      </c>
      <c r="F10" s="749">
        <v>1.0976789316002178</v>
      </c>
      <c r="G10" s="749">
        <v>4.0210204957240183</v>
      </c>
      <c r="H10" s="750">
        <v>2.3369847146460714</v>
      </c>
      <c r="I10" s="748">
        <v>1.9103522168597962</v>
      </c>
      <c r="J10" s="749">
        <v>1.8661899290299955</v>
      </c>
      <c r="K10" s="749">
        <v>1.8629502247538514</v>
      </c>
      <c r="L10" s="749">
        <v>1.9658635063471863</v>
      </c>
      <c r="M10" s="750">
        <v>1.983307357938886</v>
      </c>
      <c r="N10" s="352"/>
      <c r="O10" s="505">
        <v>1.6959631172197223</v>
      </c>
      <c r="P10" s="506">
        <v>6.3580052103700897</v>
      </c>
      <c r="Q10" s="507">
        <v>8.0539683275898124</v>
      </c>
      <c r="R10" s="235"/>
      <c r="S10" s="505">
        <v>9.5886632349297152</v>
      </c>
      <c r="T10" s="1367">
        <v>0.19055139589792344</v>
      </c>
    </row>
    <row r="11" spans="1:20" s="1629" customFormat="1" ht="15" customHeight="1">
      <c r="A11" s="1627"/>
      <c r="B11" s="1954"/>
      <c r="C11" s="1640" t="s">
        <v>105</v>
      </c>
      <c r="D11" s="751">
        <v>1.6955098547441227</v>
      </c>
      <c r="E11" s="752">
        <v>2.3926125135525695</v>
      </c>
      <c r="F11" s="752">
        <v>3.5924037761461669</v>
      </c>
      <c r="G11" s="752">
        <v>0.33508504131033484</v>
      </c>
      <c r="H11" s="753">
        <v>0.77899490488202372</v>
      </c>
      <c r="I11" s="751">
        <v>1.2735681445731974</v>
      </c>
      <c r="J11" s="752">
        <v>1.3478038376327743</v>
      </c>
      <c r="K11" s="752">
        <v>1.4489612859196621</v>
      </c>
      <c r="L11" s="752">
        <v>1.6554640053449992</v>
      </c>
      <c r="M11" s="753">
        <v>1.7745381623663716</v>
      </c>
      <c r="N11" s="352"/>
      <c r="O11" s="505">
        <v>7.680526144442859</v>
      </c>
      <c r="P11" s="506">
        <v>1.1140799461923585</v>
      </c>
      <c r="Q11" s="507">
        <v>8.7946060906352184</v>
      </c>
      <c r="R11" s="235"/>
      <c r="S11" s="505">
        <v>7.5003354358370045</v>
      </c>
      <c r="T11" s="1367">
        <v>-0.14716641558015831</v>
      </c>
    </row>
    <row r="12" spans="1:20" s="1629" customFormat="1" ht="15" customHeight="1">
      <c r="A12" s="1627"/>
      <c r="B12" s="1954" t="s">
        <v>106</v>
      </c>
      <c r="C12" s="1640" t="s">
        <v>104</v>
      </c>
      <c r="D12" s="751">
        <v>0</v>
      </c>
      <c r="E12" s="752">
        <v>0</v>
      </c>
      <c r="F12" s="752">
        <v>0</v>
      </c>
      <c r="G12" s="752">
        <v>0</v>
      </c>
      <c r="H12" s="753">
        <v>0</v>
      </c>
      <c r="I12" s="751">
        <v>0</v>
      </c>
      <c r="J12" s="752">
        <v>0</v>
      </c>
      <c r="K12" s="752">
        <v>0</v>
      </c>
      <c r="L12" s="752">
        <v>0</v>
      </c>
      <c r="M12" s="753">
        <v>0</v>
      </c>
      <c r="N12" s="352"/>
      <c r="O12" s="505">
        <v>0</v>
      </c>
      <c r="P12" s="506">
        <v>0</v>
      </c>
      <c r="Q12" s="507">
        <v>0</v>
      </c>
      <c r="R12" s="235"/>
      <c r="S12" s="505">
        <v>0</v>
      </c>
      <c r="T12" s="1367" t="s">
        <v>1023</v>
      </c>
    </row>
    <row r="13" spans="1:20" s="1629" customFormat="1" ht="15" customHeight="1">
      <c r="A13" s="1627"/>
      <c r="B13" s="1954"/>
      <c r="C13" s="1640" t="s">
        <v>105</v>
      </c>
      <c r="D13" s="751">
        <v>0</v>
      </c>
      <c r="E13" s="752">
        <v>0</v>
      </c>
      <c r="F13" s="752">
        <v>0</v>
      </c>
      <c r="G13" s="752">
        <v>0</v>
      </c>
      <c r="H13" s="753">
        <v>0</v>
      </c>
      <c r="I13" s="751">
        <v>0</v>
      </c>
      <c r="J13" s="752">
        <v>0</v>
      </c>
      <c r="K13" s="752">
        <v>0</v>
      </c>
      <c r="L13" s="752">
        <v>0</v>
      </c>
      <c r="M13" s="753">
        <v>0</v>
      </c>
      <c r="N13" s="352"/>
      <c r="O13" s="505">
        <v>0</v>
      </c>
      <c r="P13" s="506">
        <v>0</v>
      </c>
      <c r="Q13" s="507">
        <v>0</v>
      </c>
      <c r="R13" s="235"/>
      <c r="S13" s="505">
        <v>0</v>
      </c>
      <c r="T13" s="1367" t="s">
        <v>1023</v>
      </c>
    </row>
    <row r="14" spans="1:20" s="1629" customFormat="1" ht="15" customHeight="1">
      <c r="A14" s="1627"/>
      <c r="B14" s="1950" t="s">
        <v>842</v>
      </c>
      <c r="C14" s="1640" t="s">
        <v>129</v>
      </c>
      <c r="D14" s="751">
        <v>0.39894349523391126</v>
      </c>
      <c r="E14" s="752">
        <v>0.49846094032345195</v>
      </c>
      <c r="F14" s="752">
        <v>0.69852295647286589</v>
      </c>
      <c r="G14" s="752">
        <v>4.9145806058849111</v>
      </c>
      <c r="H14" s="753">
        <v>4.7852544157038608</v>
      </c>
      <c r="I14" s="751">
        <v>1.2735681445731974</v>
      </c>
      <c r="J14" s="752">
        <v>1.2441266193533302</v>
      </c>
      <c r="K14" s="752">
        <v>1.3454640512111147</v>
      </c>
      <c r="L14" s="752">
        <v>1.3450645043428118</v>
      </c>
      <c r="M14" s="753">
        <v>1.3569997712213433</v>
      </c>
      <c r="N14" s="352"/>
      <c r="O14" s="505">
        <v>1.595927392030229</v>
      </c>
      <c r="P14" s="506">
        <v>9.6998350215887719</v>
      </c>
      <c r="Q14" s="507">
        <v>11.295762413619002</v>
      </c>
      <c r="R14" s="235"/>
      <c r="S14" s="505">
        <v>6.5652230907017977</v>
      </c>
      <c r="T14" s="1367">
        <v>-0.41878884750742618</v>
      </c>
    </row>
    <row r="15" spans="1:20" s="1629" customFormat="1" ht="15" customHeight="1">
      <c r="A15" s="1627"/>
      <c r="B15" s="1950"/>
      <c r="C15" s="1640" t="s">
        <v>130</v>
      </c>
      <c r="D15" s="751">
        <v>1.3963022333186894</v>
      </c>
      <c r="E15" s="752">
        <v>2.4923047016172597</v>
      </c>
      <c r="F15" s="752">
        <v>3.9915597512735186</v>
      </c>
      <c r="G15" s="752">
        <v>0.33508504131033484</v>
      </c>
      <c r="H15" s="753">
        <v>0.77899490488202372</v>
      </c>
      <c r="I15" s="751">
        <v>0.84904542971546504</v>
      </c>
      <c r="J15" s="752">
        <v>0.82941774623555353</v>
      </c>
      <c r="K15" s="752">
        <v>1.2419668165025675</v>
      </c>
      <c r="L15" s="752">
        <v>1.5519975050109367</v>
      </c>
      <c r="M15" s="753">
        <v>1.7745381623663721</v>
      </c>
      <c r="N15" s="352"/>
      <c r="O15" s="505">
        <v>7.8801666862094679</v>
      </c>
      <c r="P15" s="506">
        <v>1.1140799461923585</v>
      </c>
      <c r="Q15" s="507">
        <v>8.9942466324018273</v>
      </c>
      <c r="R15" s="235"/>
      <c r="S15" s="505">
        <v>6.2469656598308951</v>
      </c>
      <c r="T15" s="1367">
        <v>-0.30544870347159886</v>
      </c>
    </row>
    <row r="16" spans="1:20" s="1629" customFormat="1" ht="15" customHeight="1">
      <c r="A16" s="1627"/>
      <c r="B16" s="1950"/>
      <c r="C16" s="1641" t="s">
        <v>223</v>
      </c>
      <c r="D16" s="751">
        <v>0.59841524285086689</v>
      </c>
      <c r="E16" s="752">
        <v>0.89722969258221341</v>
      </c>
      <c r="F16" s="752">
        <v>1.1974679253820557</v>
      </c>
      <c r="G16" s="752">
        <v>0.55847506885055809</v>
      </c>
      <c r="H16" s="753">
        <v>1.1128498641171767</v>
      </c>
      <c r="I16" s="751">
        <v>0.84904542971546504</v>
      </c>
      <c r="J16" s="752">
        <v>0.93309496451499774</v>
      </c>
      <c r="K16" s="752">
        <v>1.034972347085473</v>
      </c>
      <c r="L16" s="752">
        <v>1.1381315036746869</v>
      </c>
      <c r="M16" s="753">
        <v>1.2526151734350861</v>
      </c>
      <c r="N16" s="352"/>
      <c r="O16" s="505">
        <v>2.6931128608151358</v>
      </c>
      <c r="P16" s="506">
        <v>1.6713249329677349</v>
      </c>
      <c r="Q16" s="507">
        <v>4.3644377937828711</v>
      </c>
      <c r="R16" s="235"/>
      <c r="S16" s="505">
        <v>5.2078594184257083</v>
      </c>
      <c r="T16" s="1367">
        <v>0.1932486300627973</v>
      </c>
    </row>
    <row r="17" spans="1:20" s="1629" customFormat="1" ht="15" customHeight="1">
      <c r="A17" s="1627"/>
      <c r="B17" s="1950" t="s">
        <v>238</v>
      </c>
      <c r="C17" s="1640" t="s">
        <v>224</v>
      </c>
      <c r="D17" s="751">
        <v>2.7926044666373793</v>
      </c>
      <c r="E17" s="752">
        <v>2.7913812658113311</v>
      </c>
      <c r="F17" s="752">
        <v>2.7940918258914631</v>
      </c>
      <c r="G17" s="752">
        <v>11.727976445861719</v>
      </c>
      <c r="H17" s="753">
        <v>10.238218749878026</v>
      </c>
      <c r="I17" s="751">
        <v>6.4739714015804211</v>
      </c>
      <c r="J17" s="752">
        <v>5.9096014419283192</v>
      </c>
      <c r="K17" s="752">
        <v>5.588850674261554</v>
      </c>
      <c r="L17" s="752">
        <v>5.276791517037184</v>
      </c>
      <c r="M17" s="753">
        <v>5.2192298893128584</v>
      </c>
      <c r="N17" s="352"/>
      <c r="O17" s="505">
        <v>8.3780775583401734</v>
      </c>
      <c r="P17" s="506">
        <v>21.966195195739743</v>
      </c>
      <c r="Q17" s="507">
        <v>30.34427275407992</v>
      </c>
      <c r="R17" s="235"/>
      <c r="S17" s="505">
        <v>28.468444924120334</v>
      </c>
      <c r="T17" s="1367">
        <v>-6.1818183785847143E-2</v>
      </c>
    </row>
    <row r="18" spans="1:20" s="1629" customFormat="1" ht="15" customHeight="1">
      <c r="A18" s="1627"/>
      <c r="B18" s="1950"/>
      <c r="C18" s="1640" t="s">
        <v>872</v>
      </c>
      <c r="D18" s="751">
        <v>1.4960381071271673</v>
      </c>
      <c r="E18" s="752">
        <v>1.9938437612938078</v>
      </c>
      <c r="F18" s="752">
        <v>3.0934588072369773</v>
      </c>
      <c r="G18" s="752">
        <v>0.55847506885055809</v>
      </c>
      <c r="H18" s="753">
        <v>1.0015648777054591</v>
      </c>
      <c r="I18" s="751">
        <v>1.0613067871443311</v>
      </c>
      <c r="J18" s="752">
        <v>1.1404494010738859</v>
      </c>
      <c r="K18" s="752">
        <v>1.2419668165025675</v>
      </c>
      <c r="L18" s="752">
        <v>1.2415980040087493</v>
      </c>
      <c r="M18" s="753">
        <v>1.4613843690076003</v>
      </c>
      <c r="N18" s="352"/>
      <c r="O18" s="505">
        <v>6.5833406756579524</v>
      </c>
      <c r="P18" s="506">
        <v>1.5600399465560173</v>
      </c>
      <c r="Q18" s="507">
        <v>8.1433806222139697</v>
      </c>
      <c r="R18" s="235"/>
      <c r="S18" s="505">
        <v>6.1467053777371339</v>
      </c>
      <c r="T18" s="1367">
        <v>-0.2451899692653679</v>
      </c>
    </row>
    <row r="19" spans="1:20" s="1629" customFormat="1" ht="15" customHeight="1">
      <c r="A19" s="1627"/>
      <c r="B19" s="1950"/>
      <c r="C19" s="1641" t="s">
        <v>120</v>
      </c>
      <c r="D19" s="751">
        <v>0</v>
      </c>
      <c r="E19" s="752">
        <v>0</v>
      </c>
      <c r="F19" s="752">
        <v>0</v>
      </c>
      <c r="G19" s="752">
        <v>0</v>
      </c>
      <c r="H19" s="753">
        <v>0</v>
      </c>
      <c r="I19" s="751">
        <v>0</v>
      </c>
      <c r="J19" s="752">
        <v>0</v>
      </c>
      <c r="K19" s="752">
        <v>0</v>
      </c>
      <c r="L19" s="752">
        <v>0</v>
      </c>
      <c r="M19" s="753">
        <v>0</v>
      </c>
      <c r="N19" s="352"/>
      <c r="O19" s="505">
        <v>0</v>
      </c>
      <c r="P19" s="506">
        <v>0</v>
      </c>
      <c r="Q19" s="507">
        <v>0</v>
      </c>
      <c r="R19" s="235"/>
      <c r="S19" s="505">
        <v>0</v>
      </c>
      <c r="T19" s="1367" t="s">
        <v>1023</v>
      </c>
    </row>
    <row r="20" spans="1:20" s="1629" customFormat="1" ht="15" customHeight="1">
      <c r="A20" s="1627"/>
      <c r="B20" s="1950"/>
      <c r="C20" s="1641" t="s">
        <v>223</v>
      </c>
      <c r="D20" s="751">
        <v>3.8896990785306347</v>
      </c>
      <c r="E20" s="752">
        <v>6.4799922242048753</v>
      </c>
      <c r="F20" s="752">
        <v>6.5860735896013063</v>
      </c>
      <c r="G20" s="752">
        <v>4.3561055370343524</v>
      </c>
      <c r="H20" s="753">
        <v>6.0093892662327537</v>
      </c>
      <c r="I20" s="751">
        <v>6.8984941164381528</v>
      </c>
      <c r="J20" s="752">
        <v>7.6721141526788701</v>
      </c>
      <c r="K20" s="752">
        <v>8.1762815419752375</v>
      </c>
      <c r="L20" s="752">
        <v>9.105052029397493</v>
      </c>
      <c r="M20" s="753">
        <v>8.350767822900572</v>
      </c>
      <c r="N20" s="352"/>
      <c r="O20" s="505">
        <v>16.955764892336816</v>
      </c>
      <c r="P20" s="506">
        <v>10.365494803267106</v>
      </c>
      <c r="Q20" s="507">
        <v>27.321259695603921</v>
      </c>
      <c r="R20" s="235"/>
      <c r="S20" s="505">
        <v>40.202709663390323</v>
      </c>
      <c r="T20" s="1367">
        <v>0.47148082157643229</v>
      </c>
    </row>
    <row r="21" spans="1:20" s="1629" customFormat="1" ht="15" customHeight="1">
      <c r="A21" s="1627"/>
      <c r="B21" s="1950"/>
      <c r="C21" s="1640" t="s">
        <v>862</v>
      </c>
      <c r="D21" s="751">
        <v>0</v>
      </c>
      <c r="E21" s="752">
        <v>0.89722969258221352</v>
      </c>
      <c r="F21" s="752">
        <v>1.1974679253820557</v>
      </c>
      <c r="G21" s="752">
        <v>0.67017008262066957</v>
      </c>
      <c r="H21" s="753">
        <v>1.7805597825874828</v>
      </c>
      <c r="I21" s="751">
        <v>1.1674374658587645</v>
      </c>
      <c r="J21" s="752">
        <v>1.2441266193533302</v>
      </c>
      <c r="K21" s="752">
        <v>1.3454640512111147</v>
      </c>
      <c r="L21" s="752">
        <v>1.6554640053449992</v>
      </c>
      <c r="M21" s="753">
        <v>1.878922760152629</v>
      </c>
      <c r="N21" s="352"/>
      <c r="O21" s="505">
        <v>2.0946976179642691</v>
      </c>
      <c r="P21" s="506">
        <v>2.4507298652081522</v>
      </c>
      <c r="Q21" s="507">
        <v>4.5454274831724213</v>
      </c>
      <c r="R21" s="235"/>
      <c r="S21" s="505">
        <v>7.2914149019208372</v>
      </c>
      <c r="T21" s="1367">
        <v>0.60412082888007934</v>
      </c>
    </row>
    <row r="22" spans="1:20" s="1629" customFormat="1" ht="15" customHeight="1">
      <c r="A22" s="1627"/>
      <c r="B22" s="1950"/>
      <c r="C22" s="1640" t="s">
        <v>863</v>
      </c>
      <c r="D22" s="751">
        <v>0.89762286427630034</v>
      </c>
      <c r="E22" s="752">
        <v>2.3926125135525695</v>
      </c>
      <c r="F22" s="752">
        <v>2.2951468569822735</v>
      </c>
      <c r="G22" s="752">
        <v>1.5637301927815628</v>
      </c>
      <c r="H22" s="753">
        <v>2.559554687469507</v>
      </c>
      <c r="I22" s="751">
        <v>1.2735681445731974</v>
      </c>
      <c r="J22" s="752">
        <v>1.2441266193533302</v>
      </c>
      <c r="K22" s="752">
        <v>1.2419668165025675</v>
      </c>
      <c r="L22" s="752">
        <v>1.2415980040087495</v>
      </c>
      <c r="M22" s="753">
        <v>1.2526151734350859</v>
      </c>
      <c r="N22" s="352"/>
      <c r="O22" s="505">
        <v>5.5853822348111439</v>
      </c>
      <c r="P22" s="506">
        <v>4.1232848802510702</v>
      </c>
      <c r="Q22" s="507">
        <v>9.7086671150622141</v>
      </c>
      <c r="R22" s="235"/>
      <c r="S22" s="505">
        <v>6.2538747578729303</v>
      </c>
      <c r="T22" s="1367">
        <v>-0.35584620589467447</v>
      </c>
    </row>
    <row r="23" spans="1:20" s="1629" customFormat="1" ht="15" customHeight="1">
      <c r="A23" s="1627"/>
      <c r="B23" s="1950" t="s">
        <v>244</v>
      </c>
      <c r="C23" s="1640" t="s">
        <v>224</v>
      </c>
      <c r="D23" s="751">
        <v>9.9735873808477815E-2</v>
      </c>
      <c r="E23" s="752">
        <v>0.49846094032345195</v>
      </c>
      <c r="F23" s="752">
        <v>0.99788993781837976</v>
      </c>
      <c r="G23" s="752">
        <v>3.4625454268734597</v>
      </c>
      <c r="H23" s="753">
        <v>0.89027989129374141</v>
      </c>
      <c r="I23" s="751">
        <v>2.0164828955742293</v>
      </c>
      <c r="J23" s="752">
        <v>6.4279875333255392</v>
      </c>
      <c r="K23" s="752">
        <v>2.3804363982965873</v>
      </c>
      <c r="L23" s="752">
        <v>12.209047039419369</v>
      </c>
      <c r="M23" s="753">
        <v>7.4113064428242588</v>
      </c>
      <c r="N23" s="352"/>
      <c r="O23" s="505">
        <v>1.5960867519503097</v>
      </c>
      <c r="P23" s="506">
        <v>4.3528253181672012</v>
      </c>
      <c r="Q23" s="507">
        <v>5.9489120701175109</v>
      </c>
      <c r="R23" s="235"/>
      <c r="S23" s="505">
        <v>30.445260309439984</v>
      </c>
      <c r="T23" s="1367">
        <v>4.1177862356332637</v>
      </c>
    </row>
    <row r="24" spans="1:20" s="1629" customFormat="1" ht="15" customHeight="1">
      <c r="A24" s="1627"/>
      <c r="B24" s="1950"/>
      <c r="C24" s="1640" t="s">
        <v>872</v>
      </c>
      <c r="D24" s="751">
        <v>1.4960381071271673</v>
      </c>
      <c r="E24" s="752">
        <v>1.3956906329056653</v>
      </c>
      <c r="F24" s="752">
        <v>1.8959908818549214</v>
      </c>
      <c r="G24" s="752">
        <v>0</v>
      </c>
      <c r="H24" s="753">
        <v>1.1128498641171769</v>
      </c>
      <c r="I24" s="751">
        <v>0</v>
      </c>
      <c r="J24" s="752">
        <v>0</v>
      </c>
      <c r="K24" s="752">
        <v>5.0713645007188175</v>
      </c>
      <c r="L24" s="752">
        <v>3.1039950100218734</v>
      </c>
      <c r="M24" s="753">
        <v>0</v>
      </c>
      <c r="N24" s="352"/>
      <c r="O24" s="505">
        <v>4.7877196218877547</v>
      </c>
      <c r="P24" s="506">
        <v>1.1128498641171769</v>
      </c>
      <c r="Q24" s="507">
        <v>5.9005694860049314</v>
      </c>
      <c r="R24" s="235"/>
      <c r="S24" s="505">
        <v>8.1753595107406909</v>
      </c>
      <c r="T24" s="1367">
        <v>0.38552041970374967</v>
      </c>
    </row>
    <row r="25" spans="1:20" s="1629" customFormat="1" ht="15" customHeight="1">
      <c r="A25" s="1627"/>
      <c r="B25" s="1950"/>
      <c r="C25" s="1640" t="s">
        <v>120</v>
      </c>
      <c r="D25" s="751">
        <v>0</v>
      </c>
      <c r="E25" s="752">
        <v>0</v>
      </c>
      <c r="F25" s="752">
        <v>0</v>
      </c>
      <c r="G25" s="752">
        <v>0</v>
      </c>
      <c r="H25" s="753">
        <v>0</v>
      </c>
      <c r="I25" s="751">
        <v>0</v>
      </c>
      <c r="J25" s="752">
        <v>0</v>
      </c>
      <c r="K25" s="752">
        <v>0</v>
      </c>
      <c r="L25" s="752">
        <v>0</v>
      </c>
      <c r="M25" s="753">
        <v>0</v>
      </c>
      <c r="N25" s="352"/>
      <c r="O25" s="505">
        <v>0</v>
      </c>
      <c r="P25" s="506">
        <v>0</v>
      </c>
      <c r="Q25" s="507">
        <v>0</v>
      </c>
      <c r="R25" s="235"/>
      <c r="S25" s="505">
        <v>0</v>
      </c>
      <c r="T25" s="1367" t="s">
        <v>1023</v>
      </c>
    </row>
    <row r="26" spans="1:20" s="1629" customFormat="1" ht="15" customHeight="1">
      <c r="A26" s="1627"/>
      <c r="B26" s="1950"/>
      <c r="C26" s="1640" t="s">
        <v>223</v>
      </c>
      <c r="D26" s="751">
        <v>0.29920762142543345</v>
      </c>
      <c r="E26" s="752">
        <v>0.89722969258221352</v>
      </c>
      <c r="F26" s="752">
        <v>1.1974679253820557</v>
      </c>
      <c r="G26" s="752">
        <v>1.1169501377011162</v>
      </c>
      <c r="H26" s="753">
        <v>1.0015648777054591</v>
      </c>
      <c r="I26" s="751">
        <v>1.6980908594309299</v>
      </c>
      <c r="J26" s="752">
        <v>2.6956076752655487</v>
      </c>
      <c r="K26" s="752">
        <v>4.8643700313017222</v>
      </c>
      <c r="L26" s="752">
        <v>3.9317270126943726</v>
      </c>
      <c r="M26" s="753">
        <v>6.8893834538929726</v>
      </c>
      <c r="N26" s="352"/>
      <c r="O26" s="505">
        <v>2.3939052393897029</v>
      </c>
      <c r="P26" s="506">
        <v>2.1185150154065751</v>
      </c>
      <c r="Q26" s="507">
        <v>4.5124202547962788</v>
      </c>
      <c r="R26" s="235"/>
      <c r="S26" s="505">
        <v>20.079179032585547</v>
      </c>
      <c r="T26" s="1367">
        <v>3.4497582004342937</v>
      </c>
    </row>
    <row r="27" spans="1:20" s="1629" customFormat="1" ht="15" customHeight="1">
      <c r="A27" s="1627"/>
      <c r="B27" s="1950"/>
      <c r="C27" s="1640" t="s">
        <v>862</v>
      </c>
      <c r="D27" s="751">
        <v>0.19947174761695563</v>
      </c>
      <c r="E27" s="752">
        <v>0.89722969258221352</v>
      </c>
      <c r="F27" s="752">
        <v>0.49894496890918988</v>
      </c>
      <c r="G27" s="752">
        <v>0.67017008262066957</v>
      </c>
      <c r="H27" s="753">
        <v>0.55642493205858834</v>
      </c>
      <c r="I27" s="751">
        <v>0.74291475100103188</v>
      </c>
      <c r="J27" s="752">
        <v>1.8661899290299955</v>
      </c>
      <c r="K27" s="752">
        <v>2.6909281024222294</v>
      </c>
      <c r="L27" s="752">
        <v>2.6901290086856235</v>
      </c>
      <c r="M27" s="753">
        <v>0.73069218450380025</v>
      </c>
      <c r="N27" s="352"/>
      <c r="O27" s="505">
        <v>1.5956464091083589</v>
      </c>
      <c r="P27" s="506">
        <v>1.2265950146792579</v>
      </c>
      <c r="Q27" s="507">
        <v>2.8222414237876166</v>
      </c>
      <c r="R27" s="235"/>
      <c r="S27" s="505">
        <v>8.7208539756426813</v>
      </c>
      <c r="T27" s="1367">
        <v>2.0900453455674866</v>
      </c>
    </row>
    <row r="28" spans="1:20" s="1629" customFormat="1" ht="15" customHeight="1">
      <c r="A28" s="1627"/>
      <c r="B28" s="1950"/>
      <c r="C28" s="1641" t="s">
        <v>863</v>
      </c>
      <c r="D28" s="751">
        <v>0.19947174761695563</v>
      </c>
      <c r="E28" s="752">
        <v>1.4953828209703559</v>
      </c>
      <c r="F28" s="752">
        <v>0.99788993781837976</v>
      </c>
      <c r="G28" s="752">
        <v>2.2339002754022323</v>
      </c>
      <c r="H28" s="753">
        <v>2.2256997282343538</v>
      </c>
      <c r="I28" s="751">
        <v>0.31839203614329936</v>
      </c>
      <c r="J28" s="752">
        <v>0.10367721827944419</v>
      </c>
      <c r="K28" s="752">
        <v>0.2069944694170946</v>
      </c>
      <c r="L28" s="752">
        <v>0.10346650033406245</v>
      </c>
      <c r="M28" s="753">
        <v>0.20876919557251436</v>
      </c>
      <c r="N28" s="352"/>
      <c r="O28" s="505">
        <v>2.6927445064056914</v>
      </c>
      <c r="P28" s="506">
        <v>4.4596000036365862</v>
      </c>
      <c r="Q28" s="507">
        <v>7.152344510042278</v>
      </c>
      <c r="R28" s="235"/>
      <c r="S28" s="505">
        <v>0.94129941974641507</v>
      </c>
      <c r="T28" s="1367">
        <v>-0.86839288593764186</v>
      </c>
    </row>
    <row r="29" spans="1:20" s="1629" customFormat="1" ht="15" customHeight="1">
      <c r="A29" s="1627"/>
      <c r="B29" s="1950" t="s">
        <v>242</v>
      </c>
      <c r="C29" s="1640" t="s">
        <v>224</v>
      </c>
      <c r="D29" s="751">
        <v>0.79788699046782252</v>
      </c>
      <c r="E29" s="752">
        <v>0.89722969258221352</v>
      </c>
      <c r="F29" s="752">
        <v>7.7835415149833613</v>
      </c>
      <c r="G29" s="752">
        <v>8.3771260327583708</v>
      </c>
      <c r="H29" s="753">
        <v>6.8996691575264961</v>
      </c>
      <c r="I29" s="751">
        <v>2.7593976465752608</v>
      </c>
      <c r="J29" s="752">
        <v>0</v>
      </c>
      <c r="K29" s="752">
        <v>0.72448064295983106</v>
      </c>
      <c r="L29" s="752">
        <v>0</v>
      </c>
      <c r="M29" s="753">
        <v>4.3841531070228017</v>
      </c>
      <c r="N29" s="352"/>
      <c r="O29" s="505">
        <v>9.478658198033397</v>
      </c>
      <c r="P29" s="506">
        <v>15.276795190284867</v>
      </c>
      <c r="Q29" s="507">
        <v>24.755453388318266</v>
      </c>
      <c r="R29" s="235"/>
      <c r="S29" s="505">
        <v>7.8680313965578934</v>
      </c>
      <c r="T29" s="1367">
        <v>-0.68216977192303407</v>
      </c>
    </row>
    <row r="30" spans="1:20" s="1629" customFormat="1" ht="15" customHeight="1">
      <c r="A30" s="1627"/>
      <c r="B30" s="1950"/>
      <c r="C30" s="1640" t="s">
        <v>872</v>
      </c>
      <c r="D30" s="751">
        <v>2.9920762142543347</v>
      </c>
      <c r="E30" s="752">
        <v>0.29907656419407114</v>
      </c>
      <c r="F30" s="752">
        <v>0</v>
      </c>
      <c r="G30" s="752">
        <v>0</v>
      </c>
      <c r="H30" s="753">
        <v>0.55642493205858845</v>
      </c>
      <c r="I30" s="751">
        <v>1.2735681445731974</v>
      </c>
      <c r="J30" s="752">
        <v>5.7022470053694292</v>
      </c>
      <c r="K30" s="752">
        <v>6.8308174907641206</v>
      </c>
      <c r="L30" s="752">
        <v>9.8293175317359314</v>
      </c>
      <c r="M30" s="753">
        <v>9.9165367896944296</v>
      </c>
      <c r="N30" s="352"/>
      <c r="O30" s="505">
        <v>3.2911527784484056</v>
      </c>
      <c r="P30" s="506">
        <v>0.55642493205858845</v>
      </c>
      <c r="Q30" s="507">
        <v>3.8475777105069939</v>
      </c>
      <c r="R30" s="235"/>
      <c r="S30" s="505">
        <v>33.55248696213711</v>
      </c>
      <c r="T30" s="1367">
        <v>7.7204182700486408</v>
      </c>
    </row>
    <row r="31" spans="1:20" s="1629" customFormat="1" ht="15" customHeight="1">
      <c r="A31" s="1627"/>
      <c r="B31" s="1950"/>
      <c r="C31" s="1641" t="s">
        <v>873</v>
      </c>
      <c r="D31" s="751">
        <v>0</v>
      </c>
      <c r="E31" s="752">
        <v>0</v>
      </c>
      <c r="F31" s="752">
        <v>0</v>
      </c>
      <c r="G31" s="752">
        <v>0</v>
      </c>
      <c r="H31" s="753">
        <v>0</v>
      </c>
      <c r="I31" s="751">
        <v>0</v>
      </c>
      <c r="J31" s="752">
        <v>0</v>
      </c>
      <c r="K31" s="752">
        <v>0</v>
      </c>
      <c r="L31" s="752">
        <v>0</v>
      </c>
      <c r="M31" s="753">
        <v>0</v>
      </c>
      <c r="N31" s="352"/>
      <c r="O31" s="505">
        <v>0</v>
      </c>
      <c r="P31" s="506">
        <v>0</v>
      </c>
      <c r="Q31" s="507">
        <v>0</v>
      </c>
      <c r="R31" s="235"/>
      <c r="S31" s="505">
        <v>0</v>
      </c>
      <c r="T31" s="1367" t="s">
        <v>1023</v>
      </c>
    </row>
    <row r="32" spans="1:20" s="1629" customFormat="1" ht="15" customHeight="1">
      <c r="A32" s="1627"/>
      <c r="B32" s="1950"/>
      <c r="C32" s="1641" t="s">
        <v>223</v>
      </c>
      <c r="D32" s="751">
        <v>2.8923403404458568</v>
      </c>
      <c r="E32" s="752">
        <v>1.8941515732291172</v>
      </c>
      <c r="F32" s="752">
        <v>0.19957798756367595</v>
      </c>
      <c r="G32" s="752">
        <v>0</v>
      </c>
      <c r="H32" s="753">
        <v>4.6739694292921428</v>
      </c>
      <c r="I32" s="751">
        <v>12.735681445731974</v>
      </c>
      <c r="J32" s="752">
        <v>11.92288010213608</v>
      </c>
      <c r="K32" s="752">
        <v>6.8308174907641206</v>
      </c>
      <c r="L32" s="752">
        <v>3.8282605123603104</v>
      </c>
      <c r="M32" s="753">
        <v>3.8622301180915155</v>
      </c>
      <c r="N32" s="352"/>
      <c r="O32" s="505">
        <v>4.9860699012386496</v>
      </c>
      <c r="P32" s="506">
        <v>4.6739694292921428</v>
      </c>
      <c r="Q32" s="507">
        <v>9.6600393305307932</v>
      </c>
      <c r="R32" s="235"/>
      <c r="S32" s="505">
        <v>39.179869669083999</v>
      </c>
      <c r="T32" s="1367">
        <v>3.0558706158943942</v>
      </c>
    </row>
    <row r="33" spans="1:20" s="1629" customFormat="1" ht="15" customHeight="1">
      <c r="A33" s="1627"/>
      <c r="B33" s="1950"/>
      <c r="C33" s="1641" t="s">
        <v>862</v>
      </c>
      <c r="D33" s="751">
        <v>2.0944533499780342</v>
      </c>
      <c r="E33" s="752">
        <v>0.79753750451752314</v>
      </c>
      <c r="F33" s="752">
        <v>0</v>
      </c>
      <c r="G33" s="752">
        <v>0</v>
      </c>
      <c r="H33" s="753">
        <v>2.1144147418226358</v>
      </c>
      <c r="I33" s="751">
        <v>2.0164828955742293</v>
      </c>
      <c r="J33" s="752">
        <v>2.4882532387066605</v>
      </c>
      <c r="K33" s="752">
        <v>1.9664474594623982</v>
      </c>
      <c r="L33" s="752">
        <v>1.9658635063471863</v>
      </c>
      <c r="M33" s="753">
        <v>0</v>
      </c>
      <c r="N33" s="352"/>
      <c r="O33" s="505">
        <v>2.8919908544955573</v>
      </c>
      <c r="P33" s="506">
        <v>2.1144147418226358</v>
      </c>
      <c r="Q33" s="507">
        <v>5.006405596318193</v>
      </c>
      <c r="R33" s="235"/>
      <c r="S33" s="505">
        <v>8.4370471000904743</v>
      </c>
      <c r="T33" s="1367">
        <v>0.68525041324962588</v>
      </c>
    </row>
    <row r="34" spans="1:20" s="1629" customFormat="1" ht="15" customHeight="1">
      <c r="A34" s="1627"/>
      <c r="B34" s="1950"/>
      <c r="C34" s="1641" t="s">
        <v>863</v>
      </c>
      <c r="D34" s="751">
        <v>0</v>
      </c>
      <c r="E34" s="752">
        <v>0</v>
      </c>
      <c r="F34" s="752">
        <v>0</v>
      </c>
      <c r="G34" s="752">
        <v>0</v>
      </c>
      <c r="H34" s="753">
        <v>0</v>
      </c>
      <c r="I34" s="751">
        <v>0.19526135742886624</v>
      </c>
      <c r="J34" s="752">
        <v>0</v>
      </c>
      <c r="K34" s="752">
        <v>0</v>
      </c>
      <c r="L34" s="752">
        <v>0</v>
      </c>
      <c r="M34" s="753">
        <v>0</v>
      </c>
      <c r="N34" s="352"/>
      <c r="O34" s="505">
        <v>0</v>
      </c>
      <c r="P34" s="506">
        <v>0</v>
      </c>
      <c r="Q34" s="507">
        <v>0</v>
      </c>
      <c r="R34" s="235"/>
      <c r="S34" s="505">
        <v>0.19526135742886624</v>
      </c>
      <c r="T34" s="1367" t="s">
        <v>1023</v>
      </c>
    </row>
    <row r="35" spans="1:20" s="1629" customFormat="1" ht="15" customHeight="1" thickBot="1">
      <c r="A35" s="1627"/>
      <c r="B35" s="1642" t="s">
        <v>874</v>
      </c>
      <c r="C35" s="1643"/>
      <c r="D35" s="1644">
        <v>24.535024956885543</v>
      </c>
      <c r="E35" s="1645">
        <v>30.206732983601189</v>
      </c>
      <c r="F35" s="1645">
        <v>40.115175500298861</v>
      </c>
      <c r="G35" s="1645">
        <v>44.901395535584868</v>
      </c>
      <c r="H35" s="1646">
        <v>51.41366372221357</v>
      </c>
      <c r="I35" s="1644">
        <v>46.786629313065006</v>
      </c>
      <c r="J35" s="1645">
        <v>54.637894033267088</v>
      </c>
      <c r="K35" s="1645">
        <v>56.095501212032637</v>
      </c>
      <c r="L35" s="1645">
        <v>63.838830706116525</v>
      </c>
      <c r="M35" s="1646">
        <v>59.7079899337391</v>
      </c>
      <c r="N35" s="352"/>
      <c r="O35" s="1376">
        <v>94.856933440785596</v>
      </c>
      <c r="P35" s="1377">
        <v>96.315059257798438</v>
      </c>
      <c r="Q35" s="1378">
        <v>191.17199269858406</v>
      </c>
      <c r="R35" s="235"/>
      <c r="S35" s="1376">
        <v>281.06684519822034</v>
      </c>
      <c r="T35" s="1379">
        <v>0.47023024257204432</v>
      </c>
    </row>
    <row r="36" spans="1:20" s="1629" customFormat="1" ht="12.75">
      <c r="A36" s="1627"/>
      <c r="B36" s="1647"/>
      <c r="C36" s="1647"/>
      <c r="D36" s="666"/>
      <c r="E36" s="666"/>
      <c r="F36" s="666"/>
      <c r="G36" s="666"/>
      <c r="H36" s="666"/>
      <c r="I36" s="666"/>
      <c r="J36" s="666"/>
      <c r="K36" s="666"/>
      <c r="L36" s="666"/>
      <c r="M36" s="666"/>
      <c r="N36" s="1596"/>
      <c r="O36" s="1596"/>
      <c r="P36" s="1596"/>
      <c r="Q36" s="1596"/>
    </row>
    <row r="37" spans="1:20" s="1629" customFormat="1" ht="12.75">
      <c r="A37" s="1627"/>
      <c r="B37" s="1596"/>
      <c r="C37" s="1596"/>
      <c r="D37" s="1596"/>
      <c r="E37" s="1596"/>
      <c r="F37" s="1596"/>
      <c r="G37" s="1596"/>
      <c r="H37" s="1596"/>
      <c r="I37" s="1596"/>
      <c r="J37" s="1596"/>
      <c r="K37" s="1596"/>
      <c r="L37" s="1596"/>
      <c r="M37" s="1596"/>
      <c r="N37" s="1596"/>
      <c r="O37" s="1596"/>
      <c r="P37" s="1596"/>
      <c r="Q37" s="1596"/>
    </row>
    <row r="38" spans="1:20" s="1629" customFormat="1" ht="15" customHeight="1">
      <c r="A38" s="1627"/>
      <c r="B38" s="1010" t="s">
        <v>878</v>
      </c>
      <c r="C38" s="1596"/>
      <c r="D38" s="1596"/>
      <c r="E38" s="1596"/>
      <c r="F38" s="1596"/>
      <c r="G38" s="1596"/>
      <c r="H38" s="1596"/>
      <c r="I38" s="1596"/>
      <c r="J38" s="1596"/>
      <c r="K38" s="1596"/>
      <c r="L38" s="1596"/>
      <c r="M38" s="1596"/>
      <c r="O38" s="1596"/>
      <c r="P38" s="1596"/>
      <c r="Q38" s="1596"/>
    </row>
    <row r="39" spans="1:20" s="1629" customFormat="1" ht="13.5" thickBot="1">
      <c r="A39" s="1627"/>
      <c r="B39" s="1596"/>
      <c r="C39" s="1596"/>
      <c r="D39" s="1596"/>
      <c r="E39" s="1596"/>
      <c r="F39" s="1596"/>
      <c r="G39" s="1596"/>
      <c r="H39" s="1596"/>
      <c r="I39" s="1596"/>
      <c r="J39" s="1596"/>
      <c r="K39" s="1596"/>
      <c r="L39" s="1596"/>
      <c r="M39" s="1596"/>
      <c r="N39" s="1006"/>
      <c r="O39" s="1596"/>
      <c r="P39" s="1596"/>
      <c r="Q39" s="1596"/>
    </row>
    <row r="40" spans="1:20" s="1629" customFormat="1" ht="15" customHeight="1">
      <c r="A40" s="1627"/>
      <c r="B40" s="1942" t="s">
        <v>113</v>
      </c>
      <c r="C40" s="1943"/>
      <c r="D40" s="1631" t="s">
        <v>114</v>
      </c>
      <c r="E40" s="1631"/>
      <c r="F40" s="1631"/>
      <c r="G40" s="1631"/>
      <c r="H40" s="1632"/>
      <c r="I40" s="1630" t="s">
        <v>115</v>
      </c>
      <c r="J40" s="1631"/>
      <c r="K40" s="1631"/>
      <c r="L40" s="1631"/>
      <c r="M40" s="1632"/>
      <c r="N40" s="1006"/>
      <c r="O40" s="1353" t="s">
        <v>116</v>
      </c>
      <c r="P40" s="1354"/>
      <c r="Q40" s="1355"/>
      <c r="R40" s="1006"/>
      <c r="S40" s="1353" t="s">
        <v>117</v>
      </c>
      <c r="T40" s="1355"/>
    </row>
    <row r="41" spans="1:20" s="1629" customFormat="1" ht="15" customHeight="1">
      <c r="A41" s="1627"/>
      <c r="B41" s="1944"/>
      <c r="C41" s="1945"/>
      <c r="D41" s="1636" t="s">
        <v>32</v>
      </c>
      <c r="E41" s="1634" t="s">
        <v>33</v>
      </c>
      <c r="F41" s="1634" t="s">
        <v>29</v>
      </c>
      <c r="G41" s="1634" t="s">
        <v>34</v>
      </c>
      <c r="H41" s="1635" t="s">
        <v>35</v>
      </c>
      <c r="I41" s="1633" t="s">
        <v>118</v>
      </c>
      <c r="J41" s="1634" t="s">
        <v>136</v>
      </c>
      <c r="K41" s="1634" t="s">
        <v>137</v>
      </c>
      <c r="L41" s="1634" t="s">
        <v>138</v>
      </c>
      <c r="M41" s="1635" t="s">
        <v>139</v>
      </c>
      <c r="N41" s="1006"/>
      <c r="O41" s="1360" t="s">
        <v>126</v>
      </c>
      <c r="P41" s="1361" t="s">
        <v>127</v>
      </c>
      <c r="Q41" s="1362" t="s">
        <v>245</v>
      </c>
      <c r="R41" s="1006"/>
      <c r="S41" s="1360" t="s">
        <v>127</v>
      </c>
      <c r="T41" s="1362" t="s">
        <v>128</v>
      </c>
    </row>
    <row r="42" spans="1:20" s="1629" customFormat="1" ht="15" customHeight="1">
      <c r="A42" s="1627"/>
      <c r="B42" s="1946"/>
      <c r="C42" s="1947"/>
      <c r="D42" s="1636" t="s">
        <v>14</v>
      </c>
      <c r="E42" s="1634" t="s">
        <v>14</v>
      </c>
      <c r="F42" s="1634" t="s">
        <v>14</v>
      </c>
      <c r="G42" s="1634" t="s">
        <v>14</v>
      </c>
      <c r="H42" s="1635" t="s">
        <v>14</v>
      </c>
      <c r="I42" s="1636" t="s">
        <v>14</v>
      </c>
      <c r="J42" s="1634" t="s">
        <v>14</v>
      </c>
      <c r="K42" s="1634" t="s">
        <v>14</v>
      </c>
      <c r="L42" s="1634" t="s">
        <v>14</v>
      </c>
      <c r="M42" s="1635" t="s">
        <v>14</v>
      </c>
      <c r="N42" s="1596"/>
      <c r="O42" s="1433"/>
      <c r="P42" s="1434"/>
      <c r="Q42" s="1435"/>
      <c r="R42" s="1006"/>
      <c r="S42" s="1637"/>
      <c r="T42" s="1638"/>
    </row>
    <row r="43" spans="1:20" s="1629" customFormat="1" ht="15" customHeight="1">
      <c r="A43" s="1627"/>
      <c r="B43" s="1953" t="s">
        <v>103</v>
      </c>
      <c r="C43" s="1639" t="s">
        <v>104</v>
      </c>
      <c r="D43" s="754">
        <v>0.29920762142543345</v>
      </c>
      <c r="E43" s="754">
        <v>0.29907656419407114</v>
      </c>
      <c r="F43" s="754">
        <v>1.0976789316002178</v>
      </c>
      <c r="G43" s="754">
        <v>4.0210204957240183</v>
      </c>
      <c r="H43" s="755">
        <v>2.3369847146460714</v>
      </c>
      <c r="I43" s="756">
        <v>1.9103522168597962</v>
      </c>
      <c r="J43" s="757">
        <v>1.8661899290299955</v>
      </c>
      <c r="K43" s="757">
        <v>1.8629502247538514</v>
      </c>
      <c r="L43" s="757">
        <v>1.9658635063471863</v>
      </c>
      <c r="M43" s="758">
        <v>1.983307357938886</v>
      </c>
      <c r="N43" s="352"/>
      <c r="O43" s="505">
        <v>1.6959631172197223</v>
      </c>
      <c r="P43" s="506">
        <v>6.3580052103700897</v>
      </c>
      <c r="Q43" s="507">
        <v>8.0539683275898124</v>
      </c>
      <c r="R43" s="235"/>
      <c r="S43" s="505">
        <v>9.5886632349297152</v>
      </c>
      <c r="T43" s="1367">
        <v>0.19055139589792344</v>
      </c>
    </row>
    <row r="44" spans="1:20" s="1629" customFormat="1" ht="15" customHeight="1">
      <c r="A44" s="1627"/>
      <c r="B44" s="1954"/>
      <c r="C44" s="1640" t="s">
        <v>105</v>
      </c>
      <c r="D44" s="759">
        <v>1.6955098547441227</v>
      </c>
      <c r="E44" s="759">
        <v>2.2929203254878789</v>
      </c>
      <c r="F44" s="759">
        <v>3.492614782364329</v>
      </c>
      <c r="G44" s="759">
        <v>0.22339002754022322</v>
      </c>
      <c r="H44" s="760">
        <v>0.66770991847030603</v>
      </c>
      <c r="I44" s="761">
        <v>1.2735681445731974</v>
      </c>
      <c r="J44" s="762">
        <v>1.3478038376327743</v>
      </c>
      <c r="K44" s="762">
        <v>1.4489612859196621</v>
      </c>
      <c r="L44" s="762">
        <v>1.6554640053449992</v>
      </c>
      <c r="M44" s="763">
        <v>1.7745381623663716</v>
      </c>
      <c r="N44" s="352"/>
      <c r="O44" s="505">
        <v>7.4810449625963304</v>
      </c>
      <c r="P44" s="506">
        <v>0.89109994601052922</v>
      </c>
      <c r="Q44" s="507">
        <v>8.3721449086068596</v>
      </c>
      <c r="R44" s="235"/>
      <c r="S44" s="505">
        <v>7.5003354358370045</v>
      </c>
      <c r="T44" s="1367">
        <v>-0.10413215278603268</v>
      </c>
    </row>
    <row r="45" spans="1:20" s="1629" customFormat="1" ht="15" customHeight="1">
      <c r="A45" s="1627"/>
      <c r="B45" s="1954" t="s">
        <v>106</v>
      </c>
      <c r="C45" s="1640" t="s">
        <v>104</v>
      </c>
      <c r="D45" s="759">
        <v>0</v>
      </c>
      <c r="E45" s="759">
        <v>0</v>
      </c>
      <c r="F45" s="759">
        <v>0</v>
      </c>
      <c r="G45" s="759">
        <v>0</v>
      </c>
      <c r="H45" s="760">
        <v>0</v>
      </c>
      <c r="I45" s="761">
        <v>0</v>
      </c>
      <c r="J45" s="762">
        <v>0</v>
      </c>
      <c r="K45" s="762">
        <v>0</v>
      </c>
      <c r="L45" s="762">
        <v>0</v>
      </c>
      <c r="M45" s="763">
        <v>0</v>
      </c>
      <c r="N45" s="352"/>
      <c r="O45" s="505">
        <v>0</v>
      </c>
      <c r="P45" s="506">
        <v>0</v>
      </c>
      <c r="Q45" s="507">
        <v>0</v>
      </c>
      <c r="R45" s="235"/>
      <c r="S45" s="505">
        <v>0</v>
      </c>
      <c r="T45" s="1367" t="s">
        <v>1023</v>
      </c>
    </row>
    <row r="46" spans="1:20" s="1629" customFormat="1" ht="15" customHeight="1">
      <c r="A46" s="1627"/>
      <c r="B46" s="1954"/>
      <c r="C46" s="1640" t="s">
        <v>105</v>
      </c>
      <c r="D46" s="759">
        <v>0</v>
      </c>
      <c r="E46" s="762">
        <v>0</v>
      </c>
      <c r="F46" s="762">
        <v>0</v>
      </c>
      <c r="G46" s="762">
        <v>0</v>
      </c>
      <c r="H46" s="763">
        <v>0</v>
      </c>
      <c r="I46" s="761">
        <v>0</v>
      </c>
      <c r="J46" s="762">
        <v>0</v>
      </c>
      <c r="K46" s="762">
        <v>0</v>
      </c>
      <c r="L46" s="762">
        <v>0</v>
      </c>
      <c r="M46" s="763">
        <v>0</v>
      </c>
      <c r="N46" s="352"/>
      <c r="O46" s="505">
        <v>0</v>
      </c>
      <c r="P46" s="506">
        <v>0</v>
      </c>
      <c r="Q46" s="507">
        <v>0</v>
      </c>
      <c r="R46" s="235"/>
      <c r="S46" s="505">
        <v>0</v>
      </c>
      <c r="T46" s="1367" t="s">
        <v>1023</v>
      </c>
    </row>
    <row r="47" spans="1:20" s="1629" customFormat="1" ht="15" customHeight="1">
      <c r="A47" s="1627"/>
      <c r="B47" s="1950" t="s">
        <v>842</v>
      </c>
      <c r="C47" s="1640" t="s">
        <v>129</v>
      </c>
      <c r="D47" s="764">
        <v>0.39894349523391126</v>
      </c>
      <c r="E47" s="765">
        <v>0.49846094032345195</v>
      </c>
      <c r="F47" s="765">
        <v>0.69852295647286589</v>
      </c>
      <c r="G47" s="765">
        <v>4.9145806058849111</v>
      </c>
      <c r="H47" s="766">
        <v>4.7852544157038608</v>
      </c>
      <c r="I47" s="767">
        <v>1.2735681445731974</v>
      </c>
      <c r="J47" s="765">
        <v>1.2441266193533302</v>
      </c>
      <c r="K47" s="765">
        <v>1.3454640512111147</v>
      </c>
      <c r="L47" s="765">
        <v>1.3450645043428118</v>
      </c>
      <c r="M47" s="766">
        <v>1.3569997712213433</v>
      </c>
      <c r="N47" s="352"/>
      <c r="O47" s="505">
        <v>1.595927392030229</v>
      </c>
      <c r="P47" s="506">
        <v>9.6998350215887719</v>
      </c>
      <c r="Q47" s="507">
        <v>11.295762413619002</v>
      </c>
      <c r="R47" s="235"/>
      <c r="S47" s="505">
        <v>6.5652230907017977</v>
      </c>
      <c r="T47" s="1367">
        <v>-0.41878884750742618</v>
      </c>
    </row>
    <row r="48" spans="1:20" s="1629" customFormat="1" ht="15" customHeight="1">
      <c r="A48" s="1627"/>
      <c r="B48" s="1950"/>
      <c r="C48" s="1640" t="s">
        <v>130</v>
      </c>
      <c r="D48" s="759">
        <v>1.3963022333186894</v>
      </c>
      <c r="E48" s="762">
        <v>2.3926125135525691</v>
      </c>
      <c r="F48" s="762">
        <v>3.8917707574916807</v>
      </c>
      <c r="G48" s="762">
        <v>0.22339002754022322</v>
      </c>
      <c r="H48" s="763">
        <v>0.66770991847030603</v>
      </c>
      <c r="I48" s="761">
        <v>0.84904542971546504</v>
      </c>
      <c r="J48" s="762">
        <v>0.82941774623555353</v>
      </c>
      <c r="K48" s="762">
        <v>1.1384695817940202</v>
      </c>
      <c r="L48" s="762">
        <v>1.4485310046768742</v>
      </c>
      <c r="M48" s="763">
        <v>1.6701535645801149</v>
      </c>
      <c r="N48" s="1648"/>
      <c r="O48" s="505">
        <v>7.6806855043629394</v>
      </c>
      <c r="P48" s="506">
        <v>0.89109994601052922</v>
      </c>
      <c r="Q48" s="507">
        <v>8.5717854503734685</v>
      </c>
      <c r="R48" s="235"/>
      <c r="S48" s="505">
        <v>5.9356173270020278</v>
      </c>
      <c r="T48" s="1367">
        <v>-0.30754014302312993</v>
      </c>
    </row>
    <row r="49" spans="1:20" s="1629" customFormat="1" ht="15" customHeight="1">
      <c r="A49" s="1627"/>
      <c r="B49" s="1950"/>
      <c r="C49" s="1641" t="s">
        <v>223</v>
      </c>
      <c r="D49" s="759">
        <v>0.19947174761695563</v>
      </c>
      <c r="E49" s="762">
        <v>0.29907656419407114</v>
      </c>
      <c r="F49" s="762">
        <v>0.3991559751273519</v>
      </c>
      <c r="G49" s="762">
        <v>0.11169501377011161</v>
      </c>
      <c r="H49" s="763">
        <v>0.66770991847030603</v>
      </c>
      <c r="I49" s="761">
        <v>0.42452271485773252</v>
      </c>
      <c r="J49" s="762">
        <v>0.51838609139722092</v>
      </c>
      <c r="K49" s="762">
        <v>0.62098340825128373</v>
      </c>
      <c r="L49" s="762">
        <v>0.72426550233843712</v>
      </c>
      <c r="M49" s="763">
        <v>0.83507678229005744</v>
      </c>
      <c r="N49" s="1648"/>
      <c r="O49" s="505">
        <v>0.89770428693837867</v>
      </c>
      <c r="P49" s="506">
        <v>0.77940493224041762</v>
      </c>
      <c r="Q49" s="507">
        <v>1.6771092191787962</v>
      </c>
      <c r="R49" s="235"/>
      <c r="S49" s="505">
        <v>3.1232344991347318</v>
      </c>
      <c r="T49" s="1367">
        <v>0.86227257200579766</v>
      </c>
    </row>
    <row r="50" spans="1:20" s="1629" customFormat="1" ht="15" customHeight="1">
      <c r="A50" s="1627"/>
      <c r="B50" s="1950" t="s">
        <v>238</v>
      </c>
      <c r="C50" s="1640" t="s">
        <v>224</v>
      </c>
      <c r="D50" s="764">
        <v>2.6928685928289013</v>
      </c>
      <c r="E50" s="765">
        <v>2.6916890777466405</v>
      </c>
      <c r="F50" s="765">
        <v>2.6943028321096252</v>
      </c>
      <c r="G50" s="765">
        <v>11.616281432091608</v>
      </c>
      <c r="H50" s="766">
        <v>10.126933763466308</v>
      </c>
      <c r="I50" s="767">
        <v>6.3678407228659877</v>
      </c>
      <c r="J50" s="765">
        <v>5.8059242236488746</v>
      </c>
      <c r="K50" s="765">
        <v>5.4853534395530064</v>
      </c>
      <c r="L50" s="765">
        <v>5.1733250167031217</v>
      </c>
      <c r="M50" s="766">
        <v>5.1148452915266009</v>
      </c>
      <c r="N50" s="352"/>
      <c r="O50" s="505">
        <v>8.078860502685167</v>
      </c>
      <c r="P50" s="506">
        <v>21.743215195557916</v>
      </c>
      <c r="Q50" s="507">
        <v>29.822075698243083</v>
      </c>
      <c r="R50" s="235"/>
      <c r="S50" s="505">
        <v>27.94728869429759</v>
      </c>
      <c r="T50" s="1367">
        <v>-6.2865744923849901E-2</v>
      </c>
    </row>
    <row r="51" spans="1:20" s="1629" customFormat="1" ht="15" customHeight="1">
      <c r="A51" s="1627"/>
      <c r="B51" s="1950"/>
      <c r="C51" s="1640" t="s">
        <v>872</v>
      </c>
      <c r="D51" s="759">
        <v>1.4960381071271673</v>
      </c>
      <c r="E51" s="762">
        <v>1.9938437612938078</v>
      </c>
      <c r="F51" s="762">
        <v>3.0934588072369773</v>
      </c>
      <c r="G51" s="762">
        <v>0.55847506885055809</v>
      </c>
      <c r="H51" s="763">
        <v>1.0015648777054591</v>
      </c>
      <c r="I51" s="761">
        <v>1.0613067871443311</v>
      </c>
      <c r="J51" s="762">
        <v>1.1404494010738859</v>
      </c>
      <c r="K51" s="762">
        <v>1.2419668165025675</v>
      </c>
      <c r="L51" s="762">
        <v>1.2415980040087493</v>
      </c>
      <c r="M51" s="763">
        <v>1.4613843690076003</v>
      </c>
      <c r="N51" s="352"/>
      <c r="O51" s="505">
        <v>6.5833406756579524</v>
      </c>
      <c r="P51" s="506">
        <v>1.5600399465560173</v>
      </c>
      <c r="Q51" s="507">
        <v>8.1433806222139697</v>
      </c>
      <c r="R51" s="235"/>
      <c r="S51" s="505">
        <v>6.1467053777371339</v>
      </c>
      <c r="T51" s="1367">
        <v>-0.2451899692653679</v>
      </c>
    </row>
    <row r="52" spans="1:20" s="1629" customFormat="1" ht="15" customHeight="1">
      <c r="A52" s="1627"/>
      <c r="B52" s="1950"/>
      <c r="C52" s="1641" t="s">
        <v>120</v>
      </c>
      <c r="D52" s="759">
        <v>0</v>
      </c>
      <c r="E52" s="762">
        <v>0</v>
      </c>
      <c r="F52" s="762">
        <v>0</v>
      </c>
      <c r="G52" s="762">
        <v>0</v>
      </c>
      <c r="H52" s="763">
        <v>0</v>
      </c>
      <c r="I52" s="761">
        <v>0</v>
      </c>
      <c r="J52" s="762">
        <v>0</v>
      </c>
      <c r="K52" s="762">
        <v>0</v>
      </c>
      <c r="L52" s="762">
        <v>0</v>
      </c>
      <c r="M52" s="763">
        <v>0</v>
      </c>
      <c r="N52" s="352"/>
      <c r="O52" s="505">
        <v>0</v>
      </c>
      <c r="P52" s="506">
        <v>0</v>
      </c>
      <c r="Q52" s="507">
        <v>0</v>
      </c>
      <c r="R52" s="235"/>
      <c r="S52" s="505">
        <v>0</v>
      </c>
      <c r="T52" s="1367" t="s">
        <v>1023</v>
      </c>
    </row>
    <row r="53" spans="1:20" s="1629" customFormat="1" ht="15" customHeight="1">
      <c r="A53" s="1627"/>
      <c r="B53" s="1950"/>
      <c r="C53" s="1641" t="s">
        <v>223</v>
      </c>
      <c r="D53" s="759">
        <v>3.2912838356797676</v>
      </c>
      <c r="E53" s="762">
        <v>5.4830703435579711</v>
      </c>
      <c r="F53" s="762">
        <v>5.5881836517829262</v>
      </c>
      <c r="G53" s="762">
        <v>3.4625454268734597</v>
      </c>
      <c r="H53" s="763">
        <v>5.1191093749390122</v>
      </c>
      <c r="I53" s="761">
        <v>6.1555793654371209</v>
      </c>
      <c r="J53" s="762">
        <v>6.946373624722761</v>
      </c>
      <c r="K53" s="762">
        <v>7.4518008990154057</v>
      </c>
      <c r="L53" s="762">
        <v>8.3807865270590565</v>
      </c>
      <c r="M53" s="763">
        <v>7.6200756383967727</v>
      </c>
      <c r="N53" s="352"/>
      <c r="O53" s="505">
        <v>14.362537831020664</v>
      </c>
      <c r="P53" s="506">
        <v>8.5816548018124728</v>
      </c>
      <c r="Q53" s="507">
        <v>22.944192632833133</v>
      </c>
      <c r="R53" s="235"/>
      <c r="S53" s="505">
        <v>36.554616054631111</v>
      </c>
      <c r="T53" s="1367">
        <v>0.59319687729266479</v>
      </c>
    </row>
    <row r="54" spans="1:20" s="1629" customFormat="1" ht="15" customHeight="1">
      <c r="A54" s="1627"/>
      <c r="B54" s="1950"/>
      <c r="C54" s="1640" t="s">
        <v>862</v>
      </c>
      <c r="D54" s="759">
        <v>0</v>
      </c>
      <c r="E54" s="762">
        <v>0.39876875225876157</v>
      </c>
      <c r="F54" s="762">
        <v>0.49894496890918988</v>
      </c>
      <c r="G54" s="762">
        <v>0.33508504131033479</v>
      </c>
      <c r="H54" s="763">
        <v>1.4467048233523299</v>
      </c>
      <c r="I54" s="761">
        <v>0.84904542971546504</v>
      </c>
      <c r="J54" s="762">
        <v>0.93309496451499774</v>
      </c>
      <c r="K54" s="762">
        <v>1.0349723470854728</v>
      </c>
      <c r="L54" s="762">
        <v>1.2415980040087493</v>
      </c>
      <c r="M54" s="763">
        <v>1.4613843690076003</v>
      </c>
      <c r="N54" s="352"/>
      <c r="O54" s="505">
        <v>0.89771372116795145</v>
      </c>
      <c r="P54" s="506">
        <v>1.7817898646626646</v>
      </c>
      <c r="Q54" s="507">
        <v>2.679503585830616</v>
      </c>
      <c r="R54" s="235"/>
      <c r="S54" s="505">
        <v>5.5200951143322854</v>
      </c>
      <c r="T54" s="1367">
        <v>1.0601185770091508</v>
      </c>
    </row>
    <row r="55" spans="1:20" s="1629" customFormat="1" ht="15" customHeight="1">
      <c r="A55" s="1627"/>
      <c r="B55" s="1950"/>
      <c r="C55" s="1640" t="s">
        <v>863</v>
      </c>
      <c r="D55" s="759">
        <v>0.69815111665934471</v>
      </c>
      <c r="E55" s="762">
        <v>1.9938437612938078</v>
      </c>
      <c r="F55" s="762">
        <v>1.8959908818549214</v>
      </c>
      <c r="G55" s="762">
        <v>1.228645151471228</v>
      </c>
      <c r="H55" s="763">
        <v>2.2256997282343538</v>
      </c>
      <c r="I55" s="761">
        <v>0.95517610842989809</v>
      </c>
      <c r="J55" s="762">
        <v>0.93309496451499774</v>
      </c>
      <c r="K55" s="762">
        <v>0.93147511237692571</v>
      </c>
      <c r="L55" s="762">
        <v>0.93119850300656215</v>
      </c>
      <c r="M55" s="763">
        <v>0.93946138007631452</v>
      </c>
      <c r="N55" s="352"/>
      <c r="O55" s="505">
        <v>4.587985759808074</v>
      </c>
      <c r="P55" s="506">
        <v>3.454344879705582</v>
      </c>
      <c r="Q55" s="507">
        <v>8.042330639513656</v>
      </c>
      <c r="R55" s="235"/>
      <c r="S55" s="505">
        <v>4.6904060684046982</v>
      </c>
      <c r="T55" s="1367">
        <v>-0.41678522325857259</v>
      </c>
    </row>
    <row r="56" spans="1:20" s="1629" customFormat="1" ht="15" customHeight="1">
      <c r="A56" s="1627"/>
      <c r="B56" s="1950" t="s">
        <v>244</v>
      </c>
      <c r="C56" s="1640" t="s">
        <v>224</v>
      </c>
      <c r="D56" s="764">
        <v>9.9735873808477815E-2</v>
      </c>
      <c r="E56" s="765">
        <v>0.49846094032345195</v>
      </c>
      <c r="F56" s="765">
        <v>0.99788993781837976</v>
      </c>
      <c r="G56" s="765">
        <v>3.4625454268734597</v>
      </c>
      <c r="H56" s="766">
        <v>0.89027989129374141</v>
      </c>
      <c r="I56" s="767">
        <v>2.0164828955742293</v>
      </c>
      <c r="J56" s="765">
        <v>6.4279875333255392</v>
      </c>
      <c r="K56" s="765">
        <v>2.3804363982965873</v>
      </c>
      <c r="L56" s="765">
        <v>12.209047039419369</v>
      </c>
      <c r="M56" s="766">
        <v>7.4113064428242588</v>
      </c>
      <c r="N56" s="352"/>
      <c r="O56" s="505">
        <v>1.5960867519503097</v>
      </c>
      <c r="P56" s="506">
        <v>4.3528253181672012</v>
      </c>
      <c r="Q56" s="507">
        <v>5.9489120701175109</v>
      </c>
      <c r="R56" s="235"/>
      <c r="S56" s="505">
        <v>30.445260309439984</v>
      </c>
      <c r="T56" s="1367">
        <v>4.1177862356332637</v>
      </c>
    </row>
    <row r="57" spans="1:20" s="1629" customFormat="1" ht="15" customHeight="1">
      <c r="A57" s="1627"/>
      <c r="B57" s="1950"/>
      <c r="C57" s="1640" t="s">
        <v>872</v>
      </c>
      <c r="D57" s="759">
        <v>1.4960381071271673</v>
      </c>
      <c r="E57" s="762">
        <v>1.3956906329056653</v>
      </c>
      <c r="F57" s="762">
        <v>1.8959908818549214</v>
      </c>
      <c r="G57" s="762">
        <v>0</v>
      </c>
      <c r="H57" s="763">
        <v>1.1128498641171769</v>
      </c>
      <c r="I57" s="761">
        <v>0</v>
      </c>
      <c r="J57" s="762">
        <v>0</v>
      </c>
      <c r="K57" s="762">
        <v>5.0713645007188175</v>
      </c>
      <c r="L57" s="762">
        <v>3.1039950100218734</v>
      </c>
      <c r="M57" s="763">
        <v>0</v>
      </c>
      <c r="N57" s="352"/>
      <c r="O57" s="505">
        <v>4.7877196218877547</v>
      </c>
      <c r="P57" s="506">
        <v>1.1128498641171769</v>
      </c>
      <c r="Q57" s="507">
        <v>5.9005694860049314</v>
      </c>
      <c r="R57" s="235"/>
      <c r="S57" s="505">
        <v>8.1753595107406909</v>
      </c>
      <c r="T57" s="1367">
        <v>0.38552041970374967</v>
      </c>
    </row>
    <row r="58" spans="1:20" s="1629" customFormat="1" ht="15" customHeight="1">
      <c r="A58" s="1627"/>
      <c r="B58" s="1950"/>
      <c r="C58" s="1640" t="s">
        <v>120</v>
      </c>
      <c r="D58" s="759">
        <v>0</v>
      </c>
      <c r="E58" s="762">
        <v>0</v>
      </c>
      <c r="F58" s="762">
        <v>0</v>
      </c>
      <c r="G58" s="762">
        <v>0</v>
      </c>
      <c r="H58" s="763">
        <v>0</v>
      </c>
      <c r="I58" s="761">
        <v>0</v>
      </c>
      <c r="J58" s="762">
        <v>0</v>
      </c>
      <c r="K58" s="762">
        <v>0</v>
      </c>
      <c r="L58" s="762">
        <v>0</v>
      </c>
      <c r="M58" s="763">
        <v>0</v>
      </c>
      <c r="N58" s="352"/>
      <c r="O58" s="505">
        <v>0</v>
      </c>
      <c r="P58" s="506">
        <v>0</v>
      </c>
      <c r="Q58" s="507">
        <v>0</v>
      </c>
      <c r="R58" s="235"/>
      <c r="S58" s="505">
        <v>0</v>
      </c>
      <c r="T58" s="1367" t="s">
        <v>1023</v>
      </c>
    </row>
    <row r="59" spans="1:20" s="1629" customFormat="1" ht="15" customHeight="1">
      <c r="A59" s="1627"/>
      <c r="B59" s="1950"/>
      <c r="C59" s="1640" t="s">
        <v>223</v>
      </c>
      <c r="D59" s="759">
        <v>0.29920762142543345</v>
      </c>
      <c r="E59" s="762">
        <v>0.79753750451752314</v>
      </c>
      <c r="F59" s="762">
        <v>1.0976789316002178</v>
      </c>
      <c r="G59" s="762">
        <v>1.0052551239310046</v>
      </c>
      <c r="H59" s="763">
        <v>0.89027989129374141</v>
      </c>
      <c r="I59" s="761">
        <v>1.5919601807164967</v>
      </c>
      <c r="J59" s="762">
        <v>2.5919304569861046</v>
      </c>
      <c r="K59" s="762">
        <v>4.7608727965931745</v>
      </c>
      <c r="L59" s="762">
        <v>3.8282605123603104</v>
      </c>
      <c r="M59" s="763">
        <v>6.7849988561067152</v>
      </c>
      <c r="N59" s="352"/>
      <c r="O59" s="505">
        <v>2.1944240575431744</v>
      </c>
      <c r="P59" s="506">
        <v>1.8955350152247461</v>
      </c>
      <c r="Q59" s="507">
        <v>4.08995907276792</v>
      </c>
      <c r="R59" s="235"/>
      <c r="S59" s="505">
        <v>19.558022802762803</v>
      </c>
      <c r="T59" s="1367">
        <v>3.7819605171566471</v>
      </c>
    </row>
    <row r="60" spans="1:20" s="1629" customFormat="1" ht="15" customHeight="1">
      <c r="A60" s="1627"/>
      <c r="B60" s="1950"/>
      <c r="C60" s="1640" t="s">
        <v>862</v>
      </c>
      <c r="D60" s="759">
        <v>9.9735873808477815E-2</v>
      </c>
      <c r="E60" s="762">
        <v>0.39876875225876157</v>
      </c>
      <c r="F60" s="762">
        <v>0.19957798756367595</v>
      </c>
      <c r="G60" s="762">
        <v>0.33508504131033479</v>
      </c>
      <c r="H60" s="763">
        <v>0.22256997282343535</v>
      </c>
      <c r="I60" s="761">
        <v>0.53065339357216557</v>
      </c>
      <c r="J60" s="762">
        <v>1.6588354924711071</v>
      </c>
      <c r="K60" s="762">
        <v>2.4839336330051349</v>
      </c>
      <c r="L60" s="762">
        <v>2.4831960080174986</v>
      </c>
      <c r="M60" s="763">
        <v>0.52192298893128586</v>
      </c>
      <c r="N60" s="352"/>
      <c r="O60" s="505">
        <v>0.69808261363091528</v>
      </c>
      <c r="P60" s="506">
        <v>0.55765501413377017</v>
      </c>
      <c r="Q60" s="507">
        <v>1.2557376277646854</v>
      </c>
      <c r="R60" s="235"/>
      <c r="S60" s="505">
        <v>7.6785415159971917</v>
      </c>
      <c r="T60" s="1367">
        <v>5.1147658127164801</v>
      </c>
    </row>
    <row r="61" spans="1:20" s="1629" customFormat="1" ht="15" customHeight="1">
      <c r="A61" s="1627"/>
      <c r="B61" s="1950"/>
      <c r="C61" s="1641" t="s">
        <v>863</v>
      </c>
      <c r="D61" s="759">
        <v>0.19947174761695563</v>
      </c>
      <c r="E61" s="762">
        <v>1.4953828209703559</v>
      </c>
      <c r="F61" s="762">
        <v>0.99788993781837976</v>
      </c>
      <c r="G61" s="762">
        <v>2.2339002754022323</v>
      </c>
      <c r="H61" s="763">
        <v>2.2256997282343538</v>
      </c>
      <c r="I61" s="761">
        <v>0.31839203614329936</v>
      </c>
      <c r="J61" s="762">
        <v>0.10367721827944419</v>
      </c>
      <c r="K61" s="762">
        <v>0.2069944694170946</v>
      </c>
      <c r="L61" s="762">
        <v>0.10346650033406245</v>
      </c>
      <c r="M61" s="763">
        <v>0.20876919557251436</v>
      </c>
      <c r="N61" s="352"/>
      <c r="O61" s="505">
        <v>2.6927445064056914</v>
      </c>
      <c r="P61" s="506">
        <v>4.4596000036365862</v>
      </c>
      <c r="Q61" s="507">
        <v>7.152344510042278</v>
      </c>
      <c r="R61" s="235"/>
      <c r="S61" s="505">
        <v>0.94129941974641507</v>
      </c>
      <c r="T61" s="1367">
        <v>-0.86839288593764186</v>
      </c>
    </row>
    <row r="62" spans="1:20" s="1629" customFormat="1" ht="15" customHeight="1">
      <c r="A62" s="1627"/>
      <c r="B62" s="1950" t="s">
        <v>242</v>
      </c>
      <c r="C62" s="1640" t="s">
        <v>224</v>
      </c>
      <c r="D62" s="764">
        <v>0.79788699046782252</v>
      </c>
      <c r="E62" s="765">
        <v>0.89722969258221352</v>
      </c>
      <c r="F62" s="765">
        <v>7.7835415149833613</v>
      </c>
      <c r="G62" s="765">
        <v>8.3771260327583708</v>
      </c>
      <c r="H62" s="766">
        <v>6.8996691575264961</v>
      </c>
      <c r="I62" s="767">
        <v>2.7593976465752608</v>
      </c>
      <c r="J62" s="765">
        <v>0</v>
      </c>
      <c r="K62" s="765">
        <v>0.72448064295983106</v>
      </c>
      <c r="L62" s="765">
        <v>0</v>
      </c>
      <c r="M62" s="766">
        <v>4.3841531070228017</v>
      </c>
      <c r="N62" s="352"/>
      <c r="O62" s="505">
        <v>9.478658198033397</v>
      </c>
      <c r="P62" s="506">
        <v>15.276795190284867</v>
      </c>
      <c r="Q62" s="507">
        <v>24.755453388318266</v>
      </c>
      <c r="R62" s="235"/>
      <c r="S62" s="505">
        <v>7.8680313965578934</v>
      </c>
      <c r="T62" s="1367">
        <v>-0.68216977192303407</v>
      </c>
    </row>
    <row r="63" spans="1:20" s="1629" customFormat="1" ht="15" customHeight="1">
      <c r="A63" s="1627"/>
      <c r="B63" s="1950"/>
      <c r="C63" s="1640" t="s">
        <v>872</v>
      </c>
      <c r="D63" s="759">
        <v>2.9920762142543347</v>
      </c>
      <c r="E63" s="762">
        <v>0.29907656419407114</v>
      </c>
      <c r="F63" s="762">
        <v>0</v>
      </c>
      <c r="G63" s="762">
        <v>0</v>
      </c>
      <c r="H63" s="763">
        <v>0.55642493205858845</v>
      </c>
      <c r="I63" s="761">
        <v>1.2735681445731974</v>
      </c>
      <c r="J63" s="762">
        <v>5.7022470053694292</v>
      </c>
      <c r="K63" s="762">
        <v>6.8308174907641206</v>
      </c>
      <c r="L63" s="762">
        <v>9.8293175317359314</v>
      </c>
      <c r="M63" s="763">
        <v>9.9165367896944296</v>
      </c>
      <c r="N63" s="352"/>
      <c r="O63" s="505">
        <v>3.2911527784484056</v>
      </c>
      <c r="P63" s="506">
        <v>0.55642493205858845</v>
      </c>
      <c r="Q63" s="507">
        <v>3.8475777105069939</v>
      </c>
      <c r="R63" s="235"/>
      <c r="S63" s="505">
        <v>33.55248696213711</v>
      </c>
      <c r="T63" s="1367">
        <v>7.7204182700486408</v>
      </c>
    </row>
    <row r="64" spans="1:20" s="1629" customFormat="1" ht="15" customHeight="1">
      <c r="A64" s="1627"/>
      <c r="B64" s="1950"/>
      <c r="C64" s="1641" t="s">
        <v>873</v>
      </c>
      <c r="D64" s="759">
        <v>0</v>
      </c>
      <c r="E64" s="762">
        <v>0</v>
      </c>
      <c r="F64" s="762">
        <v>0</v>
      </c>
      <c r="G64" s="762">
        <v>0</v>
      </c>
      <c r="H64" s="763">
        <v>0</v>
      </c>
      <c r="I64" s="761">
        <v>0</v>
      </c>
      <c r="J64" s="762">
        <v>0</v>
      </c>
      <c r="K64" s="762">
        <v>0</v>
      </c>
      <c r="L64" s="762">
        <v>0</v>
      </c>
      <c r="M64" s="763">
        <v>0</v>
      </c>
      <c r="N64" s="352"/>
      <c r="O64" s="505">
        <v>0</v>
      </c>
      <c r="P64" s="506">
        <v>0</v>
      </c>
      <c r="Q64" s="507">
        <v>0</v>
      </c>
      <c r="R64" s="235"/>
      <c r="S64" s="505">
        <v>0</v>
      </c>
      <c r="T64" s="1367" t="s">
        <v>1023</v>
      </c>
    </row>
    <row r="65" spans="1:20" s="1629" customFormat="1" ht="15" customHeight="1">
      <c r="A65" s="1627"/>
      <c r="B65" s="1950"/>
      <c r="C65" s="1641" t="s">
        <v>223</v>
      </c>
      <c r="D65" s="759">
        <v>2.8923403404458568</v>
      </c>
      <c r="E65" s="762">
        <v>1.8941515732291172</v>
      </c>
      <c r="F65" s="762">
        <v>0.19957798756367595</v>
      </c>
      <c r="G65" s="762">
        <v>0</v>
      </c>
      <c r="H65" s="763">
        <v>4.6739694292921428</v>
      </c>
      <c r="I65" s="761">
        <v>12.735681445731974</v>
      </c>
      <c r="J65" s="762">
        <v>11.92288010213608</v>
      </c>
      <c r="K65" s="762">
        <v>6.8308174907641206</v>
      </c>
      <c r="L65" s="762">
        <v>3.8282605123603104</v>
      </c>
      <c r="M65" s="763">
        <v>3.8622301180915155</v>
      </c>
      <c r="N65" s="352"/>
      <c r="O65" s="505">
        <v>4.9860699012386496</v>
      </c>
      <c r="P65" s="506">
        <v>4.6739694292921428</v>
      </c>
      <c r="Q65" s="507">
        <v>9.6600393305307932</v>
      </c>
      <c r="R65" s="235"/>
      <c r="S65" s="505">
        <v>39.179869669083999</v>
      </c>
      <c r="T65" s="1367">
        <v>3.0558706158943942</v>
      </c>
    </row>
    <row r="66" spans="1:20" s="1629" customFormat="1" ht="15" customHeight="1">
      <c r="A66" s="1627"/>
      <c r="B66" s="1950"/>
      <c r="C66" s="1641" t="s">
        <v>862</v>
      </c>
      <c r="D66" s="759">
        <v>2.0944533499780342</v>
      </c>
      <c r="E66" s="762">
        <v>0.79753750451752314</v>
      </c>
      <c r="F66" s="762">
        <v>0</v>
      </c>
      <c r="G66" s="762">
        <v>0</v>
      </c>
      <c r="H66" s="763">
        <v>2.1144147418226358</v>
      </c>
      <c r="I66" s="761">
        <v>2.0164828955742293</v>
      </c>
      <c r="J66" s="762">
        <v>2.4882532387066605</v>
      </c>
      <c r="K66" s="762">
        <v>1.9664474594623982</v>
      </c>
      <c r="L66" s="762">
        <v>1.9658635063471863</v>
      </c>
      <c r="M66" s="763">
        <v>0</v>
      </c>
      <c r="N66" s="352"/>
      <c r="O66" s="505">
        <v>2.8919908544955573</v>
      </c>
      <c r="P66" s="506">
        <v>2.1144147418226358</v>
      </c>
      <c r="Q66" s="507">
        <v>5.006405596318193</v>
      </c>
      <c r="R66" s="235"/>
      <c r="S66" s="505">
        <v>8.4370471000904743</v>
      </c>
      <c r="T66" s="1367">
        <v>0.68525041324962588</v>
      </c>
    </row>
    <row r="67" spans="1:20" s="1629" customFormat="1" ht="15" customHeight="1" thickBot="1">
      <c r="A67" s="1627"/>
      <c r="B67" s="1955"/>
      <c r="C67" s="1649" t="s">
        <v>863</v>
      </c>
      <c r="D67" s="768">
        <v>0</v>
      </c>
      <c r="E67" s="769">
        <v>0</v>
      </c>
      <c r="F67" s="769">
        <v>0</v>
      </c>
      <c r="G67" s="769">
        <v>0</v>
      </c>
      <c r="H67" s="770">
        <v>0</v>
      </c>
      <c r="I67" s="771">
        <v>0.19526135742886624</v>
      </c>
      <c r="J67" s="769">
        <v>0</v>
      </c>
      <c r="K67" s="769">
        <v>0</v>
      </c>
      <c r="L67" s="769">
        <v>0</v>
      </c>
      <c r="M67" s="770">
        <v>0</v>
      </c>
      <c r="N67" s="352"/>
      <c r="O67" s="505">
        <v>0</v>
      </c>
      <c r="P67" s="506">
        <v>0</v>
      </c>
      <c r="Q67" s="507">
        <v>0</v>
      </c>
      <c r="R67" s="235"/>
      <c r="S67" s="505">
        <v>0.19526135742886624</v>
      </c>
      <c r="T67" s="1367" t="s">
        <v>1023</v>
      </c>
    </row>
    <row r="68" spans="1:20" s="1629" customFormat="1" ht="15" customHeight="1" thickBot="1">
      <c r="A68" s="1627"/>
      <c r="B68" s="1650" t="s">
        <v>614</v>
      </c>
      <c r="C68" s="1651"/>
      <c r="D68" s="1652">
        <v>23.138722723566854</v>
      </c>
      <c r="E68" s="1653">
        <v>26.817198589401716</v>
      </c>
      <c r="F68" s="1653">
        <v>36.522771724152697</v>
      </c>
      <c r="G68" s="1653">
        <v>42.109020191332078</v>
      </c>
      <c r="H68" s="1654">
        <v>48.631539061920627</v>
      </c>
      <c r="I68" s="1655">
        <v>44.557885060061913</v>
      </c>
      <c r="J68" s="1653">
        <v>52.460672449398757</v>
      </c>
      <c r="K68" s="1653">
        <v>53.818562048444598</v>
      </c>
      <c r="L68" s="1653">
        <v>61.459101198433089</v>
      </c>
      <c r="M68" s="1654">
        <v>57.307144184655186</v>
      </c>
      <c r="N68" s="352"/>
      <c r="O68" s="1376">
        <v>86.478693037121275</v>
      </c>
      <c r="P68" s="1377">
        <v>90.740559253252712</v>
      </c>
      <c r="Q68" s="1378">
        <v>177.21925229037399</v>
      </c>
      <c r="R68" s="235"/>
      <c r="S68" s="1376">
        <v>269.60336494099352</v>
      </c>
      <c r="T68" s="1379">
        <v>0.52129839990097704</v>
      </c>
    </row>
    <row r="69" spans="1:20" s="1629" customFormat="1" ht="12.75">
      <c r="A69" s="1627"/>
      <c r="B69" s="1647"/>
      <c r="C69" s="1647"/>
      <c r="D69" s="1006"/>
      <c r="E69" s="1006"/>
      <c r="F69" s="1006"/>
      <c r="G69" s="1006"/>
      <c r="H69" s="1006"/>
      <c r="I69" s="1006"/>
      <c r="J69" s="1006"/>
      <c r="K69" s="1006"/>
      <c r="L69" s="1006"/>
      <c r="M69" s="1006"/>
      <c r="N69" s="1596"/>
      <c r="O69" s="1596"/>
      <c r="P69" s="1596"/>
      <c r="Q69" s="1596"/>
    </row>
    <row r="70" spans="1:20" s="1629" customFormat="1" ht="12.75">
      <c r="A70" s="1627"/>
      <c r="B70" s="1596"/>
      <c r="C70" s="1596"/>
      <c r="D70" s="1596"/>
      <c r="E70" s="1596"/>
      <c r="F70" s="1596"/>
      <c r="G70" s="1596"/>
      <c r="H70" s="1596"/>
      <c r="I70" s="1596"/>
      <c r="J70" s="1596"/>
      <c r="K70" s="1596"/>
      <c r="L70" s="1596"/>
      <c r="M70" s="1596"/>
      <c r="N70" s="1596"/>
      <c r="O70" s="1596"/>
      <c r="P70" s="1596"/>
      <c r="Q70" s="1596"/>
    </row>
    <row r="71" spans="1:20" s="1629" customFormat="1" ht="12.75">
      <c r="A71" s="1627"/>
      <c r="B71" s="1010" t="s">
        <v>615</v>
      </c>
      <c r="C71" s="1596"/>
      <c r="D71" s="1596"/>
      <c r="E71" s="1596"/>
      <c r="F71" s="1596"/>
      <c r="G71" s="1596"/>
      <c r="H71" s="1596"/>
      <c r="I71" s="1596"/>
      <c r="J71" s="1596"/>
      <c r="K71" s="1596"/>
      <c r="L71" s="1596"/>
      <c r="M71" s="1596"/>
      <c r="N71" s="1006"/>
      <c r="O71" s="1596"/>
      <c r="P71" s="1596"/>
      <c r="Q71" s="1596"/>
    </row>
    <row r="72" spans="1:20" s="1629" customFormat="1" ht="13.5" thickBot="1">
      <c r="A72" s="1627"/>
      <c r="B72" s="1596"/>
      <c r="C72" s="1596"/>
      <c r="D72" s="1596"/>
      <c r="E72" s="1596"/>
      <c r="F72" s="1596"/>
      <c r="G72" s="1596"/>
      <c r="H72" s="1596"/>
      <c r="I72" s="1596"/>
      <c r="J72" s="1596"/>
      <c r="K72" s="1596"/>
      <c r="L72" s="1596"/>
      <c r="M72" s="1596"/>
      <c r="N72" s="1006"/>
      <c r="O72" s="1596"/>
      <c r="P72" s="1596"/>
      <c r="Q72" s="1596"/>
    </row>
    <row r="73" spans="1:20" s="1629" customFormat="1" ht="12.75">
      <c r="A73" s="1627"/>
      <c r="B73" s="1942" t="s">
        <v>113</v>
      </c>
      <c r="C73" s="1943"/>
      <c r="D73" s="1631" t="s">
        <v>114</v>
      </c>
      <c r="E73" s="1631"/>
      <c r="F73" s="1631"/>
      <c r="G73" s="1631"/>
      <c r="H73" s="1632"/>
      <c r="I73" s="1630" t="s">
        <v>115</v>
      </c>
      <c r="J73" s="1631"/>
      <c r="K73" s="1631"/>
      <c r="L73" s="1631"/>
      <c r="M73" s="1632"/>
      <c r="N73" s="1006"/>
      <c r="O73" s="1353" t="s">
        <v>116</v>
      </c>
      <c r="P73" s="1354"/>
      <c r="Q73" s="1355"/>
      <c r="R73" s="1006"/>
      <c r="S73" s="1353" t="s">
        <v>117</v>
      </c>
      <c r="T73" s="1355"/>
    </row>
    <row r="74" spans="1:20" s="1629" customFormat="1" ht="12.75">
      <c r="A74" s="1627"/>
      <c r="B74" s="1944"/>
      <c r="C74" s="1945"/>
      <c r="D74" s="1636" t="s">
        <v>32</v>
      </c>
      <c r="E74" s="1634" t="s">
        <v>33</v>
      </c>
      <c r="F74" s="1634" t="s">
        <v>29</v>
      </c>
      <c r="G74" s="1634" t="s">
        <v>34</v>
      </c>
      <c r="H74" s="1635" t="s">
        <v>35</v>
      </c>
      <c r="I74" s="1633" t="s">
        <v>118</v>
      </c>
      <c r="J74" s="1634" t="s">
        <v>136</v>
      </c>
      <c r="K74" s="1634" t="s">
        <v>137</v>
      </c>
      <c r="L74" s="1634" t="s">
        <v>138</v>
      </c>
      <c r="M74" s="1635" t="s">
        <v>139</v>
      </c>
      <c r="N74" s="1006"/>
      <c r="O74" s="1360" t="s">
        <v>126</v>
      </c>
      <c r="P74" s="1361" t="s">
        <v>127</v>
      </c>
      <c r="Q74" s="1362" t="s">
        <v>245</v>
      </c>
      <c r="R74" s="1006"/>
      <c r="S74" s="1360" t="s">
        <v>127</v>
      </c>
      <c r="T74" s="1362" t="s">
        <v>128</v>
      </c>
    </row>
    <row r="75" spans="1:20" s="1629" customFormat="1" ht="12.75">
      <c r="A75" s="1627"/>
      <c r="B75" s="1946"/>
      <c r="C75" s="1947"/>
      <c r="D75" s="1636" t="s">
        <v>14</v>
      </c>
      <c r="E75" s="1634" t="s">
        <v>14</v>
      </c>
      <c r="F75" s="1634" t="s">
        <v>14</v>
      </c>
      <c r="G75" s="1634" t="s">
        <v>14</v>
      </c>
      <c r="H75" s="1635" t="s">
        <v>14</v>
      </c>
      <c r="I75" s="1633" t="s">
        <v>14</v>
      </c>
      <c r="J75" s="1634" t="s">
        <v>14</v>
      </c>
      <c r="K75" s="1634" t="s">
        <v>14</v>
      </c>
      <c r="L75" s="1634" t="s">
        <v>14</v>
      </c>
      <c r="M75" s="1635" t="s">
        <v>14</v>
      </c>
      <c r="N75" s="1596"/>
      <c r="O75" s="1433"/>
      <c r="P75" s="1434"/>
      <c r="Q75" s="1435"/>
      <c r="R75" s="1006"/>
      <c r="S75" s="1637"/>
      <c r="T75" s="1638"/>
    </row>
    <row r="76" spans="1:20" s="1629" customFormat="1" ht="14.25" customHeight="1">
      <c r="A76" s="1627"/>
      <c r="B76" s="1953" t="s">
        <v>103</v>
      </c>
      <c r="C76" s="1639" t="s">
        <v>104</v>
      </c>
      <c r="D76" s="754">
        <v>0</v>
      </c>
      <c r="E76" s="754">
        <v>0</v>
      </c>
      <c r="F76" s="754">
        <v>0</v>
      </c>
      <c r="G76" s="754">
        <v>0</v>
      </c>
      <c r="H76" s="755">
        <v>0</v>
      </c>
      <c r="I76" s="756">
        <v>0</v>
      </c>
      <c r="J76" s="757">
        <v>0</v>
      </c>
      <c r="K76" s="757">
        <v>0</v>
      </c>
      <c r="L76" s="757">
        <v>0</v>
      </c>
      <c r="M76" s="758">
        <v>0</v>
      </c>
      <c r="N76" s="352"/>
      <c r="O76" s="505">
        <v>0</v>
      </c>
      <c r="P76" s="506">
        <v>0</v>
      </c>
      <c r="Q76" s="507">
        <v>0</v>
      </c>
      <c r="R76" s="235"/>
      <c r="S76" s="505">
        <v>0</v>
      </c>
      <c r="T76" s="1367" t="s">
        <v>1023</v>
      </c>
    </row>
    <row r="77" spans="1:20" s="1629" customFormat="1" ht="15" customHeight="1">
      <c r="A77" s="1627"/>
      <c r="B77" s="1954"/>
      <c r="C77" s="1640" t="s">
        <v>105</v>
      </c>
      <c r="D77" s="759">
        <v>0</v>
      </c>
      <c r="E77" s="759">
        <v>9.9692188064690393E-2</v>
      </c>
      <c r="F77" s="759">
        <v>9.9788993781837976E-2</v>
      </c>
      <c r="G77" s="759">
        <v>0.11169501377011161</v>
      </c>
      <c r="H77" s="760">
        <v>0.11128498641171768</v>
      </c>
      <c r="I77" s="761">
        <v>0</v>
      </c>
      <c r="J77" s="762">
        <v>0</v>
      </c>
      <c r="K77" s="762">
        <v>0</v>
      </c>
      <c r="L77" s="762">
        <v>0</v>
      </c>
      <c r="M77" s="763">
        <v>0</v>
      </c>
      <c r="N77" s="352"/>
      <c r="O77" s="505">
        <v>0.19948118184652835</v>
      </c>
      <c r="P77" s="506">
        <v>0.22298000018182929</v>
      </c>
      <c r="Q77" s="507">
        <v>0.42246118202835764</v>
      </c>
      <c r="R77" s="235"/>
      <c r="S77" s="505">
        <v>0</v>
      </c>
      <c r="T77" s="1367">
        <v>-1</v>
      </c>
    </row>
    <row r="78" spans="1:20" s="1629" customFormat="1" ht="14.25" customHeight="1">
      <c r="A78" s="1627"/>
      <c r="B78" s="1954" t="s">
        <v>106</v>
      </c>
      <c r="C78" s="1640" t="s">
        <v>104</v>
      </c>
      <c r="D78" s="759">
        <v>0</v>
      </c>
      <c r="E78" s="759">
        <v>0</v>
      </c>
      <c r="F78" s="759">
        <v>0</v>
      </c>
      <c r="G78" s="759">
        <v>0</v>
      </c>
      <c r="H78" s="760">
        <v>0</v>
      </c>
      <c r="I78" s="761">
        <v>0</v>
      </c>
      <c r="J78" s="762">
        <v>0</v>
      </c>
      <c r="K78" s="762">
        <v>0</v>
      </c>
      <c r="L78" s="762">
        <v>0</v>
      </c>
      <c r="M78" s="763">
        <v>0</v>
      </c>
      <c r="N78" s="352"/>
      <c r="O78" s="505">
        <v>0</v>
      </c>
      <c r="P78" s="506">
        <v>0</v>
      </c>
      <c r="Q78" s="507">
        <v>0</v>
      </c>
      <c r="R78" s="235"/>
      <c r="S78" s="505">
        <v>0</v>
      </c>
      <c r="T78" s="1367" t="s">
        <v>1023</v>
      </c>
    </row>
    <row r="79" spans="1:20" s="1629" customFormat="1" ht="15" customHeight="1">
      <c r="A79" s="1627"/>
      <c r="B79" s="1954"/>
      <c r="C79" s="1640" t="s">
        <v>105</v>
      </c>
      <c r="D79" s="759">
        <v>0</v>
      </c>
      <c r="E79" s="759">
        <v>0</v>
      </c>
      <c r="F79" s="759">
        <v>0</v>
      </c>
      <c r="G79" s="759">
        <v>0</v>
      </c>
      <c r="H79" s="760">
        <v>0</v>
      </c>
      <c r="I79" s="761">
        <v>0</v>
      </c>
      <c r="J79" s="762">
        <v>0</v>
      </c>
      <c r="K79" s="762">
        <v>0</v>
      </c>
      <c r="L79" s="762">
        <v>0</v>
      </c>
      <c r="M79" s="763">
        <v>0</v>
      </c>
      <c r="N79" s="352"/>
      <c r="O79" s="505">
        <v>0</v>
      </c>
      <c r="P79" s="506">
        <v>0</v>
      </c>
      <c r="Q79" s="507">
        <v>0</v>
      </c>
      <c r="R79" s="235"/>
      <c r="S79" s="505">
        <v>0</v>
      </c>
      <c r="T79" s="1367" t="s">
        <v>1023</v>
      </c>
    </row>
    <row r="80" spans="1:20" s="1629" customFormat="1" ht="14.25" customHeight="1">
      <c r="A80" s="1627"/>
      <c r="B80" s="1950" t="s">
        <v>842</v>
      </c>
      <c r="C80" s="1640" t="s">
        <v>129</v>
      </c>
      <c r="D80" s="759">
        <v>0</v>
      </c>
      <c r="E80" s="759">
        <v>0</v>
      </c>
      <c r="F80" s="759">
        <v>0</v>
      </c>
      <c r="G80" s="759">
        <v>0</v>
      </c>
      <c r="H80" s="760">
        <v>0</v>
      </c>
      <c r="I80" s="761">
        <v>0</v>
      </c>
      <c r="J80" s="762">
        <v>0</v>
      </c>
      <c r="K80" s="762">
        <v>0</v>
      </c>
      <c r="L80" s="762">
        <v>0</v>
      </c>
      <c r="M80" s="763">
        <v>0</v>
      </c>
      <c r="N80" s="352"/>
      <c r="O80" s="505">
        <v>0</v>
      </c>
      <c r="P80" s="506">
        <v>0</v>
      </c>
      <c r="Q80" s="507">
        <v>0</v>
      </c>
      <c r="R80" s="235"/>
      <c r="S80" s="505">
        <v>0</v>
      </c>
      <c r="T80" s="1367" t="s">
        <v>1023</v>
      </c>
    </row>
    <row r="81" spans="1:20" s="1629" customFormat="1" ht="14.25" customHeight="1">
      <c r="A81" s="1627"/>
      <c r="B81" s="1950"/>
      <c r="C81" s="1640" t="s">
        <v>130</v>
      </c>
      <c r="D81" s="759">
        <v>0</v>
      </c>
      <c r="E81" s="759">
        <v>9.9692188064690393E-2</v>
      </c>
      <c r="F81" s="759">
        <v>9.9788993781837976E-2</v>
      </c>
      <c r="G81" s="759">
        <v>0.11169501377011161</v>
      </c>
      <c r="H81" s="760">
        <v>0.11128498641171768</v>
      </c>
      <c r="I81" s="761">
        <v>0</v>
      </c>
      <c r="J81" s="762">
        <v>0</v>
      </c>
      <c r="K81" s="762">
        <v>0.1034972347085473</v>
      </c>
      <c r="L81" s="762">
        <v>0.10346650033406245</v>
      </c>
      <c r="M81" s="763">
        <v>0.10438459778625718</v>
      </c>
      <c r="N81" s="352"/>
      <c r="O81" s="505">
        <v>0.19948118184652835</v>
      </c>
      <c r="P81" s="506">
        <v>0.22298000018182929</v>
      </c>
      <c r="Q81" s="507">
        <v>0.42246118202835764</v>
      </c>
      <c r="R81" s="235"/>
      <c r="S81" s="505">
        <v>0.31134833282886692</v>
      </c>
      <c r="T81" s="1367">
        <v>-0.26301315701008543</v>
      </c>
    </row>
    <row r="82" spans="1:20" s="1629" customFormat="1" ht="15" customHeight="1">
      <c r="A82" s="1627"/>
      <c r="B82" s="1950"/>
      <c r="C82" s="1641" t="s">
        <v>223</v>
      </c>
      <c r="D82" s="759">
        <v>0.39894349523391126</v>
      </c>
      <c r="E82" s="759">
        <v>0.59815312838814227</v>
      </c>
      <c r="F82" s="759">
        <v>0.79831195025470381</v>
      </c>
      <c r="G82" s="759">
        <v>0.44678005508044644</v>
      </c>
      <c r="H82" s="760">
        <v>0.4451399456468707</v>
      </c>
      <c r="I82" s="761">
        <v>0.42452271485773252</v>
      </c>
      <c r="J82" s="762">
        <v>0.41470887311777677</v>
      </c>
      <c r="K82" s="762">
        <v>0.41398893883418919</v>
      </c>
      <c r="L82" s="762">
        <v>0.41386600133624979</v>
      </c>
      <c r="M82" s="763">
        <v>0.41753839114502872</v>
      </c>
      <c r="N82" s="352"/>
      <c r="O82" s="505">
        <v>1.7954085738767573</v>
      </c>
      <c r="P82" s="506">
        <v>0.89192000072731714</v>
      </c>
      <c r="Q82" s="507">
        <v>2.6873285746040745</v>
      </c>
      <c r="R82" s="235"/>
      <c r="S82" s="505">
        <v>2.0846249192909769</v>
      </c>
      <c r="T82" s="1367">
        <v>-0.22427613095354154</v>
      </c>
    </row>
    <row r="83" spans="1:20" s="1629" customFormat="1" ht="14.25" customHeight="1">
      <c r="A83" s="1627"/>
      <c r="B83" s="1950" t="s">
        <v>238</v>
      </c>
      <c r="C83" s="1640" t="s">
        <v>224</v>
      </c>
      <c r="D83" s="759">
        <v>9.9735873808477815E-2</v>
      </c>
      <c r="E83" s="759">
        <v>9.9692188064690393E-2</v>
      </c>
      <c r="F83" s="759">
        <v>9.9788993781837976E-2</v>
      </c>
      <c r="G83" s="759">
        <v>0.11169501377011161</v>
      </c>
      <c r="H83" s="760">
        <v>0.11128498641171768</v>
      </c>
      <c r="I83" s="761">
        <v>0.10613067871443313</v>
      </c>
      <c r="J83" s="762">
        <v>0.10367721827944419</v>
      </c>
      <c r="K83" s="762">
        <v>0.1034972347085473</v>
      </c>
      <c r="L83" s="762">
        <v>0.10346650033406245</v>
      </c>
      <c r="M83" s="763">
        <v>0.10438459778625718</v>
      </c>
      <c r="N83" s="352"/>
      <c r="O83" s="505">
        <v>0.29921705565500617</v>
      </c>
      <c r="P83" s="506">
        <v>0.22298000018182929</v>
      </c>
      <c r="Q83" s="507">
        <v>0.5221970558368354</v>
      </c>
      <c r="R83" s="235"/>
      <c r="S83" s="505">
        <v>0.52115622982274423</v>
      </c>
      <c r="T83" s="1367">
        <v>-1.9931671434325008E-3</v>
      </c>
    </row>
    <row r="84" spans="1:20" s="1629" customFormat="1" ht="14.25" customHeight="1">
      <c r="A84" s="1627"/>
      <c r="B84" s="1950"/>
      <c r="C84" s="1640" t="s">
        <v>872</v>
      </c>
      <c r="D84" s="759">
        <v>0</v>
      </c>
      <c r="E84" s="759">
        <v>0</v>
      </c>
      <c r="F84" s="759">
        <v>0</v>
      </c>
      <c r="G84" s="759">
        <v>0</v>
      </c>
      <c r="H84" s="760">
        <v>0</v>
      </c>
      <c r="I84" s="761">
        <v>0</v>
      </c>
      <c r="J84" s="762">
        <v>0</v>
      </c>
      <c r="K84" s="762">
        <v>0</v>
      </c>
      <c r="L84" s="762">
        <v>0</v>
      </c>
      <c r="M84" s="763">
        <v>0</v>
      </c>
      <c r="N84" s="352"/>
      <c r="O84" s="505">
        <v>0</v>
      </c>
      <c r="P84" s="506">
        <v>0</v>
      </c>
      <c r="Q84" s="507">
        <v>0</v>
      </c>
      <c r="R84" s="235"/>
      <c r="S84" s="505">
        <v>0</v>
      </c>
      <c r="T84" s="1367" t="s">
        <v>1023</v>
      </c>
    </row>
    <row r="85" spans="1:20" s="1629" customFormat="1" ht="14.25" customHeight="1">
      <c r="A85" s="1627"/>
      <c r="B85" s="1950"/>
      <c r="C85" s="1641" t="s">
        <v>120</v>
      </c>
      <c r="D85" s="759">
        <v>0</v>
      </c>
      <c r="E85" s="759">
        <v>0</v>
      </c>
      <c r="F85" s="759">
        <v>0</v>
      </c>
      <c r="G85" s="759">
        <v>0</v>
      </c>
      <c r="H85" s="760">
        <v>0</v>
      </c>
      <c r="I85" s="761">
        <v>0</v>
      </c>
      <c r="J85" s="762">
        <v>0</v>
      </c>
      <c r="K85" s="762">
        <v>0</v>
      </c>
      <c r="L85" s="762">
        <v>0</v>
      </c>
      <c r="M85" s="763">
        <v>0</v>
      </c>
      <c r="N85" s="352"/>
      <c r="O85" s="505">
        <v>0</v>
      </c>
      <c r="P85" s="506">
        <v>0</v>
      </c>
      <c r="Q85" s="507">
        <v>0</v>
      </c>
      <c r="R85" s="235"/>
      <c r="S85" s="505">
        <v>0</v>
      </c>
      <c r="T85" s="1367" t="s">
        <v>1023</v>
      </c>
    </row>
    <row r="86" spans="1:20" s="1629" customFormat="1" ht="14.25" customHeight="1">
      <c r="A86" s="1627"/>
      <c r="B86" s="1950"/>
      <c r="C86" s="1641" t="s">
        <v>223</v>
      </c>
      <c r="D86" s="759">
        <v>0.59841524285086689</v>
      </c>
      <c r="E86" s="759">
        <v>0.9969218806469039</v>
      </c>
      <c r="F86" s="759">
        <v>0.99788993781837976</v>
      </c>
      <c r="G86" s="759">
        <v>0.89356011016089287</v>
      </c>
      <c r="H86" s="760">
        <v>0.89027989129374141</v>
      </c>
      <c r="I86" s="761">
        <v>0.74291475100103177</v>
      </c>
      <c r="J86" s="762">
        <v>0.72574052795610933</v>
      </c>
      <c r="K86" s="762">
        <v>0.72448064295983106</v>
      </c>
      <c r="L86" s="762">
        <v>0.72426550233843712</v>
      </c>
      <c r="M86" s="763">
        <v>0.73069218450380014</v>
      </c>
      <c r="N86" s="352"/>
      <c r="O86" s="505">
        <v>2.5932270613161506</v>
      </c>
      <c r="P86" s="506">
        <v>1.7838400014546343</v>
      </c>
      <c r="Q86" s="507">
        <v>4.3770670627707844</v>
      </c>
      <c r="R86" s="235"/>
      <c r="S86" s="505">
        <v>3.6480936087592091</v>
      </c>
      <c r="T86" s="1367">
        <v>-0.16654381656883235</v>
      </c>
    </row>
    <row r="87" spans="1:20" s="1629" customFormat="1" ht="14.25" customHeight="1">
      <c r="A87" s="1627"/>
      <c r="B87" s="1950"/>
      <c r="C87" s="1640" t="s">
        <v>862</v>
      </c>
      <c r="D87" s="759">
        <v>0</v>
      </c>
      <c r="E87" s="759">
        <v>0.49846094032345195</v>
      </c>
      <c r="F87" s="759">
        <v>0.69852295647286577</v>
      </c>
      <c r="G87" s="759">
        <v>0.33508504131033479</v>
      </c>
      <c r="H87" s="760">
        <v>0.33385495923515301</v>
      </c>
      <c r="I87" s="761">
        <v>0.31839203614329936</v>
      </c>
      <c r="J87" s="762">
        <v>0.31103165483833256</v>
      </c>
      <c r="K87" s="762">
        <v>0.31049170412564187</v>
      </c>
      <c r="L87" s="762">
        <v>0.41386600133624979</v>
      </c>
      <c r="M87" s="763">
        <v>0.41753839114502872</v>
      </c>
      <c r="N87" s="352"/>
      <c r="O87" s="505">
        <v>1.1969838967963178</v>
      </c>
      <c r="P87" s="506">
        <v>0.66894000054548775</v>
      </c>
      <c r="Q87" s="507">
        <v>1.8659238973418055</v>
      </c>
      <c r="R87" s="235"/>
      <c r="S87" s="505">
        <v>1.7713197875885525</v>
      </c>
      <c r="T87" s="1367">
        <v>-5.0700947604575962E-2</v>
      </c>
    </row>
    <row r="88" spans="1:20" s="1629" customFormat="1" ht="15" customHeight="1">
      <c r="A88" s="1627"/>
      <c r="B88" s="1950"/>
      <c r="C88" s="1640" t="s">
        <v>863</v>
      </c>
      <c r="D88" s="759">
        <v>0.19947174761695563</v>
      </c>
      <c r="E88" s="759">
        <v>0.39876875225876157</v>
      </c>
      <c r="F88" s="759">
        <v>0.3991559751273519</v>
      </c>
      <c r="G88" s="759">
        <v>0.33508504131033479</v>
      </c>
      <c r="H88" s="760">
        <v>0.33385495923515301</v>
      </c>
      <c r="I88" s="761">
        <v>0.31839203614329936</v>
      </c>
      <c r="J88" s="762">
        <v>0.31103165483833256</v>
      </c>
      <c r="K88" s="762">
        <v>0.31049170412564187</v>
      </c>
      <c r="L88" s="762">
        <v>0.31039950100218733</v>
      </c>
      <c r="M88" s="763">
        <v>0.31315379335877147</v>
      </c>
      <c r="N88" s="352"/>
      <c r="O88" s="505">
        <v>0.99739647500306905</v>
      </c>
      <c r="P88" s="506">
        <v>0.66894000054548775</v>
      </c>
      <c r="Q88" s="507">
        <v>1.6663364755485568</v>
      </c>
      <c r="R88" s="235"/>
      <c r="S88" s="505">
        <v>1.5634686894682326</v>
      </c>
      <c r="T88" s="1367">
        <v>-6.1732901841724495E-2</v>
      </c>
    </row>
    <row r="89" spans="1:20" s="1629" customFormat="1" ht="14.25" customHeight="1">
      <c r="A89" s="1627"/>
      <c r="B89" s="1950" t="s">
        <v>244</v>
      </c>
      <c r="C89" s="1640" t="s">
        <v>224</v>
      </c>
      <c r="D89" s="759">
        <v>0</v>
      </c>
      <c r="E89" s="759">
        <v>0</v>
      </c>
      <c r="F89" s="759">
        <v>0</v>
      </c>
      <c r="G89" s="759">
        <v>0</v>
      </c>
      <c r="H89" s="760">
        <v>0</v>
      </c>
      <c r="I89" s="761">
        <v>0</v>
      </c>
      <c r="J89" s="762">
        <v>0</v>
      </c>
      <c r="K89" s="762">
        <v>0</v>
      </c>
      <c r="L89" s="762">
        <v>0</v>
      </c>
      <c r="M89" s="763">
        <v>0</v>
      </c>
      <c r="N89" s="352"/>
      <c r="O89" s="505">
        <v>0</v>
      </c>
      <c r="P89" s="506">
        <v>0</v>
      </c>
      <c r="Q89" s="507">
        <v>0</v>
      </c>
      <c r="R89" s="235"/>
      <c r="S89" s="505">
        <v>0</v>
      </c>
      <c r="T89" s="1367" t="s">
        <v>1023</v>
      </c>
    </row>
    <row r="90" spans="1:20" s="1629" customFormat="1" ht="14.25" customHeight="1">
      <c r="A90" s="1627"/>
      <c r="B90" s="1950"/>
      <c r="C90" s="1640" t="s">
        <v>872</v>
      </c>
      <c r="D90" s="759">
        <v>0</v>
      </c>
      <c r="E90" s="759">
        <v>0</v>
      </c>
      <c r="F90" s="759">
        <v>0</v>
      </c>
      <c r="G90" s="759">
        <v>0</v>
      </c>
      <c r="H90" s="760">
        <v>0</v>
      </c>
      <c r="I90" s="761">
        <v>0</v>
      </c>
      <c r="J90" s="762">
        <v>0</v>
      </c>
      <c r="K90" s="762">
        <v>0</v>
      </c>
      <c r="L90" s="762">
        <v>0</v>
      </c>
      <c r="M90" s="763">
        <v>0</v>
      </c>
      <c r="N90" s="352"/>
      <c r="O90" s="505">
        <v>0</v>
      </c>
      <c r="P90" s="506">
        <v>0</v>
      </c>
      <c r="Q90" s="507">
        <v>0</v>
      </c>
      <c r="R90" s="235"/>
      <c r="S90" s="505">
        <v>0</v>
      </c>
      <c r="T90" s="1367" t="s">
        <v>1023</v>
      </c>
    </row>
    <row r="91" spans="1:20" s="1629" customFormat="1" ht="14.25" customHeight="1">
      <c r="A91" s="1627"/>
      <c r="B91" s="1950"/>
      <c r="C91" s="1640" t="s">
        <v>120</v>
      </c>
      <c r="D91" s="759">
        <v>0</v>
      </c>
      <c r="E91" s="759">
        <v>0</v>
      </c>
      <c r="F91" s="759">
        <v>0</v>
      </c>
      <c r="G91" s="759">
        <v>0</v>
      </c>
      <c r="H91" s="760">
        <v>0</v>
      </c>
      <c r="I91" s="761">
        <v>0</v>
      </c>
      <c r="J91" s="762">
        <v>0</v>
      </c>
      <c r="K91" s="762">
        <v>0</v>
      </c>
      <c r="L91" s="762">
        <v>0</v>
      </c>
      <c r="M91" s="763">
        <v>0</v>
      </c>
      <c r="N91" s="352"/>
      <c r="O91" s="505">
        <v>0</v>
      </c>
      <c r="P91" s="506">
        <v>0</v>
      </c>
      <c r="Q91" s="507">
        <v>0</v>
      </c>
      <c r="R91" s="235"/>
      <c r="S91" s="505">
        <v>0</v>
      </c>
      <c r="T91" s="1367" t="s">
        <v>1023</v>
      </c>
    </row>
    <row r="92" spans="1:20" s="1629" customFormat="1" ht="14.25" customHeight="1">
      <c r="A92" s="1627"/>
      <c r="B92" s="1950"/>
      <c r="C92" s="1640" t="s">
        <v>223</v>
      </c>
      <c r="D92" s="759">
        <v>0</v>
      </c>
      <c r="E92" s="759">
        <v>9.9692188064690393E-2</v>
      </c>
      <c r="F92" s="759">
        <v>9.9788993781837976E-2</v>
      </c>
      <c r="G92" s="759">
        <v>0.11169501377011161</v>
      </c>
      <c r="H92" s="760">
        <v>0.11128498641171768</v>
      </c>
      <c r="I92" s="761">
        <v>0.10613067871443313</v>
      </c>
      <c r="J92" s="762">
        <v>0.10367721827944419</v>
      </c>
      <c r="K92" s="762">
        <v>0.1034972347085473</v>
      </c>
      <c r="L92" s="762">
        <v>0.10346650033406245</v>
      </c>
      <c r="M92" s="763">
        <v>0.10438459778625718</v>
      </c>
      <c r="N92" s="352"/>
      <c r="O92" s="505">
        <v>0.19948118184652835</v>
      </c>
      <c r="P92" s="506">
        <v>0.22298000018182929</v>
      </c>
      <c r="Q92" s="507">
        <v>0.42246118202835764</v>
      </c>
      <c r="R92" s="235"/>
      <c r="S92" s="505">
        <v>0.52115622982274423</v>
      </c>
      <c r="T92" s="1367">
        <v>0.23361921045745146</v>
      </c>
    </row>
    <row r="93" spans="1:20" s="1629" customFormat="1" ht="14.25" customHeight="1">
      <c r="A93" s="1627"/>
      <c r="B93" s="1950"/>
      <c r="C93" s="1640" t="s">
        <v>862</v>
      </c>
      <c r="D93" s="759">
        <v>9.9735873808477815E-2</v>
      </c>
      <c r="E93" s="759">
        <v>0.49846094032345195</v>
      </c>
      <c r="F93" s="759">
        <v>0.29936698134551393</v>
      </c>
      <c r="G93" s="759">
        <v>0.33508504131033479</v>
      </c>
      <c r="H93" s="760">
        <v>0.33385495923515301</v>
      </c>
      <c r="I93" s="761">
        <v>0.21226135742886626</v>
      </c>
      <c r="J93" s="762">
        <v>0.20735443655888838</v>
      </c>
      <c r="K93" s="762">
        <v>0.2069944694170946</v>
      </c>
      <c r="L93" s="762">
        <v>0.20693300066812489</v>
      </c>
      <c r="M93" s="763">
        <v>0.20876919557251436</v>
      </c>
      <c r="N93" s="352"/>
      <c r="O93" s="505">
        <v>0.8975637954774438</v>
      </c>
      <c r="P93" s="506">
        <v>0.66894000054548775</v>
      </c>
      <c r="Q93" s="507">
        <v>1.5665037960229315</v>
      </c>
      <c r="R93" s="235"/>
      <c r="S93" s="505">
        <v>1.0423124596454885</v>
      </c>
      <c r="T93" s="1367">
        <v>-0.33462500231934938</v>
      </c>
    </row>
    <row r="94" spans="1:20" s="1629" customFormat="1" ht="15" customHeight="1">
      <c r="A94" s="1627"/>
      <c r="B94" s="1950"/>
      <c r="C94" s="1641" t="s">
        <v>863</v>
      </c>
      <c r="D94" s="759">
        <v>0</v>
      </c>
      <c r="E94" s="759">
        <v>0</v>
      </c>
      <c r="F94" s="759">
        <v>0</v>
      </c>
      <c r="G94" s="759">
        <v>0</v>
      </c>
      <c r="H94" s="760">
        <v>0</v>
      </c>
      <c r="I94" s="761">
        <v>0</v>
      </c>
      <c r="J94" s="762">
        <v>0</v>
      </c>
      <c r="K94" s="762">
        <v>0</v>
      </c>
      <c r="L94" s="762">
        <v>0</v>
      </c>
      <c r="M94" s="763">
        <v>0</v>
      </c>
      <c r="N94" s="352"/>
      <c r="O94" s="505">
        <v>0</v>
      </c>
      <c r="P94" s="506">
        <v>0</v>
      </c>
      <c r="Q94" s="507">
        <v>0</v>
      </c>
      <c r="R94" s="235"/>
      <c r="S94" s="505">
        <v>0</v>
      </c>
      <c r="T94" s="1367" t="s">
        <v>1023</v>
      </c>
    </row>
    <row r="95" spans="1:20" s="1629" customFormat="1" ht="14.25" customHeight="1">
      <c r="A95" s="1627"/>
      <c r="B95" s="1950" t="s">
        <v>242</v>
      </c>
      <c r="C95" s="1640" t="s">
        <v>224</v>
      </c>
      <c r="D95" s="759">
        <v>0</v>
      </c>
      <c r="E95" s="759">
        <v>0</v>
      </c>
      <c r="F95" s="759">
        <v>0</v>
      </c>
      <c r="G95" s="759">
        <v>0</v>
      </c>
      <c r="H95" s="760">
        <v>0</v>
      </c>
      <c r="I95" s="761">
        <v>0</v>
      </c>
      <c r="J95" s="762">
        <v>0</v>
      </c>
      <c r="K95" s="762">
        <v>0</v>
      </c>
      <c r="L95" s="762">
        <v>0</v>
      </c>
      <c r="M95" s="763">
        <v>0</v>
      </c>
      <c r="N95" s="352"/>
      <c r="O95" s="505">
        <v>0</v>
      </c>
      <c r="P95" s="506">
        <v>0</v>
      </c>
      <c r="Q95" s="507">
        <v>0</v>
      </c>
      <c r="R95" s="235"/>
      <c r="S95" s="505">
        <v>0</v>
      </c>
      <c r="T95" s="1367" t="s">
        <v>1023</v>
      </c>
    </row>
    <row r="96" spans="1:20" s="1629" customFormat="1" ht="14.25" customHeight="1">
      <c r="A96" s="1627"/>
      <c r="B96" s="1950"/>
      <c r="C96" s="1640" t="s">
        <v>872</v>
      </c>
      <c r="D96" s="759">
        <v>0</v>
      </c>
      <c r="E96" s="759">
        <v>0</v>
      </c>
      <c r="F96" s="759">
        <v>0</v>
      </c>
      <c r="G96" s="759">
        <v>0</v>
      </c>
      <c r="H96" s="760">
        <v>0</v>
      </c>
      <c r="I96" s="761">
        <v>0</v>
      </c>
      <c r="J96" s="762">
        <v>0</v>
      </c>
      <c r="K96" s="762">
        <v>0</v>
      </c>
      <c r="L96" s="762">
        <v>0</v>
      </c>
      <c r="M96" s="763">
        <v>0</v>
      </c>
      <c r="N96" s="352"/>
      <c r="O96" s="505">
        <v>0</v>
      </c>
      <c r="P96" s="506">
        <v>0</v>
      </c>
      <c r="Q96" s="507">
        <v>0</v>
      </c>
      <c r="R96" s="235"/>
      <c r="S96" s="505">
        <v>0</v>
      </c>
      <c r="T96" s="1367" t="s">
        <v>1023</v>
      </c>
    </row>
    <row r="97" spans="1:20" s="1629" customFormat="1" ht="14.25" customHeight="1">
      <c r="A97" s="1627"/>
      <c r="B97" s="1950"/>
      <c r="C97" s="1641" t="s">
        <v>873</v>
      </c>
      <c r="D97" s="759">
        <v>0</v>
      </c>
      <c r="E97" s="759">
        <v>0</v>
      </c>
      <c r="F97" s="759">
        <v>0</v>
      </c>
      <c r="G97" s="759">
        <v>0</v>
      </c>
      <c r="H97" s="760">
        <v>0</v>
      </c>
      <c r="I97" s="761">
        <v>0</v>
      </c>
      <c r="J97" s="762">
        <v>0</v>
      </c>
      <c r="K97" s="762">
        <v>0</v>
      </c>
      <c r="L97" s="762">
        <v>0</v>
      </c>
      <c r="M97" s="763">
        <v>0</v>
      </c>
      <c r="N97" s="352"/>
      <c r="O97" s="505">
        <v>0</v>
      </c>
      <c r="P97" s="506">
        <v>0</v>
      </c>
      <c r="Q97" s="507">
        <v>0</v>
      </c>
      <c r="R97" s="235"/>
      <c r="S97" s="505">
        <v>0</v>
      </c>
      <c r="T97" s="1367" t="s">
        <v>1023</v>
      </c>
    </row>
    <row r="98" spans="1:20" s="1629" customFormat="1" ht="14.25" customHeight="1">
      <c r="A98" s="1627"/>
      <c r="B98" s="1950"/>
      <c r="C98" s="1641" t="s">
        <v>223</v>
      </c>
      <c r="D98" s="759">
        <v>0</v>
      </c>
      <c r="E98" s="759">
        <v>0</v>
      </c>
      <c r="F98" s="759">
        <v>0</v>
      </c>
      <c r="G98" s="759">
        <v>0</v>
      </c>
      <c r="H98" s="760">
        <v>0</v>
      </c>
      <c r="I98" s="761">
        <v>0</v>
      </c>
      <c r="J98" s="762">
        <v>0</v>
      </c>
      <c r="K98" s="762">
        <v>0</v>
      </c>
      <c r="L98" s="762">
        <v>0</v>
      </c>
      <c r="M98" s="763">
        <v>0</v>
      </c>
      <c r="N98" s="352"/>
      <c r="O98" s="505">
        <v>0</v>
      </c>
      <c r="P98" s="506">
        <v>0</v>
      </c>
      <c r="Q98" s="507">
        <v>0</v>
      </c>
      <c r="R98" s="235"/>
      <c r="S98" s="505">
        <v>0</v>
      </c>
      <c r="T98" s="1367" t="s">
        <v>1023</v>
      </c>
    </row>
    <row r="99" spans="1:20" s="1629" customFormat="1" ht="14.25" customHeight="1">
      <c r="A99" s="1627"/>
      <c r="B99" s="1950"/>
      <c r="C99" s="1641" t="s">
        <v>862</v>
      </c>
      <c r="D99" s="759">
        <v>0</v>
      </c>
      <c r="E99" s="759">
        <v>0</v>
      </c>
      <c r="F99" s="759">
        <v>0</v>
      </c>
      <c r="G99" s="759">
        <v>0</v>
      </c>
      <c r="H99" s="760">
        <v>0</v>
      </c>
      <c r="I99" s="761">
        <v>0</v>
      </c>
      <c r="J99" s="762">
        <v>0</v>
      </c>
      <c r="K99" s="762">
        <v>0</v>
      </c>
      <c r="L99" s="762">
        <v>0</v>
      </c>
      <c r="M99" s="763">
        <v>0</v>
      </c>
      <c r="N99" s="352"/>
      <c r="O99" s="505">
        <v>0</v>
      </c>
      <c r="P99" s="506">
        <v>0</v>
      </c>
      <c r="Q99" s="507">
        <v>0</v>
      </c>
      <c r="R99" s="235"/>
      <c r="S99" s="505">
        <v>0</v>
      </c>
      <c r="T99" s="1367" t="s">
        <v>1023</v>
      </c>
    </row>
    <row r="100" spans="1:20" s="1629" customFormat="1" ht="15" customHeight="1">
      <c r="A100" s="1627"/>
      <c r="B100" s="1950"/>
      <c r="C100" s="1641" t="s">
        <v>863</v>
      </c>
      <c r="D100" s="759">
        <v>0</v>
      </c>
      <c r="E100" s="759">
        <v>0</v>
      </c>
      <c r="F100" s="759">
        <v>0</v>
      </c>
      <c r="G100" s="759">
        <v>0</v>
      </c>
      <c r="H100" s="760">
        <v>0</v>
      </c>
      <c r="I100" s="761">
        <v>0</v>
      </c>
      <c r="J100" s="762">
        <v>0</v>
      </c>
      <c r="K100" s="762">
        <v>0</v>
      </c>
      <c r="L100" s="762">
        <v>0</v>
      </c>
      <c r="M100" s="763">
        <v>0</v>
      </c>
      <c r="N100" s="352"/>
      <c r="O100" s="505">
        <v>0</v>
      </c>
      <c r="P100" s="506">
        <v>0</v>
      </c>
      <c r="Q100" s="507">
        <v>0</v>
      </c>
      <c r="R100" s="235"/>
      <c r="S100" s="505">
        <v>0</v>
      </c>
      <c r="T100" s="1367" t="s">
        <v>1023</v>
      </c>
    </row>
    <row r="101" spans="1:20" s="1629" customFormat="1" ht="15" customHeight="1" thickBot="1">
      <c r="A101" s="1627"/>
      <c r="B101" s="1642" t="s">
        <v>616</v>
      </c>
      <c r="C101" s="1643"/>
      <c r="D101" s="1656">
        <v>1.3963022333186892</v>
      </c>
      <c r="E101" s="1657">
        <v>3.3895343941994738</v>
      </c>
      <c r="F101" s="1657">
        <v>3.5924037761461669</v>
      </c>
      <c r="G101" s="1657">
        <v>2.7923753442527905</v>
      </c>
      <c r="H101" s="1658">
        <v>2.7821246602929421</v>
      </c>
      <c r="I101" s="1659">
        <v>2.2287442530030952</v>
      </c>
      <c r="J101" s="1657">
        <v>2.1772215838683278</v>
      </c>
      <c r="K101" s="1657">
        <v>2.2769391635880405</v>
      </c>
      <c r="L101" s="1657">
        <v>2.3797295076834359</v>
      </c>
      <c r="M101" s="1658">
        <v>2.4008457490839148</v>
      </c>
      <c r="N101" s="352"/>
      <c r="O101" s="1376">
        <v>8.3782404036643303</v>
      </c>
      <c r="P101" s="1377">
        <v>5.5745000045457331</v>
      </c>
      <c r="Q101" s="1378">
        <v>13.952740408210063</v>
      </c>
      <c r="R101" s="235"/>
      <c r="S101" s="1376">
        <v>11.463480257226815</v>
      </c>
      <c r="T101" s="1379">
        <v>-0.1784065408053116</v>
      </c>
    </row>
    <row r="102" spans="1:20" s="1629" customFormat="1" ht="15" customHeight="1">
      <c r="A102" s="1627"/>
      <c r="B102" s="1596"/>
      <c r="C102" s="1596"/>
      <c r="D102" s="1596"/>
      <c r="E102" s="1596"/>
      <c r="F102" s="1596"/>
      <c r="G102" s="1596"/>
      <c r="H102" s="1596"/>
      <c r="I102" s="1596"/>
      <c r="J102" s="1596"/>
      <c r="K102" s="1596"/>
      <c r="L102" s="1596"/>
      <c r="M102" s="1596"/>
      <c r="N102" s="1596"/>
      <c r="O102" s="1596"/>
      <c r="P102" s="1596"/>
      <c r="Q102" s="1596"/>
    </row>
    <row r="103" spans="1:20" s="1629" customFormat="1" ht="15" customHeight="1">
      <c r="A103" s="1627"/>
      <c r="B103" s="1596"/>
      <c r="C103" s="1596"/>
      <c r="D103" s="1596"/>
      <c r="E103" s="1596"/>
      <c r="F103" s="1596"/>
      <c r="G103" s="1596"/>
      <c r="H103" s="1596"/>
      <c r="I103" s="1596"/>
      <c r="J103" s="1596"/>
      <c r="K103" s="1596"/>
      <c r="L103" s="1596"/>
      <c r="M103" s="1596"/>
      <c r="N103" s="1596"/>
      <c r="O103" s="1596"/>
      <c r="P103" s="1596"/>
      <c r="Q103" s="1596"/>
    </row>
    <row r="104" spans="1:20" s="1629" customFormat="1" ht="15" customHeight="1">
      <c r="A104" s="1627"/>
      <c r="B104" s="1010" t="s">
        <v>617</v>
      </c>
      <c r="C104" s="1596"/>
      <c r="D104" s="1596"/>
      <c r="E104" s="1596"/>
      <c r="F104" s="1596"/>
      <c r="G104" s="1596"/>
      <c r="H104" s="1596"/>
      <c r="I104" s="1596"/>
      <c r="J104" s="1596"/>
      <c r="K104" s="1596"/>
      <c r="L104" s="1596"/>
      <c r="M104" s="1596"/>
      <c r="N104" s="1596"/>
      <c r="O104" s="1596"/>
      <c r="P104" s="1596"/>
      <c r="Q104" s="1596"/>
    </row>
    <row r="105" spans="1:20" s="1629" customFormat="1" ht="15" customHeight="1" thickBot="1">
      <c r="A105" s="1627"/>
      <c r="B105" s="1596"/>
      <c r="C105" s="1596"/>
      <c r="D105" s="1596"/>
      <c r="E105" s="1596"/>
      <c r="F105" s="1596"/>
      <c r="G105" s="1596"/>
      <c r="H105" s="1596"/>
      <c r="I105" s="1596"/>
      <c r="J105" s="1596"/>
      <c r="K105" s="1596"/>
      <c r="L105" s="1596"/>
      <c r="M105" s="1596"/>
      <c r="N105" s="1596"/>
      <c r="O105" s="1596"/>
      <c r="P105" s="1596"/>
      <c r="Q105" s="1596"/>
    </row>
    <row r="106" spans="1:20" s="1629" customFormat="1" ht="15" customHeight="1">
      <c r="A106" s="1627"/>
      <c r="B106" s="1942" t="s">
        <v>113</v>
      </c>
      <c r="C106" s="1943"/>
      <c r="D106" s="1631" t="s">
        <v>114</v>
      </c>
      <c r="E106" s="1631"/>
      <c r="F106" s="1631"/>
      <c r="G106" s="1631"/>
      <c r="H106" s="1632"/>
      <c r="I106" s="1630" t="s">
        <v>115</v>
      </c>
      <c r="J106" s="1631"/>
      <c r="K106" s="1631"/>
      <c r="L106" s="1631"/>
      <c r="M106" s="1632"/>
      <c r="N106" s="1596"/>
      <c r="O106" s="1353" t="s">
        <v>116</v>
      </c>
      <c r="P106" s="1354"/>
      <c r="Q106" s="1355"/>
      <c r="R106" s="1006"/>
      <c r="S106" s="1353" t="s">
        <v>117</v>
      </c>
      <c r="T106" s="1355"/>
    </row>
    <row r="107" spans="1:20" s="1629" customFormat="1" ht="15" customHeight="1">
      <c r="A107" s="1627"/>
      <c r="B107" s="1944"/>
      <c r="C107" s="1945"/>
      <c r="D107" s="1636" t="s">
        <v>32</v>
      </c>
      <c r="E107" s="1634" t="s">
        <v>33</v>
      </c>
      <c r="F107" s="1634" t="s">
        <v>29</v>
      </c>
      <c r="G107" s="1634" t="s">
        <v>34</v>
      </c>
      <c r="H107" s="1635" t="s">
        <v>35</v>
      </c>
      <c r="I107" s="1633" t="s">
        <v>118</v>
      </c>
      <c r="J107" s="1634" t="s">
        <v>136</v>
      </c>
      <c r="K107" s="1634" t="s">
        <v>137</v>
      </c>
      <c r="L107" s="1634" t="s">
        <v>138</v>
      </c>
      <c r="M107" s="1635" t="s">
        <v>618</v>
      </c>
      <c r="N107" s="1596"/>
      <c r="O107" s="1360" t="s">
        <v>126</v>
      </c>
      <c r="P107" s="1361" t="s">
        <v>127</v>
      </c>
      <c r="Q107" s="1362" t="s">
        <v>245</v>
      </c>
      <c r="R107" s="1006"/>
      <c r="S107" s="1360" t="s">
        <v>127</v>
      </c>
      <c r="T107" s="1362" t="s">
        <v>128</v>
      </c>
    </row>
    <row r="108" spans="1:20" s="1629" customFormat="1" ht="15" customHeight="1">
      <c r="A108" s="1627"/>
      <c r="B108" s="1946"/>
      <c r="C108" s="1947"/>
      <c r="D108" s="1636" t="s">
        <v>14</v>
      </c>
      <c r="E108" s="1634" t="s">
        <v>14</v>
      </c>
      <c r="F108" s="1634" t="s">
        <v>14</v>
      </c>
      <c r="G108" s="1634" t="s">
        <v>14</v>
      </c>
      <c r="H108" s="1635" t="s">
        <v>14</v>
      </c>
      <c r="I108" s="1633" t="s">
        <v>14</v>
      </c>
      <c r="J108" s="1634" t="s">
        <v>14</v>
      </c>
      <c r="K108" s="1634" t="s">
        <v>14</v>
      </c>
      <c r="L108" s="1634" t="s">
        <v>14</v>
      </c>
      <c r="M108" s="1635" t="s">
        <v>14</v>
      </c>
      <c r="N108" s="1596"/>
      <c r="O108" s="1433"/>
      <c r="P108" s="1434"/>
      <c r="Q108" s="1435"/>
      <c r="R108" s="1006"/>
      <c r="S108" s="1637"/>
      <c r="T108" s="1638"/>
    </row>
    <row r="109" spans="1:20" s="1629" customFormat="1" ht="15" customHeight="1">
      <c r="A109" s="1627"/>
      <c r="B109" s="1949" t="s">
        <v>619</v>
      </c>
      <c r="C109" s="1660" t="s">
        <v>620</v>
      </c>
      <c r="D109" s="754">
        <v>0</v>
      </c>
      <c r="E109" s="757">
        <v>0</v>
      </c>
      <c r="F109" s="757">
        <v>0</v>
      </c>
      <c r="G109" s="757">
        <v>0.22339002754022322</v>
      </c>
      <c r="H109" s="758">
        <v>1.3354198369406121</v>
      </c>
      <c r="I109" s="756">
        <v>0</v>
      </c>
      <c r="J109" s="757">
        <v>0</v>
      </c>
      <c r="K109" s="757">
        <v>0</v>
      </c>
      <c r="L109" s="757">
        <v>0</v>
      </c>
      <c r="M109" s="758">
        <v>0</v>
      </c>
      <c r="N109" s="352"/>
      <c r="O109" s="505">
        <v>0</v>
      </c>
      <c r="P109" s="506">
        <v>1.5588098644808352</v>
      </c>
      <c r="Q109" s="507">
        <v>1.5588098644808352</v>
      </c>
      <c r="R109" s="235"/>
      <c r="S109" s="505">
        <v>0</v>
      </c>
      <c r="T109" s="1661">
        <v>-1</v>
      </c>
    </row>
    <row r="110" spans="1:20" s="1629" customFormat="1" ht="15" customHeight="1">
      <c r="A110" s="1627"/>
      <c r="B110" s="1951"/>
      <c r="C110" s="1660" t="s">
        <v>621</v>
      </c>
      <c r="D110" s="759">
        <v>9.9735873808477815E-2</v>
      </c>
      <c r="E110" s="762">
        <v>9.9692188064690393E-2</v>
      </c>
      <c r="F110" s="762">
        <v>9.9788993781837976E-2</v>
      </c>
      <c r="G110" s="762">
        <v>0.89356011016089287</v>
      </c>
      <c r="H110" s="763">
        <v>0.55642493205858845</v>
      </c>
      <c r="I110" s="761">
        <v>0.74291475100103177</v>
      </c>
      <c r="J110" s="762">
        <v>0.72574052795610933</v>
      </c>
      <c r="K110" s="762">
        <v>0.82797787766837838</v>
      </c>
      <c r="L110" s="762">
        <v>0.82773200267249958</v>
      </c>
      <c r="M110" s="763">
        <v>0.83507678229005744</v>
      </c>
      <c r="N110" s="352"/>
      <c r="O110" s="505">
        <v>0.29921705565500617</v>
      </c>
      <c r="P110" s="506">
        <v>1.4499850422194813</v>
      </c>
      <c r="Q110" s="507">
        <v>1.7492020978744875</v>
      </c>
      <c r="R110" s="235"/>
      <c r="S110" s="505">
        <v>3.9594419415880768</v>
      </c>
      <c r="T110" s="1661">
        <v>1.2635703138015462</v>
      </c>
    </row>
    <row r="111" spans="1:20" s="1629" customFormat="1" ht="15" customHeight="1">
      <c r="A111" s="1627"/>
      <c r="B111" s="1951"/>
      <c r="C111" s="1660" t="s">
        <v>622</v>
      </c>
      <c r="D111" s="759">
        <v>0.29920762142543345</v>
      </c>
      <c r="E111" s="762">
        <v>0.39876875225876157</v>
      </c>
      <c r="F111" s="762">
        <v>0.59873396269102785</v>
      </c>
      <c r="G111" s="762">
        <v>3.7976304681837947</v>
      </c>
      <c r="H111" s="763">
        <v>2.8934096467046597</v>
      </c>
      <c r="I111" s="761">
        <v>0.53065339357216557</v>
      </c>
      <c r="J111" s="762">
        <v>0.51838609139722092</v>
      </c>
      <c r="K111" s="762">
        <v>0.51748617354273641</v>
      </c>
      <c r="L111" s="762">
        <v>0.51733250167031231</v>
      </c>
      <c r="M111" s="763">
        <v>0.52192298893128586</v>
      </c>
      <c r="N111" s="352"/>
      <c r="O111" s="505"/>
      <c r="P111" s="506"/>
      <c r="Q111" s="507"/>
      <c r="R111" s="235"/>
      <c r="S111" s="505"/>
      <c r="T111" s="1661"/>
    </row>
    <row r="112" spans="1:20" s="1629" customFormat="1" ht="15" customHeight="1">
      <c r="A112" s="1627"/>
      <c r="B112" s="1951"/>
      <c r="C112" s="1660" t="s">
        <v>623</v>
      </c>
      <c r="D112" s="759">
        <v>0</v>
      </c>
      <c r="E112" s="762">
        <v>0</v>
      </c>
      <c r="F112" s="762">
        <v>0</v>
      </c>
      <c r="G112" s="762">
        <v>0</v>
      </c>
      <c r="H112" s="763">
        <v>0</v>
      </c>
      <c r="I112" s="761">
        <v>0</v>
      </c>
      <c r="J112" s="762">
        <v>0</v>
      </c>
      <c r="K112" s="762">
        <v>0</v>
      </c>
      <c r="L112" s="762">
        <v>0</v>
      </c>
      <c r="M112" s="763">
        <v>0</v>
      </c>
      <c r="N112" s="352"/>
      <c r="O112" s="505"/>
      <c r="P112" s="506"/>
      <c r="Q112" s="507"/>
      <c r="R112" s="235"/>
      <c r="S112" s="505"/>
      <c r="T112" s="1661"/>
    </row>
    <row r="113" spans="1:20" s="1629" customFormat="1" ht="15" customHeight="1">
      <c r="A113" s="1627"/>
      <c r="B113" s="1951"/>
      <c r="C113" s="1660" t="s">
        <v>624</v>
      </c>
      <c r="D113" s="759">
        <v>0</v>
      </c>
      <c r="E113" s="762">
        <v>0</v>
      </c>
      <c r="F113" s="762">
        <v>0</v>
      </c>
      <c r="G113" s="762">
        <v>0</v>
      </c>
      <c r="H113" s="763">
        <v>0</v>
      </c>
      <c r="I113" s="761">
        <v>0</v>
      </c>
      <c r="J113" s="762">
        <v>0</v>
      </c>
      <c r="K113" s="762">
        <v>0</v>
      </c>
      <c r="L113" s="762">
        <v>0</v>
      </c>
      <c r="M113" s="763">
        <v>0</v>
      </c>
      <c r="N113" s="352"/>
      <c r="O113" s="505"/>
      <c r="P113" s="506"/>
      <c r="Q113" s="507"/>
      <c r="R113" s="235"/>
      <c r="S113" s="505"/>
      <c r="T113" s="1661"/>
    </row>
    <row r="114" spans="1:20" s="1629" customFormat="1" ht="15" customHeight="1">
      <c r="A114" s="1627"/>
      <c r="B114" s="1952"/>
      <c r="C114" s="1662" t="s">
        <v>711</v>
      </c>
      <c r="D114" s="772">
        <v>0.39894349523391126</v>
      </c>
      <c r="E114" s="772">
        <v>0.49846094032345195</v>
      </c>
      <c r="F114" s="772">
        <v>0.69852295647286589</v>
      </c>
      <c r="G114" s="772">
        <v>4.9145806058849111</v>
      </c>
      <c r="H114" s="773">
        <v>4.7852544157038608</v>
      </c>
      <c r="I114" s="774">
        <v>1.2735681445731974</v>
      </c>
      <c r="J114" s="772">
        <v>1.2441266193533302</v>
      </c>
      <c r="K114" s="772">
        <v>1.3454640512111147</v>
      </c>
      <c r="L114" s="772">
        <v>1.3450645043428118</v>
      </c>
      <c r="M114" s="773">
        <v>1.3569997712213433</v>
      </c>
      <c r="N114" s="352"/>
      <c r="O114" s="505">
        <v>1.595927392030229</v>
      </c>
      <c r="P114" s="506">
        <v>9.6998350215887719</v>
      </c>
      <c r="Q114" s="507">
        <v>11.295762413619002</v>
      </c>
      <c r="R114" s="235"/>
      <c r="S114" s="505">
        <v>6.5652230907017977</v>
      </c>
      <c r="T114" s="1661">
        <v>-0.41878884750742618</v>
      </c>
    </row>
    <row r="115" spans="1:20" s="1629" customFormat="1" ht="15" customHeight="1">
      <c r="A115" s="1627"/>
      <c r="B115" s="1949" t="s">
        <v>238</v>
      </c>
      <c r="C115" s="1660" t="s">
        <v>620</v>
      </c>
      <c r="D115" s="759">
        <v>1.2965663595102117</v>
      </c>
      <c r="E115" s="762">
        <v>1.2959984448409752</v>
      </c>
      <c r="F115" s="762">
        <v>1.2972569191638936</v>
      </c>
      <c r="G115" s="762">
        <v>5.5847506885055802</v>
      </c>
      <c r="H115" s="763">
        <v>5.1191093749390122</v>
      </c>
      <c r="I115" s="761">
        <v>2.2287442530030956</v>
      </c>
      <c r="J115" s="762">
        <v>1.9698671473094393</v>
      </c>
      <c r="K115" s="762">
        <v>1.8629502247538514</v>
      </c>
      <c r="L115" s="762">
        <v>1.7589305056790614</v>
      </c>
      <c r="M115" s="763">
        <v>1.7745381623663716</v>
      </c>
      <c r="N115" s="352"/>
      <c r="O115" s="505">
        <v>3.8898217235150803</v>
      </c>
      <c r="P115" s="506">
        <v>10.703860063444592</v>
      </c>
      <c r="Q115" s="507">
        <v>14.593681786959671</v>
      </c>
      <c r="R115" s="235"/>
      <c r="S115" s="505">
        <v>9.5950302931118188</v>
      </c>
      <c r="T115" s="1661">
        <v>-0.34252161769858835</v>
      </c>
    </row>
    <row r="116" spans="1:20" s="1629" customFormat="1" ht="15" customHeight="1">
      <c r="A116" s="1627"/>
      <c r="B116" s="1951"/>
      <c r="C116" s="1660" t="s">
        <v>621</v>
      </c>
      <c r="D116" s="759">
        <v>0.59841524285086689</v>
      </c>
      <c r="E116" s="762">
        <v>0.59815312838814227</v>
      </c>
      <c r="F116" s="762">
        <v>0.59873396269102785</v>
      </c>
      <c r="G116" s="762">
        <v>2.457290302942456</v>
      </c>
      <c r="H116" s="763">
        <v>3.5611195651749656</v>
      </c>
      <c r="I116" s="761">
        <v>4.139096469862892</v>
      </c>
      <c r="J116" s="762">
        <v>3.836057076339435</v>
      </c>
      <c r="K116" s="762">
        <v>3.6224032147991552</v>
      </c>
      <c r="L116" s="762">
        <v>3.4143945110240606</v>
      </c>
      <c r="M116" s="763">
        <v>3.3403071291602298</v>
      </c>
      <c r="N116" s="352"/>
      <c r="O116" s="505">
        <v>1.7953023339300369</v>
      </c>
      <c r="P116" s="506">
        <v>6.0184098681174216</v>
      </c>
      <c r="Q116" s="507">
        <v>7.8137122020474585</v>
      </c>
      <c r="R116" s="235"/>
      <c r="S116" s="505">
        <v>18.352258401185772</v>
      </c>
      <c r="T116" s="1661">
        <v>1.3487246428626916</v>
      </c>
    </row>
    <row r="117" spans="1:20" s="1629" customFormat="1" ht="15" customHeight="1">
      <c r="A117" s="1627"/>
      <c r="B117" s="1951"/>
      <c r="C117" s="1660" t="s">
        <v>622</v>
      </c>
      <c r="D117" s="759">
        <v>0.79788699046782252</v>
      </c>
      <c r="E117" s="762">
        <v>0.79753750451752314</v>
      </c>
      <c r="F117" s="762">
        <v>0.79831195025470381</v>
      </c>
      <c r="G117" s="762">
        <v>3.5742404406435715</v>
      </c>
      <c r="H117" s="763">
        <v>1.4467048233523299</v>
      </c>
      <c r="I117" s="761">
        <v>0</v>
      </c>
      <c r="J117" s="762">
        <v>0</v>
      </c>
      <c r="K117" s="762">
        <v>0</v>
      </c>
      <c r="L117" s="762">
        <v>0</v>
      </c>
      <c r="M117" s="763">
        <v>0</v>
      </c>
      <c r="N117" s="352"/>
      <c r="O117" s="505"/>
      <c r="P117" s="506"/>
      <c r="Q117" s="507"/>
      <c r="R117" s="235"/>
      <c r="S117" s="505"/>
      <c r="T117" s="1661"/>
    </row>
    <row r="118" spans="1:20" s="1629" customFormat="1" ht="15" customHeight="1">
      <c r="A118" s="1627"/>
      <c r="B118" s="1951"/>
      <c r="C118" s="1660" t="s">
        <v>623</v>
      </c>
      <c r="D118" s="759">
        <v>0</v>
      </c>
      <c r="E118" s="762">
        <v>0</v>
      </c>
      <c r="F118" s="762">
        <v>0</v>
      </c>
      <c r="G118" s="762">
        <v>0</v>
      </c>
      <c r="H118" s="763">
        <v>0</v>
      </c>
      <c r="I118" s="761">
        <v>0</v>
      </c>
      <c r="J118" s="762">
        <v>0</v>
      </c>
      <c r="K118" s="762">
        <v>0</v>
      </c>
      <c r="L118" s="762">
        <v>0</v>
      </c>
      <c r="M118" s="763">
        <v>0</v>
      </c>
      <c r="N118" s="352"/>
      <c r="O118" s="505"/>
      <c r="P118" s="506"/>
      <c r="Q118" s="507"/>
      <c r="R118" s="235"/>
      <c r="S118" s="505"/>
      <c r="T118" s="1661"/>
    </row>
    <row r="119" spans="1:20" s="1629" customFormat="1" ht="15" customHeight="1">
      <c r="A119" s="1627"/>
      <c r="B119" s="1951"/>
      <c r="C119" s="1660" t="s">
        <v>624</v>
      </c>
      <c r="D119" s="759">
        <v>0</v>
      </c>
      <c r="E119" s="762">
        <v>0</v>
      </c>
      <c r="F119" s="762">
        <v>0</v>
      </c>
      <c r="G119" s="762">
        <v>0</v>
      </c>
      <c r="H119" s="763">
        <v>0</v>
      </c>
      <c r="I119" s="761">
        <v>0</v>
      </c>
      <c r="J119" s="762">
        <v>0</v>
      </c>
      <c r="K119" s="762">
        <v>0</v>
      </c>
      <c r="L119" s="762">
        <v>0</v>
      </c>
      <c r="M119" s="763">
        <v>0</v>
      </c>
      <c r="N119" s="352"/>
      <c r="O119" s="505"/>
      <c r="P119" s="506"/>
      <c r="Q119" s="507"/>
      <c r="R119" s="235"/>
      <c r="S119" s="505"/>
      <c r="T119" s="1661"/>
    </row>
    <row r="120" spans="1:20" s="1629" customFormat="1" ht="15" customHeight="1">
      <c r="A120" s="1627"/>
      <c r="B120" s="1952"/>
      <c r="C120" s="1662" t="s">
        <v>711</v>
      </c>
      <c r="D120" s="772">
        <v>2.6928685928289013</v>
      </c>
      <c r="E120" s="772">
        <v>2.6916890777466405</v>
      </c>
      <c r="F120" s="772">
        <v>2.6943028321096252</v>
      </c>
      <c r="G120" s="772">
        <v>11.616281432091608</v>
      </c>
      <c r="H120" s="773">
        <v>10.126933763466308</v>
      </c>
      <c r="I120" s="774">
        <v>6.3678407228659877</v>
      </c>
      <c r="J120" s="772">
        <v>5.8059242236488746</v>
      </c>
      <c r="K120" s="772">
        <v>5.4853534395530064</v>
      </c>
      <c r="L120" s="772">
        <v>5.1733250167031217</v>
      </c>
      <c r="M120" s="773">
        <v>5.1148452915266009</v>
      </c>
      <c r="N120" s="352"/>
      <c r="O120" s="505">
        <v>8.078860502685167</v>
      </c>
      <c r="P120" s="506">
        <v>21.743215195557916</v>
      </c>
      <c r="Q120" s="507">
        <v>29.822075698243083</v>
      </c>
      <c r="R120" s="235"/>
      <c r="S120" s="505">
        <v>27.94728869429759</v>
      </c>
      <c r="T120" s="1661">
        <v>-6.2865744923849901E-2</v>
      </c>
    </row>
    <row r="121" spans="1:20" s="1629" customFormat="1" ht="15" customHeight="1">
      <c r="A121" s="1627"/>
      <c r="B121" s="1948" t="s">
        <v>712</v>
      </c>
      <c r="C121" s="1660" t="s">
        <v>620</v>
      </c>
      <c r="D121" s="759">
        <v>9.9735873808477815E-2</v>
      </c>
      <c r="E121" s="762">
        <v>0.49846094032345195</v>
      </c>
      <c r="F121" s="762">
        <v>0.99788993781837976</v>
      </c>
      <c r="G121" s="762">
        <v>3.4625454268734597</v>
      </c>
      <c r="H121" s="763">
        <v>0.66770991847030603</v>
      </c>
      <c r="I121" s="761">
        <v>0</v>
      </c>
      <c r="J121" s="762">
        <v>0.10367721827944419</v>
      </c>
      <c r="K121" s="762">
        <v>0.41398893883418919</v>
      </c>
      <c r="L121" s="762">
        <v>0</v>
      </c>
      <c r="M121" s="763">
        <v>0.20876919557251436</v>
      </c>
      <c r="N121" s="352"/>
      <c r="O121" s="505">
        <v>1.5960867519503097</v>
      </c>
      <c r="P121" s="506">
        <v>4.130255345343766</v>
      </c>
      <c r="Q121" s="507">
        <v>5.7263420972940757</v>
      </c>
      <c r="R121" s="235"/>
      <c r="S121" s="505">
        <v>0.72643535268614778</v>
      </c>
      <c r="T121" s="1661">
        <v>-0.87314146791379843</v>
      </c>
    </row>
    <row r="122" spans="1:20" s="1629" customFormat="1" ht="15" customHeight="1">
      <c r="A122" s="1627"/>
      <c r="B122" s="1949"/>
      <c r="C122" s="1660" t="s">
        <v>621</v>
      </c>
      <c r="D122" s="759">
        <v>0</v>
      </c>
      <c r="E122" s="762">
        <v>0</v>
      </c>
      <c r="F122" s="762">
        <v>0</v>
      </c>
      <c r="G122" s="762">
        <v>0</v>
      </c>
      <c r="H122" s="763">
        <v>0</v>
      </c>
      <c r="I122" s="761">
        <v>1.804221538145363</v>
      </c>
      <c r="J122" s="762">
        <v>5.9096014419283183</v>
      </c>
      <c r="K122" s="762">
        <v>1.9664474594623982</v>
      </c>
      <c r="L122" s="762">
        <v>11.070915535744682</v>
      </c>
      <c r="M122" s="763">
        <v>6.8893834538929735</v>
      </c>
      <c r="N122" s="352"/>
      <c r="O122" s="505">
        <v>0</v>
      </c>
      <c r="P122" s="506">
        <v>0</v>
      </c>
      <c r="Q122" s="507">
        <v>0</v>
      </c>
      <c r="R122" s="235"/>
      <c r="S122" s="505">
        <v>27.640569429173738</v>
      </c>
      <c r="T122" s="1661" t="s">
        <v>1023</v>
      </c>
    </row>
    <row r="123" spans="1:20" s="1629" customFormat="1" ht="15" customHeight="1">
      <c r="A123" s="1627"/>
      <c r="B123" s="1949"/>
      <c r="C123" s="1660" t="s">
        <v>622</v>
      </c>
      <c r="D123" s="759">
        <v>0</v>
      </c>
      <c r="E123" s="762">
        <v>0</v>
      </c>
      <c r="F123" s="762">
        <v>0</v>
      </c>
      <c r="G123" s="762">
        <v>0</v>
      </c>
      <c r="H123" s="763">
        <v>0.22256997282343535</v>
      </c>
      <c r="I123" s="761">
        <v>0</v>
      </c>
      <c r="J123" s="762">
        <v>0.41470887311777677</v>
      </c>
      <c r="K123" s="762">
        <v>0</v>
      </c>
      <c r="L123" s="762">
        <v>0</v>
      </c>
      <c r="M123" s="763">
        <v>0</v>
      </c>
      <c r="N123" s="352"/>
      <c r="O123" s="505"/>
      <c r="P123" s="506"/>
      <c r="Q123" s="507"/>
      <c r="R123" s="235"/>
      <c r="S123" s="505"/>
      <c r="T123" s="1661"/>
    </row>
    <row r="124" spans="1:20" s="1629" customFormat="1" ht="15" customHeight="1">
      <c r="A124" s="1627"/>
      <c r="B124" s="1949"/>
      <c r="C124" s="1660" t="s">
        <v>624</v>
      </c>
      <c r="D124" s="759">
        <v>0</v>
      </c>
      <c r="E124" s="762">
        <v>0</v>
      </c>
      <c r="F124" s="762">
        <v>0</v>
      </c>
      <c r="G124" s="762">
        <v>0</v>
      </c>
      <c r="H124" s="763">
        <v>0</v>
      </c>
      <c r="I124" s="761">
        <v>0</v>
      </c>
      <c r="J124" s="762">
        <v>0</v>
      </c>
      <c r="K124" s="762">
        <v>0</v>
      </c>
      <c r="L124" s="762">
        <v>0</v>
      </c>
      <c r="M124" s="763">
        <v>0</v>
      </c>
      <c r="N124" s="352"/>
      <c r="O124" s="505"/>
      <c r="P124" s="506"/>
      <c r="Q124" s="507"/>
      <c r="R124" s="235"/>
      <c r="S124" s="505"/>
      <c r="T124" s="1661"/>
    </row>
    <row r="125" spans="1:20" s="1629" customFormat="1" ht="15" customHeight="1">
      <c r="A125" s="1627"/>
      <c r="B125" s="1948" t="s">
        <v>713</v>
      </c>
      <c r="C125" s="1660" t="s">
        <v>714</v>
      </c>
      <c r="D125" s="759">
        <v>0</v>
      </c>
      <c r="E125" s="762">
        <v>0</v>
      </c>
      <c r="F125" s="762">
        <v>0</v>
      </c>
      <c r="G125" s="762">
        <v>0</v>
      </c>
      <c r="H125" s="763">
        <v>0</v>
      </c>
      <c r="I125" s="761">
        <v>0</v>
      </c>
      <c r="J125" s="762">
        <v>0</v>
      </c>
      <c r="K125" s="762">
        <v>0</v>
      </c>
      <c r="L125" s="762">
        <v>0</v>
      </c>
      <c r="M125" s="763">
        <v>0</v>
      </c>
      <c r="N125" s="352"/>
      <c r="O125" s="505">
        <v>0</v>
      </c>
      <c r="P125" s="506">
        <v>0</v>
      </c>
      <c r="Q125" s="507">
        <v>0</v>
      </c>
      <c r="R125" s="235"/>
      <c r="S125" s="505">
        <v>0</v>
      </c>
      <c r="T125" s="1661" t="s">
        <v>1023</v>
      </c>
    </row>
    <row r="126" spans="1:20" s="1629" customFormat="1" ht="15" customHeight="1">
      <c r="A126" s="1627"/>
      <c r="B126" s="1949"/>
      <c r="C126" s="1662" t="s">
        <v>715</v>
      </c>
      <c r="D126" s="759">
        <v>0</v>
      </c>
      <c r="E126" s="762">
        <v>0</v>
      </c>
      <c r="F126" s="762">
        <v>0</v>
      </c>
      <c r="G126" s="762">
        <v>0</v>
      </c>
      <c r="H126" s="763">
        <v>0</v>
      </c>
      <c r="I126" s="761">
        <v>0.21226135742886626</v>
      </c>
      <c r="J126" s="762">
        <v>0</v>
      </c>
      <c r="K126" s="762">
        <v>0</v>
      </c>
      <c r="L126" s="762">
        <v>0.10346650033406245</v>
      </c>
      <c r="M126" s="763">
        <v>0.31315379335877147</v>
      </c>
      <c r="N126" s="352"/>
      <c r="O126" s="505">
        <v>0</v>
      </c>
      <c r="P126" s="506">
        <v>0</v>
      </c>
      <c r="Q126" s="507">
        <v>0</v>
      </c>
      <c r="R126" s="235"/>
      <c r="S126" s="505">
        <v>0.62888165112170014</v>
      </c>
      <c r="T126" s="1661" t="s">
        <v>1023</v>
      </c>
    </row>
    <row r="127" spans="1:20" s="1629" customFormat="1" ht="15" customHeight="1">
      <c r="A127" s="1627"/>
      <c r="B127" s="1949"/>
      <c r="C127" s="1660" t="s">
        <v>622</v>
      </c>
      <c r="D127" s="759">
        <v>0</v>
      </c>
      <c r="E127" s="759">
        <v>0</v>
      </c>
      <c r="F127" s="759">
        <v>0</v>
      </c>
      <c r="G127" s="759">
        <v>0</v>
      </c>
      <c r="H127" s="760">
        <v>0</v>
      </c>
      <c r="I127" s="761">
        <v>0</v>
      </c>
      <c r="J127" s="759">
        <v>0</v>
      </c>
      <c r="K127" s="759">
        <v>0</v>
      </c>
      <c r="L127" s="759">
        <v>0.20693300066812489</v>
      </c>
      <c r="M127" s="760">
        <v>0</v>
      </c>
      <c r="N127" s="352"/>
      <c r="O127" s="505"/>
      <c r="P127" s="506"/>
      <c r="Q127" s="507"/>
      <c r="R127" s="235"/>
      <c r="S127" s="505"/>
      <c r="T127" s="1661"/>
    </row>
    <row r="128" spans="1:20" s="1629" customFormat="1" ht="15" customHeight="1">
      <c r="A128" s="1627"/>
      <c r="B128" s="1949"/>
      <c r="C128" s="1660" t="s">
        <v>716</v>
      </c>
      <c r="D128" s="759">
        <v>0</v>
      </c>
      <c r="E128" s="759">
        <v>0</v>
      </c>
      <c r="F128" s="759">
        <v>0</v>
      </c>
      <c r="G128" s="759">
        <v>0</v>
      </c>
      <c r="H128" s="760">
        <v>0</v>
      </c>
      <c r="I128" s="761">
        <v>0</v>
      </c>
      <c r="J128" s="759">
        <v>0</v>
      </c>
      <c r="K128" s="759">
        <v>0</v>
      </c>
      <c r="L128" s="759">
        <v>0.82773200267249958</v>
      </c>
      <c r="M128" s="760">
        <v>0</v>
      </c>
      <c r="N128" s="352"/>
      <c r="O128" s="505"/>
      <c r="P128" s="506"/>
      <c r="Q128" s="507"/>
      <c r="R128" s="235"/>
      <c r="S128" s="505"/>
      <c r="T128" s="1661"/>
    </row>
    <row r="129" spans="1:20" s="1629" customFormat="1" ht="15" customHeight="1">
      <c r="A129" s="1627"/>
      <c r="B129" s="1663" t="s">
        <v>717</v>
      </c>
      <c r="C129" s="1662" t="s">
        <v>711</v>
      </c>
      <c r="D129" s="772">
        <v>9.9735873808477815E-2</v>
      </c>
      <c r="E129" s="772">
        <v>0.49846094032345195</v>
      </c>
      <c r="F129" s="772">
        <v>0.99788993781837976</v>
      </c>
      <c r="G129" s="772">
        <v>3.4625454268734597</v>
      </c>
      <c r="H129" s="773">
        <v>0.89027989129374141</v>
      </c>
      <c r="I129" s="774">
        <v>2.0164828955742293</v>
      </c>
      <c r="J129" s="772">
        <v>6.4279875333255392</v>
      </c>
      <c r="K129" s="772">
        <v>2.3804363982965873</v>
      </c>
      <c r="L129" s="772">
        <v>12.209047039419369</v>
      </c>
      <c r="M129" s="773">
        <v>7.4113064428242588</v>
      </c>
      <c r="N129" s="352"/>
      <c r="O129" s="505">
        <v>1.5960867519503097</v>
      </c>
      <c r="P129" s="506">
        <v>4.3528253181672012</v>
      </c>
      <c r="Q129" s="507">
        <v>5.9489120701175109</v>
      </c>
      <c r="R129" s="235"/>
      <c r="S129" s="505">
        <v>30.445260309439984</v>
      </c>
      <c r="T129" s="1661">
        <v>4.1177862356332637</v>
      </c>
    </row>
    <row r="130" spans="1:20" s="1629" customFormat="1" ht="15" customHeight="1">
      <c r="A130" s="1627"/>
      <c r="B130" s="1948" t="s">
        <v>718</v>
      </c>
      <c r="C130" s="1660" t="s">
        <v>620</v>
      </c>
      <c r="D130" s="759">
        <v>0</v>
      </c>
      <c r="E130" s="762">
        <v>0</v>
      </c>
      <c r="F130" s="762">
        <v>0</v>
      </c>
      <c r="G130" s="762">
        <v>0</v>
      </c>
      <c r="H130" s="763">
        <v>0</v>
      </c>
      <c r="I130" s="761">
        <v>0</v>
      </c>
      <c r="J130" s="762">
        <v>0</v>
      </c>
      <c r="K130" s="762">
        <v>0</v>
      </c>
      <c r="L130" s="762">
        <v>0</v>
      </c>
      <c r="M130" s="763">
        <v>0</v>
      </c>
      <c r="N130" s="352"/>
      <c r="O130" s="505">
        <v>0</v>
      </c>
      <c r="P130" s="506">
        <v>0</v>
      </c>
      <c r="Q130" s="507">
        <v>0</v>
      </c>
      <c r="R130" s="235"/>
      <c r="S130" s="505">
        <v>0</v>
      </c>
      <c r="T130" s="1661" t="s">
        <v>1023</v>
      </c>
    </row>
    <row r="131" spans="1:20" s="1629" customFormat="1" ht="15" customHeight="1">
      <c r="A131" s="1627"/>
      <c r="B131" s="1949"/>
      <c r="C131" s="1660" t="s">
        <v>621</v>
      </c>
      <c r="D131" s="759">
        <v>0</v>
      </c>
      <c r="E131" s="762">
        <v>0</v>
      </c>
      <c r="F131" s="762">
        <v>0</v>
      </c>
      <c r="G131" s="762">
        <v>0</v>
      </c>
      <c r="H131" s="763">
        <v>0</v>
      </c>
      <c r="I131" s="761">
        <v>0</v>
      </c>
      <c r="J131" s="762">
        <v>0</v>
      </c>
      <c r="K131" s="762">
        <v>0</v>
      </c>
      <c r="L131" s="762">
        <v>0</v>
      </c>
      <c r="M131" s="763">
        <v>0</v>
      </c>
      <c r="N131" s="352"/>
      <c r="O131" s="505">
        <v>0</v>
      </c>
      <c r="P131" s="506">
        <v>0</v>
      </c>
      <c r="Q131" s="507">
        <v>0</v>
      </c>
      <c r="R131" s="235"/>
      <c r="S131" s="505">
        <v>0</v>
      </c>
      <c r="T131" s="1661" t="s">
        <v>1023</v>
      </c>
    </row>
    <row r="132" spans="1:20" s="1629" customFormat="1" ht="15" customHeight="1">
      <c r="A132" s="1627"/>
      <c r="B132" s="1949"/>
      <c r="C132" s="1660" t="s">
        <v>622</v>
      </c>
      <c r="D132" s="759">
        <v>0</v>
      </c>
      <c r="E132" s="762">
        <v>0</v>
      </c>
      <c r="F132" s="762">
        <v>0</v>
      </c>
      <c r="G132" s="762">
        <v>0</v>
      </c>
      <c r="H132" s="763">
        <v>0</v>
      </c>
      <c r="I132" s="761">
        <v>0</v>
      </c>
      <c r="J132" s="762">
        <v>0</v>
      </c>
      <c r="K132" s="762">
        <v>0</v>
      </c>
      <c r="L132" s="762">
        <v>0</v>
      </c>
      <c r="M132" s="763">
        <v>0</v>
      </c>
      <c r="N132" s="352"/>
      <c r="O132" s="505"/>
      <c r="P132" s="506"/>
      <c r="Q132" s="507"/>
      <c r="R132" s="235"/>
      <c r="S132" s="505"/>
      <c r="T132" s="1661"/>
    </row>
    <row r="133" spans="1:20" s="1629" customFormat="1" ht="15" customHeight="1">
      <c r="A133" s="1627"/>
      <c r="B133" s="1949"/>
      <c r="C133" s="1660" t="s">
        <v>624</v>
      </c>
      <c r="D133" s="759">
        <v>0</v>
      </c>
      <c r="E133" s="762">
        <v>0</v>
      </c>
      <c r="F133" s="762">
        <v>0</v>
      </c>
      <c r="G133" s="762">
        <v>0</v>
      </c>
      <c r="H133" s="763">
        <v>0</v>
      </c>
      <c r="I133" s="761">
        <v>0</v>
      </c>
      <c r="J133" s="762">
        <v>0</v>
      </c>
      <c r="K133" s="762">
        <v>0</v>
      </c>
      <c r="L133" s="762">
        <v>0</v>
      </c>
      <c r="M133" s="763">
        <v>0</v>
      </c>
      <c r="N133" s="352"/>
      <c r="O133" s="505"/>
      <c r="P133" s="506"/>
      <c r="Q133" s="507"/>
      <c r="R133" s="235"/>
      <c r="S133" s="505"/>
      <c r="T133" s="1661"/>
    </row>
    <row r="134" spans="1:20" s="1629" customFormat="1" ht="15" customHeight="1">
      <c r="A134" s="1627"/>
      <c r="B134" s="1948" t="s">
        <v>719</v>
      </c>
      <c r="C134" s="1660" t="s">
        <v>714</v>
      </c>
      <c r="D134" s="759">
        <v>0</v>
      </c>
      <c r="E134" s="762">
        <v>0</v>
      </c>
      <c r="F134" s="762">
        <v>0</v>
      </c>
      <c r="G134" s="762">
        <v>0</v>
      </c>
      <c r="H134" s="763">
        <v>0</v>
      </c>
      <c r="I134" s="761">
        <v>0</v>
      </c>
      <c r="J134" s="762">
        <v>0</v>
      </c>
      <c r="K134" s="762">
        <v>0</v>
      </c>
      <c r="L134" s="762">
        <v>0</v>
      </c>
      <c r="M134" s="763">
        <v>0</v>
      </c>
      <c r="N134" s="352"/>
      <c r="O134" s="505"/>
      <c r="P134" s="506"/>
      <c r="Q134" s="507"/>
      <c r="R134" s="235"/>
      <c r="S134" s="505"/>
      <c r="T134" s="1661"/>
    </row>
    <row r="135" spans="1:20" s="1629" customFormat="1" ht="15" customHeight="1">
      <c r="A135" s="1627"/>
      <c r="B135" s="1949"/>
      <c r="C135" s="1662" t="s">
        <v>715</v>
      </c>
      <c r="D135" s="759">
        <v>0.79788699046782252</v>
      </c>
      <c r="E135" s="762">
        <v>0.89722969258221352</v>
      </c>
      <c r="F135" s="762">
        <v>7.7835415149833613</v>
      </c>
      <c r="G135" s="762">
        <v>8.3771260327583708</v>
      </c>
      <c r="H135" s="763">
        <v>3.7836895379984008</v>
      </c>
      <c r="I135" s="761">
        <v>2.1226135742886623</v>
      </c>
      <c r="J135" s="762">
        <v>0</v>
      </c>
      <c r="K135" s="762">
        <v>0.72448064295983106</v>
      </c>
      <c r="L135" s="762">
        <v>0</v>
      </c>
      <c r="M135" s="763">
        <v>4.3841531070228017</v>
      </c>
      <c r="N135" s="352"/>
      <c r="O135" s="505">
        <v>9.478658198033397</v>
      </c>
      <c r="P135" s="506">
        <v>12.160815570756771</v>
      </c>
      <c r="Q135" s="507">
        <v>21.639473768790172</v>
      </c>
      <c r="R135" s="235"/>
      <c r="S135" s="505">
        <v>7.2312473242712949</v>
      </c>
      <c r="T135" s="1661">
        <v>-0.66583072206216676</v>
      </c>
    </row>
    <row r="136" spans="1:20" s="1629" customFormat="1" ht="15" customHeight="1">
      <c r="A136" s="1627"/>
      <c r="B136" s="1949"/>
      <c r="C136" s="1660" t="s">
        <v>622</v>
      </c>
      <c r="D136" s="759">
        <v>0</v>
      </c>
      <c r="E136" s="762">
        <v>0</v>
      </c>
      <c r="F136" s="762">
        <v>0</v>
      </c>
      <c r="G136" s="762">
        <v>0</v>
      </c>
      <c r="H136" s="763">
        <v>3.1159796195280949</v>
      </c>
      <c r="I136" s="761">
        <v>0</v>
      </c>
      <c r="J136" s="762">
        <v>0</v>
      </c>
      <c r="K136" s="762">
        <v>0</v>
      </c>
      <c r="L136" s="762">
        <v>0</v>
      </c>
      <c r="M136" s="763">
        <v>0</v>
      </c>
      <c r="N136" s="352"/>
      <c r="O136" s="505"/>
      <c r="P136" s="506"/>
      <c r="Q136" s="507"/>
      <c r="R136" s="235"/>
      <c r="S136" s="505"/>
      <c r="T136" s="1661"/>
    </row>
    <row r="137" spans="1:20" s="1629" customFormat="1" ht="15" customHeight="1">
      <c r="A137" s="1627"/>
      <c r="B137" s="1949"/>
      <c r="C137" s="1660" t="s">
        <v>716</v>
      </c>
      <c r="D137" s="759">
        <v>0</v>
      </c>
      <c r="E137" s="762">
        <v>0</v>
      </c>
      <c r="F137" s="762">
        <v>0</v>
      </c>
      <c r="G137" s="762">
        <v>0</v>
      </c>
      <c r="H137" s="763">
        <v>0</v>
      </c>
      <c r="I137" s="761">
        <v>0.63678407228659872</v>
      </c>
      <c r="J137" s="762">
        <v>0</v>
      </c>
      <c r="K137" s="762">
        <v>0</v>
      </c>
      <c r="L137" s="762">
        <v>0</v>
      </c>
      <c r="M137" s="763">
        <v>0</v>
      </c>
      <c r="N137" s="352"/>
      <c r="O137" s="505">
        <v>0</v>
      </c>
      <c r="P137" s="506">
        <v>0</v>
      </c>
      <c r="Q137" s="507">
        <v>0</v>
      </c>
      <c r="R137" s="235"/>
      <c r="S137" s="505">
        <v>0.63678407228659872</v>
      </c>
      <c r="T137" s="1661" t="s">
        <v>1023</v>
      </c>
    </row>
    <row r="138" spans="1:20" s="1629" customFormat="1" ht="15" customHeight="1" thickBot="1">
      <c r="A138" s="1627"/>
      <c r="B138" s="670" t="s">
        <v>626</v>
      </c>
      <c r="C138" s="1664" t="s">
        <v>711</v>
      </c>
      <c r="D138" s="1665">
        <v>0.79788699046782252</v>
      </c>
      <c r="E138" s="1665">
        <v>0.89722969258221352</v>
      </c>
      <c r="F138" s="1665">
        <v>7.7835415149833613</v>
      </c>
      <c r="G138" s="1665">
        <v>8.3771260327583708</v>
      </c>
      <c r="H138" s="1666">
        <v>6.8996691575264961</v>
      </c>
      <c r="I138" s="1667">
        <v>2.7593976465752608</v>
      </c>
      <c r="J138" s="1665">
        <v>0</v>
      </c>
      <c r="K138" s="1665">
        <v>0.72448064295983106</v>
      </c>
      <c r="L138" s="1665">
        <v>0</v>
      </c>
      <c r="M138" s="1666">
        <v>4.3841531070228017</v>
      </c>
      <c r="N138" s="352"/>
      <c r="O138" s="1376">
        <v>9.478658198033397</v>
      </c>
      <c r="P138" s="1377">
        <v>15.276795190284867</v>
      </c>
      <c r="Q138" s="1378">
        <v>24.755453388318266</v>
      </c>
      <c r="R138" s="235"/>
      <c r="S138" s="1376">
        <v>7.8680313965578934</v>
      </c>
      <c r="T138" s="1668">
        <v>-0.68216977192303407</v>
      </c>
    </row>
    <row r="139" spans="1:20" s="1629" customFormat="1" ht="15" customHeight="1">
      <c r="A139" s="1627"/>
      <c r="B139" s="1596"/>
      <c r="C139" s="1596"/>
      <c r="D139" s="1596"/>
      <c r="E139" s="1596"/>
      <c r="F139" s="1596"/>
      <c r="G139" s="1596"/>
      <c r="H139" s="1596"/>
      <c r="I139" s="1596"/>
      <c r="J139" s="1596"/>
      <c r="K139" s="1596"/>
      <c r="L139" s="1596"/>
      <c r="M139" s="1596"/>
      <c r="N139" s="1596"/>
      <c r="O139" s="1596"/>
      <c r="P139" s="1596"/>
      <c r="Q139" s="1596"/>
    </row>
    <row r="140" spans="1:20" s="1629" customFormat="1" ht="15" customHeight="1">
      <c r="A140" s="1627"/>
      <c r="B140" s="1010" t="s">
        <v>248</v>
      </c>
      <c r="C140" s="1596"/>
      <c r="D140" s="1596"/>
      <c r="E140" s="1596"/>
      <c r="F140" s="1596"/>
      <c r="G140" s="1596"/>
      <c r="H140" s="1596"/>
      <c r="I140" s="1596"/>
      <c r="J140" s="1596"/>
      <c r="K140" s="1596"/>
      <c r="L140" s="1596"/>
      <c r="M140" s="1596"/>
      <c r="N140" s="1596"/>
      <c r="O140" s="1596"/>
      <c r="P140" s="1596"/>
      <c r="Q140" s="1596"/>
    </row>
    <row r="141" spans="1:20" s="1629" customFormat="1" ht="15" customHeight="1" thickBot="1">
      <c r="A141" s="1627"/>
      <c r="B141" s="1596"/>
      <c r="C141" s="1596"/>
      <c r="E141" s="1596"/>
      <c r="F141" s="1596"/>
      <c r="G141" s="1596"/>
      <c r="H141" s="1596"/>
      <c r="I141" s="1596"/>
      <c r="J141" s="1596"/>
      <c r="K141" s="1596"/>
      <c r="L141" s="1596"/>
      <c r="M141" s="1596"/>
      <c r="N141" s="1596"/>
      <c r="O141" s="1596"/>
      <c r="P141" s="1596"/>
      <c r="Q141" s="1596"/>
    </row>
    <row r="142" spans="1:20" s="1629" customFormat="1" ht="15" customHeight="1">
      <c r="A142" s="1627"/>
      <c r="B142" s="1942" t="s">
        <v>113</v>
      </c>
      <c r="C142" s="1943"/>
      <c r="D142" s="1630" t="s">
        <v>114</v>
      </c>
      <c r="E142" s="1631"/>
      <c r="F142" s="1631"/>
      <c r="G142" s="1631"/>
      <c r="H142" s="1632"/>
      <c r="I142" s="1630" t="s">
        <v>115</v>
      </c>
      <c r="J142" s="1631"/>
      <c r="K142" s="1631"/>
      <c r="L142" s="1631"/>
      <c r="M142" s="1632"/>
      <c r="N142" s="1596"/>
      <c r="O142" s="1353" t="s">
        <v>116</v>
      </c>
      <c r="P142" s="1354"/>
      <c r="Q142" s="1355"/>
      <c r="R142" s="1006"/>
      <c r="S142" s="1353" t="s">
        <v>117</v>
      </c>
      <c r="T142" s="1355"/>
    </row>
    <row r="143" spans="1:20" s="1629" customFormat="1" ht="15" customHeight="1">
      <c r="A143" s="1627"/>
      <c r="B143" s="1944"/>
      <c r="C143" s="1945"/>
      <c r="D143" s="1633" t="s">
        <v>32</v>
      </c>
      <c r="E143" s="1634" t="s">
        <v>33</v>
      </c>
      <c r="F143" s="1634" t="s">
        <v>29</v>
      </c>
      <c r="G143" s="1634" t="s">
        <v>34</v>
      </c>
      <c r="H143" s="1635" t="s">
        <v>35</v>
      </c>
      <c r="I143" s="1633" t="s">
        <v>118</v>
      </c>
      <c r="J143" s="1634" t="s">
        <v>136</v>
      </c>
      <c r="K143" s="1634" t="s">
        <v>137</v>
      </c>
      <c r="L143" s="1634" t="s">
        <v>138</v>
      </c>
      <c r="M143" s="1635" t="s">
        <v>618</v>
      </c>
      <c r="N143" s="1596"/>
      <c r="O143" s="1360" t="s">
        <v>126</v>
      </c>
      <c r="P143" s="1361" t="s">
        <v>127</v>
      </c>
      <c r="Q143" s="1362" t="s">
        <v>245</v>
      </c>
      <c r="R143" s="1006"/>
      <c r="S143" s="1360" t="s">
        <v>127</v>
      </c>
      <c r="T143" s="1362" t="s">
        <v>128</v>
      </c>
    </row>
    <row r="144" spans="1:20" s="1629" customFormat="1" ht="15" customHeight="1">
      <c r="A144" s="1627"/>
      <c r="B144" s="1946"/>
      <c r="C144" s="1947"/>
      <c r="D144" s="1633" t="s">
        <v>14</v>
      </c>
      <c r="E144" s="1634" t="s">
        <v>14</v>
      </c>
      <c r="F144" s="1634" t="s">
        <v>14</v>
      </c>
      <c r="G144" s="1634" t="s">
        <v>14</v>
      </c>
      <c r="H144" s="1635" t="s">
        <v>14</v>
      </c>
      <c r="I144" s="1633" t="s">
        <v>14</v>
      </c>
      <c r="J144" s="1634" t="s">
        <v>14</v>
      </c>
      <c r="K144" s="1634" t="s">
        <v>14</v>
      </c>
      <c r="L144" s="1634" t="s">
        <v>14</v>
      </c>
      <c r="M144" s="1635" t="s">
        <v>14</v>
      </c>
      <c r="N144" s="1596"/>
      <c r="O144" s="1433"/>
      <c r="P144" s="1434"/>
      <c r="Q144" s="1435"/>
      <c r="R144" s="1006"/>
      <c r="S144" s="1637"/>
      <c r="T144" s="1638"/>
    </row>
    <row r="145" spans="1:20" s="1629" customFormat="1" ht="15" customHeight="1">
      <c r="A145" s="1627"/>
      <c r="B145" s="1669" t="s">
        <v>249</v>
      </c>
      <c r="C145" s="1670" t="s">
        <v>250</v>
      </c>
      <c r="D145" s="1671"/>
      <c r="E145" s="1596"/>
      <c r="F145" s="1596"/>
      <c r="G145" s="1596"/>
      <c r="H145" s="1672"/>
      <c r="I145" s="1673"/>
      <c r="J145" s="1596"/>
      <c r="K145" s="1596"/>
      <c r="L145" s="1596"/>
      <c r="M145" s="1672"/>
      <c r="N145" s="1596"/>
      <c r="O145" s="1673"/>
      <c r="P145" s="1596"/>
      <c r="Q145" s="1672"/>
      <c r="S145" s="1671"/>
      <c r="T145" s="1674"/>
    </row>
    <row r="146" spans="1:20" s="1629" customFormat="1" ht="15" customHeight="1">
      <c r="A146" s="1627"/>
      <c r="B146" s="1673"/>
      <c r="C146" s="1675" t="s">
        <v>251</v>
      </c>
      <c r="D146" s="1676"/>
      <c r="E146" s="1677"/>
      <c r="F146" s="1677"/>
      <c r="G146" s="1677"/>
      <c r="H146" s="1678"/>
      <c r="I146" s="1676"/>
      <c r="J146" s="1677"/>
      <c r="K146" s="1677"/>
      <c r="L146" s="1677"/>
      <c r="M146" s="1678"/>
      <c r="N146" s="1596"/>
      <c r="O146" s="505">
        <f t="shared" ref="O146:O153" si="0">SUM(D146:G146)</f>
        <v>0</v>
      </c>
      <c r="P146" s="506">
        <f t="shared" ref="P146:P153" si="1">H146</f>
        <v>0</v>
      </c>
      <c r="Q146" s="507">
        <f t="shared" ref="Q146:Q153" si="2">SUM(D146:H146)</f>
        <v>0</v>
      </c>
      <c r="R146" s="1006"/>
      <c r="S146" s="505">
        <f t="shared" ref="S146:S153" si="3">SUM(I146:M146)</f>
        <v>0</v>
      </c>
      <c r="T146" s="1661" t="str">
        <f t="shared" ref="T146:T153" si="4">IF(Q146&lt;&gt;0,(S146-Q146)/Q146,"0")</f>
        <v>0</v>
      </c>
    </row>
    <row r="147" spans="1:20" s="1629" customFormat="1" ht="15" customHeight="1">
      <c r="A147" s="1627"/>
      <c r="B147" s="1673"/>
      <c r="C147" s="1675" t="s">
        <v>252</v>
      </c>
      <c r="D147" s="667"/>
      <c r="E147" s="668"/>
      <c r="F147" s="668"/>
      <c r="G147" s="668"/>
      <c r="H147" s="669"/>
      <c r="I147" s="667"/>
      <c r="J147" s="668"/>
      <c r="K147" s="668"/>
      <c r="L147" s="668"/>
      <c r="M147" s="669"/>
      <c r="N147" s="1596"/>
      <c r="O147" s="505">
        <f t="shared" si="0"/>
        <v>0</v>
      </c>
      <c r="P147" s="506">
        <f t="shared" si="1"/>
        <v>0</v>
      </c>
      <c r="Q147" s="507">
        <f t="shared" si="2"/>
        <v>0</v>
      </c>
      <c r="R147" s="1006"/>
      <c r="S147" s="505">
        <f t="shared" si="3"/>
        <v>0</v>
      </c>
      <c r="T147" s="1661" t="str">
        <f t="shared" si="4"/>
        <v>0</v>
      </c>
    </row>
    <row r="148" spans="1:20" s="1629" customFormat="1" ht="15" customHeight="1">
      <c r="A148" s="1627"/>
      <c r="B148" s="1673"/>
      <c r="C148" s="1007"/>
      <c r="D148" s="667"/>
      <c r="E148" s="668"/>
      <c r="F148" s="668"/>
      <c r="G148" s="668"/>
      <c r="H148" s="669"/>
      <c r="I148" s="667"/>
      <c r="J148" s="668"/>
      <c r="K148" s="668"/>
      <c r="L148" s="668"/>
      <c r="M148" s="669"/>
      <c r="N148" s="1596"/>
      <c r="O148" s="505">
        <f t="shared" si="0"/>
        <v>0</v>
      </c>
      <c r="P148" s="506">
        <f t="shared" si="1"/>
        <v>0</v>
      </c>
      <c r="Q148" s="507">
        <f t="shared" si="2"/>
        <v>0</v>
      </c>
      <c r="R148" s="1006"/>
      <c r="S148" s="505">
        <f t="shared" si="3"/>
        <v>0</v>
      </c>
      <c r="T148" s="1661" t="str">
        <f t="shared" si="4"/>
        <v>0</v>
      </c>
    </row>
    <row r="149" spans="1:20" s="1629" customFormat="1" ht="15" customHeight="1">
      <c r="A149" s="1627"/>
      <c r="B149" s="1673"/>
      <c r="C149" s="1670"/>
      <c r="D149" s="1671"/>
      <c r="E149" s="1596"/>
      <c r="F149" s="1596"/>
      <c r="G149" s="1596"/>
      <c r="H149" s="1672"/>
      <c r="I149" s="1673"/>
      <c r="J149" s="1596"/>
      <c r="K149" s="1596"/>
      <c r="L149" s="1596"/>
      <c r="M149" s="1672"/>
      <c r="N149" s="1596"/>
      <c r="O149" s="1368"/>
      <c r="P149" s="1371"/>
      <c r="Q149" s="1370"/>
      <c r="R149" s="1008"/>
      <c r="S149" s="1368"/>
      <c r="T149" s="1679"/>
    </row>
    <row r="150" spans="1:20" s="1629" customFormat="1" ht="15" customHeight="1">
      <c r="A150" s="1627"/>
      <c r="B150" s="1673"/>
      <c r="C150" s="1670" t="s">
        <v>253</v>
      </c>
      <c r="D150" s="1671"/>
      <c r="E150" s="1596"/>
      <c r="F150" s="1596"/>
      <c r="G150" s="1596"/>
      <c r="H150" s="1672"/>
      <c r="I150" s="1673"/>
      <c r="J150" s="1596"/>
      <c r="K150" s="1596"/>
      <c r="L150" s="1596"/>
      <c r="M150" s="1672"/>
      <c r="N150" s="1596"/>
      <c r="O150" s="1368"/>
      <c r="P150" s="1371"/>
      <c r="Q150" s="1370"/>
      <c r="R150" s="1008"/>
      <c r="S150" s="1368"/>
      <c r="T150" s="1679"/>
    </row>
    <row r="151" spans="1:20" s="1629" customFormat="1" ht="15" customHeight="1">
      <c r="A151" s="1627"/>
      <c r="B151" s="1673"/>
      <c r="C151" s="1675" t="s">
        <v>251</v>
      </c>
      <c r="D151" s="1676"/>
      <c r="E151" s="1677"/>
      <c r="F151" s="1677"/>
      <c r="G151" s="1677"/>
      <c r="H151" s="1678"/>
      <c r="I151" s="1676"/>
      <c r="J151" s="1677"/>
      <c r="K151" s="1677"/>
      <c r="L151" s="1677"/>
      <c r="M151" s="1678"/>
      <c r="N151" s="1596"/>
      <c r="O151" s="505">
        <f t="shared" si="0"/>
        <v>0</v>
      </c>
      <c r="P151" s="506">
        <f t="shared" si="1"/>
        <v>0</v>
      </c>
      <c r="Q151" s="507">
        <f t="shared" si="2"/>
        <v>0</v>
      </c>
      <c r="R151" s="1006"/>
      <c r="S151" s="505">
        <f t="shared" si="3"/>
        <v>0</v>
      </c>
      <c r="T151" s="1661" t="str">
        <f t="shared" si="4"/>
        <v>0</v>
      </c>
    </row>
    <row r="152" spans="1:20" s="1629" customFormat="1" ht="15" customHeight="1">
      <c r="A152" s="1627"/>
      <c r="B152" s="1673"/>
      <c r="C152" s="1675" t="s">
        <v>252</v>
      </c>
      <c r="D152" s="667"/>
      <c r="E152" s="668"/>
      <c r="F152" s="668"/>
      <c r="G152" s="668"/>
      <c r="H152" s="669"/>
      <c r="I152" s="667"/>
      <c r="J152" s="668"/>
      <c r="K152" s="668"/>
      <c r="L152" s="668"/>
      <c r="M152" s="669"/>
      <c r="N152" s="1596"/>
      <c r="O152" s="505">
        <f t="shared" si="0"/>
        <v>0</v>
      </c>
      <c r="P152" s="506">
        <f t="shared" si="1"/>
        <v>0</v>
      </c>
      <c r="Q152" s="507">
        <f t="shared" si="2"/>
        <v>0</v>
      </c>
      <c r="R152" s="1006"/>
      <c r="S152" s="505">
        <f t="shared" si="3"/>
        <v>0</v>
      </c>
      <c r="T152" s="1661" t="str">
        <f t="shared" si="4"/>
        <v>0</v>
      </c>
    </row>
    <row r="153" spans="1:20" s="1629" customFormat="1" ht="15" customHeight="1" thickBot="1">
      <c r="A153" s="1627"/>
      <c r="B153" s="1680"/>
      <c r="C153" s="1009"/>
      <c r="D153" s="671"/>
      <c r="E153" s="672"/>
      <c r="F153" s="672"/>
      <c r="G153" s="672"/>
      <c r="H153" s="673"/>
      <c r="I153" s="671"/>
      <c r="J153" s="672"/>
      <c r="K153" s="672"/>
      <c r="L153" s="672"/>
      <c r="M153" s="673"/>
      <c r="N153" s="1596"/>
      <c r="O153" s="1376">
        <f t="shared" si="0"/>
        <v>0</v>
      </c>
      <c r="P153" s="1377">
        <f t="shared" si="1"/>
        <v>0</v>
      </c>
      <c r="Q153" s="1378">
        <f t="shared" si="2"/>
        <v>0</v>
      </c>
      <c r="R153" s="1006"/>
      <c r="S153" s="1376">
        <f t="shared" si="3"/>
        <v>0</v>
      </c>
      <c r="T153" s="1668" t="str">
        <f t="shared" si="4"/>
        <v>0</v>
      </c>
    </row>
    <row r="154" spans="1:20" s="1682" customFormat="1" ht="15" customHeight="1">
      <c r="A154" s="1681"/>
      <c r="B154" s="1596"/>
      <c r="E154" s="1596"/>
      <c r="F154" s="1596"/>
      <c r="G154" s="1596"/>
      <c r="H154" s="1596"/>
      <c r="I154" s="1596"/>
      <c r="J154" s="1596"/>
      <c r="K154" s="1596"/>
      <c r="L154" s="1596"/>
      <c r="M154" s="1596"/>
      <c r="N154" s="1596"/>
      <c r="O154" s="1596"/>
      <c r="P154" s="1596"/>
      <c r="Q154" s="1596"/>
    </row>
    <row r="155" spans="1:20" s="1682" customFormat="1" ht="15" customHeight="1">
      <c r="A155" s="1681"/>
      <c r="B155" s="1596"/>
      <c r="C155" s="1596"/>
      <c r="E155" s="1596"/>
      <c r="F155" s="1596"/>
      <c r="G155" s="1596"/>
      <c r="H155" s="1596"/>
      <c r="I155" s="1596"/>
      <c r="J155" s="1596"/>
      <c r="K155" s="1596"/>
      <c r="L155" s="1596"/>
      <c r="M155" s="1596"/>
      <c r="N155" s="1596"/>
      <c r="O155" s="1596"/>
      <c r="P155" s="1596"/>
      <c r="Q155" s="1596"/>
    </row>
    <row r="156" spans="1:20" s="1682" customFormat="1" ht="15" customHeight="1">
      <c r="A156" s="1681"/>
      <c r="B156" s="1596"/>
      <c r="C156" s="1596"/>
      <c r="E156" s="1596"/>
      <c r="F156" s="1596"/>
      <c r="G156" s="1596"/>
      <c r="H156" s="1596"/>
      <c r="I156" s="1596"/>
      <c r="J156" s="1596"/>
      <c r="K156" s="1596"/>
      <c r="L156" s="1596"/>
      <c r="M156" s="1596"/>
      <c r="N156" s="1596"/>
      <c r="O156" s="1596"/>
      <c r="P156" s="1596"/>
      <c r="Q156" s="1596"/>
    </row>
    <row r="157" spans="1:20" s="1682" customFormat="1" ht="15" customHeight="1">
      <c r="A157" s="1681"/>
      <c r="B157" s="1596"/>
      <c r="C157" s="1596"/>
      <c r="E157" s="1596"/>
      <c r="F157" s="1596"/>
      <c r="G157" s="1596"/>
      <c r="H157" s="1596"/>
      <c r="I157" s="1596"/>
      <c r="J157" s="1596"/>
      <c r="K157" s="1596"/>
      <c r="L157" s="1596"/>
      <c r="M157" s="1596"/>
      <c r="N157" s="1596"/>
      <c r="O157" s="1596"/>
      <c r="P157" s="1596"/>
      <c r="Q157" s="1596"/>
    </row>
    <row r="158" spans="1:20" s="1682" customFormat="1" ht="15" customHeight="1">
      <c r="A158" s="1681"/>
      <c r="B158" s="1596"/>
      <c r="C158" s="1596"/>
      <c r="E158" s="1596"/>
      <c r="F158" s="1596"/>
      <c r="G158" s="1596"/>
      <c r="H158" s="1596"/>
      <c r="I158" s="1596"/>
      <c r="J158" s="1596"/>
      <c r="K158" s="1596"/>
      <c r="L158" s="1596"/>
      <c r="M158" s="1596"/>
      <c r="N158" s="1596"/>
      <c r="O158" s="1596"/>
      <c r="P158" s="1596"/>
      <c r="Q158" s="1596"/>
    </row>
    <row r="159" spans="1:20" s="1682" customFormat="1" ht="15" customHeight="1">
      <c r="A159" s="1681"/>
      <c r="B159" s="1596"/>
      <c r="C159" s="1596"/>
      <c r="E159" s="1596"/>
      <c r="F159" s="1596"/>
      <c r="G159" s="1596"/>
      <c r="H159" s="1596"/>
      <c r="I159" s="1596"/>
      <c r="J159" s="1596"/>
      <c r="K159" s="1596"/>
      <c r="L159" s="1596"/>
      <c r="M159" s="1596"/>
      <c r="N159" s="1596"/>
      <c r="O159" s="1596"/>
      <c r="P159" s="1596"/>
      <c r="Q159" s="1596"/>
    </row>
    <row r="160" spans="1:20" s="1682" customFormat="1" ht="15" customHeight="1">
      <c r="A160" s="1681"/>
      <c r="B160" s="1596"/>
      <c r="C160" s="1596"/>
      <c r="E160" s="1596"/>
      <c r="F160" s="1596"/>
      <c r="G160" s="1596"/>
      <c r="H160" s="1596"/>
      <c r="I160" s="1596"/>
      <c r="J160" s="1596"/>
      <c r="K160" s="1596"/>
      <c r="L160" s="1596"/>
      <c r="M160" s="1596"/>
      <c r="N160" s="1596"/>
      <c r="O160" s="1596"/>
      <c r="P160" s="1596"/>
      <c r="Q160" s="1596"/>
    </row>
    <row r="161" spans="1:17" s="1682" customFormat="1" ht="15" customHeight="1">
      <c r="A161" s="1681"/>
      <c r="B161" s="1596"/>
      <c r="C161" s="1596"/>
      <c r="E161" s="1596"/>
      <c r="F161" s="1596"/>
      <c r="G161" s="1596"/>
      <c r="H161" s="1596"/>
      <c r="I161" s="1596"/>
      <c r="J161" s="1596"/>
      <c r="K161" s="1596"/>
      <c r="L161" s="1596"/>
      <c r="M161" s="1596"/>
      <c r="N161" s="1596"/>
      <c r="O161" s="1596"/>
      <c r="P161" s="1596"/>
      <c r="Q161" s="1596"/>
    </row>
    <row r="162" spans="1:17" s="1682" customFormat="1" ht="15" customHeight="1">
      <c r="A162" s="1681"/>
      <c r="B162" s="1596"/>
      <c r="C162" s="1596"/>
      <c r="E162" s="1596"/>
      <c r="F162" s="1596"/>
      <c r="G162" s="1596"/>
      <c r="H162" s="1596"/>
      <c r="I162" s="1596"/>
      <c r="J162" s="1596"/>
      <c r="K162" s="1596"/>
      <c r="L162" s="1596"/>
      <c r="M162" s="1596"/>
      <c r="N162" s="1596"/>
      <c r="O162" s="1596"/>
      <c r="P162" s="1596"/>
      <c r="Q162" s="1596"/>
    </row>
    <row r="163" spans="1:17" s="1682" customFormat="1" ht="15" customHeight="1">
      <c r="A163" s="1681"/>
      <c r="B163" s="1596"/>
      <c r="C163" s="1596"/>
      <c r="E163" s="1596"/>
      <c r="F163" s="1596"/>
      <c r="G163" s="1596"/>
      <c r="H163" s="1596"/>
      <c r="I163" s="1596"/>
      <c r="J163" s="1596"/>
      <c r="K163" s="1596"/>
      <c r="L163" s="1596"/>
      <c r="M163" s="1596"/>
      <c r="N163" s="1596"/>
      <c r="O163" s="1596"/>
      <c r="P163" s="1596"/>
      <c r="Q163" s="1596"/>
    </row>
    <row r="164" spans="1:17" s="1682" customFormat="1" ht="15" customHeight="1">
      <c r="A164" s="1681"/>
      <c r="B164" s="1596"/>
      <c r="C164" s="1596"/>
      <c r="E164" s="1596"/>
      <c r="F164" s="1596"/>
      <c r="G164" s="1596"/>
      <c r="H164" s="1596"/>
      <c r="I164" s="1596"/>
      <c r="J164" s="1596"/>
      <c r="K164" s="1596"/>
      <c r="L164" s="1596"/>
      <c r="M164" s="1596"/>
      <c r="N164" s="1596"/>
      <c r="O164" s="1596"/>
      <c r="P164" s="1596"/>
      <c r="Q164" s="1596"/>
    </row>
    <row r="165" spans="1:17" s="1682" customFormat="1" ht="15" customHeight="1">
      <c r="A165" s="1681"/>
      <c r="B165" s="1596"/>
      <c r="C165" s="1596"/>
      <c r="E165" s="1596"/>
      <c r="F165" s="1596"/>
      <c r="G165" s="1596"/>
      <c r="H165" s="1596"/>
      <c r="I165" s="1596"/>
      <c r="J165" s="1596"/>
      <c r="K165" s="1596"/>
      <c r="L165" s="1596"/>
      <c r="M165" s="1596"/>
      <c r="N165" s="1596"/>
      <c r="O165" s="1596"/>
      <c r="P165" s="1596"/>
      <c r="Q165" s="1596"/>
    </row>
    <row r="166" spans="1:17" s="1682" customFormat="1" ht="15" customHeight="1">
      <c r="A166" s="1681"/>
      <c r="B166" s="1596"/>
      <c r="C166" s="1596"/>
      <c r="E166" s="1596"/>
      <c r="F166" s="1596"/>
      <c r="G166" s="1596"/>
      <c r="H166" s="1596"/>
      <c r="I166" s="1596"/>
      <c r="J166" s="1596"/>
      <c r="K166" s="1596"/>
      <c r="L166" s="1596"/>
      <c r="M166" s="1596"/>
      <c r="N166" s="1596"/>
      <c r="O166" s="1596"/>
      <c r="P166" s="1596"/>
      <c r="Q166" s="1596"/>
    </row>
    <row r="167" spans="1:17" s="1682" customFormat="1" ht="15" customHeight="1">
      <c r="A167" s="1681"/>
      <c r="B167" s="1596"/>
      <c r="C167" s="1596"/>
      <c r="E167" s="1596"/>
      <c r="F167" s="1596"/>
      <c r="G167" s="1596"/>
      <c r="H167" s="1596"/>
      <c r="I167" s="1596"/>
      <c r="J167" s="1596"/>
      <c r="K167" s="1596"/>
      <c r="L167" s="1596"/>
      <c r="M167" s="1596"/>
      <c r="N167" s="1596"/>
      <c r="O167" s="1596"/>
      <c r="P167" s="1596"/>
      <c r="Q167" s="1596"/>
    </row>
    <row r="168" spans="1:17" s="1682" customFormat="1" ht="15" customHeight="1">
      <c r="A168" s="1681"/>
      <c r="B168" s="1596"/>
      <c r="C168" s="1596"/>
      <c r="E168" s="1596"/>
      <c r="F168" s="1596"/>
      <c r="G168" s="1596"/>
      <c r="H168" s="1596"/>
      <c r="I168" s="1596"/>
      <c r="J168" s="1596"/>
      <c r="K168" s="1596"/>
      <c r="L168" s="1596"/>
      <c r="M168" s="1596"/>
      <c r="N168" s="1596"/>
      <c r="O168" s="1596"/>
      <c r="P168" s="1596"/>
      <c r="Q168" s="1596"/>
    </row>
    <row r="169" spans="1:17" s="1682" customFormat="1" ht="15" customHeight="1">
      <c r="A169" s="1681"/>
      <c r="B169" s="1596"/>
      <c r="C169" s="1596"/>
      <c r="E169" s="1596"/>
      <c r="F169" s="1596"/>
      <c r="G169" s="1596"/>
      <c r="H169" s="1596"/>
      <c r="I169" s="1596"/>
      <c r="J169" s="1596"/>
      <c r="K169" s="1596"/>
      <c r="L169" s="1596"/>
      <c r="M169" s="1596"/>
      <c r="N169" s="1596"/>
      <c r="O169" s="1596"/>
      <c r="P169" s="1596"/>
      <c r="Q169" s="1596"/>
    </row>
    <row r="170" spans="1:17" s="1682" customFormat="1" ht="15" customHeight="1">
      <c r="A170" s="1681"/>
      <c r="B170" s="1596"/>
      <c r="C170" s="1596"/>
      <c r="E170" s="1596"/>
      <c r="F170" s="1596"/>
      <c r="G170" s="1596"/>
      <c r="H170" s="1596"/>
      <c r="I170" s="1596"/>
      <c r="J170" s="1596"/>
      <c r="K170" s="1596"/>
      <c r="L170" s="1596"/>
      <c r="M170" s="1596"/>
      <c r="N170" s="1596"/>
      <c r="O170" s="1596"/>
      <c r="P170" s="1596"/>
      <c r="Q170" s="1596"/>
    </row>
    <row r="171" spans="1:17" s="1682" customFormat="1" ht="15" customHeight="1">
      <c r="A171" s="1681"/>
      <c r="B171" s="1596"/>
      <c r="C171" s="1596"/>
      <c r="E171" s="1596"/>
      <c r="F171" s="1596"/>
      <c r="G171" s="1596"/>
      <c r="H171" s="1596"/>
      <c r="I171" s="1596"/>
      <c r="J171" s="1596"/>
      <c r="K171" s="1596"/>
      <c r="L171" s="1596"/>
      <c r="M171" s="1596"/>
      <c r="N171" s="1596"/>
      <c r="O171" s="1596"/>
      <c r="P171" s="1596"/>
      <c r="Q171" s="1596"/>
    </row>
    <row r="172" spans="1:17" s="1682" customFormat="1" ht="15" customHeight="1">
      <c r="A172" s="1681"/>
      <c r="B172" s="1596"/>
      <c r="C172" s="1596"/>
      <c r="E172" s="1596"/>
      <c r="F172" s="1596"/>
      <c r="G172" s="1596"/>
      <c r="H172" s="1596"/>
      <c r="I172" s="1596"/>
      <c r="J172" s="1596"/>
      <c r="K172" s="1596"/>
      <c r="L172" s="1596"/>
      <c r="M172" s="1596"/>
      <c r="N172" s="1596"/>
      <c r="O172" s="1596"/>
      <c r="P172" s="1596"/>
      <c r="Q172" s="1596"/>
    </row>
    <row r="173" spans="1:17" s="1682" customFormat="1" ht="15" customHeight="1">
      <c r="A173" s="1681"/>
      <c r="B173" s="1596"/>
      <c r="C173" s="1596"/>
      <c r="E173" s="1596"/>
      <c r="F173" s="1596"/>
      <c r="G173" s="1596"/>
      <c r="H173" s="1596"/>
      <c r="I173" s="1596"/>
      <c r="J173" s="1596"/>
      <c r="K173" s="1596"/>
      <c r="L173" s="1596"/>
      <c r="M173" s="1596"/>
      <c r="N173" s="1596"/>
      <c r="O173" s="1596"/>
      <c r="P173" s="1596"/>
      <c r="Q173" s="1596"/>
    </row>
    <row r="174" spans="1:17" s="1682" customFormat="1" ht="15" customHeight="1">
      <c r="A174" s="1681"/>
      <c r="B174" s="1596"/>
      <c r="C174" s="1596"/>
      <c r="E174" s="1596"/>
      <c r="F174" s="1596"/>
      <c r="G174" s="1596"/>
      <c r="H174" s="1596"/>
      <c r="I174" s="1596"/>
      <c r="J174" s="1596"/>
      <c r="K174" s="1596"/>
      <c r="L174" s="1596"/>
      <c r="M174" s="1596"/>
      <c r="N174" s="1596"/>
      <c r="O174" s="1596"/>
      <c r="P174" s="1596"/>
      <c r="Q174" s="1596"/>
    </row>
    <row r="175" spans="1:17" s="1682" customFormat="1" ht="15" customHeight="1">
      <c r="A175" s="1681"/>
      <c r="B175" s="1596"/>
      <c r="C175" s="1596"/>
      <c r="E175" s="1596"/>
      <c r="F175" s="1596"/>
      <c r="G175" s="1596"/>
      <c r="H175" s="1596"/>
      <c r="I175" s="1596"/>
      <c r="J175" s="1596"/>
      <c r="K175" s="1596"/>
      <c r="L175" s="1596"/>
      <c r="M175" s="1596"/>
      <c r="N175" s="1596"/>
      <c r="O175" s="1596"/>
      <c r="P175" s="1596"/>
      <c r="Q175" s="1596"/>
    </row>
    <row r="176" spans="1:17" s="1682" customFormat="1" ht="15" customHeight="1">
      <c r="A176" s="1681"/>
      <c r="B176" s="1596"/>
      <c r="C176" s="1596"/>
      <c r="E176" s="1596"/>
      <c r="F176" s="1596"/>
      <c r="G176" s="1596"/>
      <c r="H176" s="1596"/>
      <c r="I176" s="1596"/>
      <c r="J176" s="1596"/>
      <c r="K176" s="1596"/>
      <c r="L176" s="1596"/>
      <c r="M176" s="1596"/>
      <c r="N176" s="1596"/>
      <c r="O176" s="1596"/>
      <c r="P176" s="1596"/>
      <c r="Q176" s="1596"/>
    </row>
    <row r="177" spans="1:23" s="1682" customFormat="1" ht="15" customHeight="1">
      <c r="A177" s="1681"/>
      <c r="B177" s="1596"/>
      <c r="C177" s="1596"/>
      <c r="E177" s="1596"/>
      <c r="F177" s="1596"/>
      <c r="G177" s="1596"/>
      <c r="H177" s="1596"/>
      <c r="I177" s="1596"/>
      <c r="J177" s="1596"/>
      <c r="K177" s="1596"/>
      <c r="L177" s="1596"/>
      <c r="M177" s="1596"/>
      <c r="N177" s="1596"/>
      <c r="O177" s="1596"/>
      <c r="P177" s="1596"/>
      <c r="Q177" s="1596"/>
    </row>
    <row r="178" spans="1:23" s="1682" customFormat="1" ht="15" customHeight="1">
      <c r="A178" s="1681"/>
      <c r="B178" s="1596"/>
      <c r="C178" s="1596"/>
      <c r="E178" s="1596"/>
      <c r="F178" s="1596"/>
      <c r="G178" s="1596"/>
      <c r="H178" s="1596"/>
      <c r="I178" s="1596"/>
      <c r="J178" s="1596"/>
      <c r="K178" s="1596"/>
      <c r="L178" s="1596"/>
      <c r="M178" s="1596"/>
      <c r="N178" s="1596"/>
      <c r="O178" s="1596"/>
      <c r="P178" s="1596"/>
      <c r="Q178" s="1596"/>
    </row>
    <row r="179" spans="1:23" s="1682" customFormat="1" ht="15" customHeight="1">
      <c r="A179" s="1681"/>
      <c r="B179" s="1596"/>
      <c r="C179" s="1596"/>
      <c r="E179" s="1596"/>
      <c r="F179" s="1596"/>
      <c r="G179" s="1596"/>
      <c r="H179" s="1596"/>
      <c r="I179" s="1596"/>
      <c r="J179" s="1596"/>
      <c r="K179" s="1596"/>
      <c r="L179" s="1596"/>
      <c r="M179" s="1596"/>
      <c r="N179" s="1596"/>
      <c r="O179" s="1596"/>
      <c r="P179" s="1596"/>
      <c r="Q179" s="1596"/>
    </row>
    <row r="180" spans="1:23" s="1682" customFormat="1" ht="15" customHeight="1">
      <c r="A180" s="1681"/>
      <c r="B180" s="1596"/>
      <c r="C180" s="1596"/>
      <c r="E180" s="1596"/>
      <c r="F180" s="1596"/>
      <c r="G180" s="1596"/>
      <c r="H180" s="1596"/>
      <c r="I180" s="1596"/>
      <c r="J180" s="1596"/>
      <c r="K180" s="1596"/>
      <c r="L180" s="1596"/>
      <c r="M180" s="1596"/>
      <c r="N180" s="1596"/>
      <c r="O180" s="1596"/>
      <c r="P180" s="1596"/>
      <c r="Q180" s="1596"/>
    </row>
    <row r="181" spans="1:23" s="1682" customFormat="1" ht="15" customHeight="1">
      <c r="A181" s="1681"/>
      <c r="B181" s="1596"/>
      <c r="C181" s="1596"/>
      <c r="E181" s="1596"/>
      <c r="F181" s="1596"/>
      <c r="G181" s="1596"/>
      <c r="H181" s="1596"/>
      <c r="I181" s="1596"/>
      <c r="J181" s="1596"/>
      <c r="K181" s="1596"/>
      <c r="L181" s="1596"/>
      <c r="M181" s="1596"/>
      <c r="N181" s="1596"/>
      <c r="O181" s="1596"/>
      <c r="P181" s="1596"/>
      <c r="Q181" s="1596"/>
    </row>
    <row r="182" spans="1:23" s="1682" customFormat="1" ht="15" customHeight="1">
      <c r="A182" s="1681"/>
      <c r="B182" s="1596"/>
      <c r="C182" s="1596"/>
      <c r="E182" s="1596"/>
      <c r="F182" s="1596"/>
      <c r="G182" s="1596"/>
      <c r="H182" s="1596"/>
      <c r="I182" s="1596"/>
      <c r="J182" s="1596"/>
      <c r="K182" s="1596"/>
      <c r="L182" s="1596"/>
      <c r="M182" s="1596"/>
      <c r="N182" s="1596"/>
      <c r="O182" s="1596"/>
      <c r="P182" s="1596"/>
      <c r="Q182" s="1596"/>
    </row>
    <row r="183" spans="1:23" s="1682" customFormat="1" ht="15" customHeight="1">
      <c r="A183" s="1681"/>
      <c r="B183" s="1596"/>
      <c r="C183" s="1596"/>
      <c r="E183" s="1596"/>
      <c r="F183" s="1596"/>
      <c r="G183" s="1596"/>
      <c r="H183" s="1596"/>
      <c r="I183" s="1596"/>
      <c r="J183" s="1596"/>
      <c r="K183" s="1596"/>
      <c r="L183" s="1596"/>
      <c r="M183" s="1596"/>
      <c r="N183" s="1596"/>
      <c r="O183" s="1596"/>
      <c r="P183" s="1596"/>
      <c r="Q183" s="1596"/>
    </row>
    <row r="184" spans="1:23" ht="15" customHeight="1">
      <c r="B184" s="1684"/>
      <c r="C184" s="1684"/>
      <c r="E184" s="1684"/>
      <c r="F184" s="1684"/>
      <c r="G184" s="1684"/>
      <c r="H184" s="1684"/>
      <c r="I184" s="1684"/>
      <c r="J184" s="1684"/>
      <c r="K184" s="1684"/>
      <c r="L184" s="1684"/>
      <c r="M184" s="1684"/>
      <c r="N184" s="1684"/>
      <c r="O184" s="1684"/>
      <c r="P184" s="1684"/>
      <c r="Q184" s="1684"/>
      <c r="R184" s="1685"/>
      <c r="S184" s="1685"/>
      <c r="T184" s="1685"/>
      <c r="U184" s="1685"/>
      <c r="V184" s="1685"/>
      <c r="W184" s="1685"/>
    </row>
    <row r="185" spans="1:23" ht="15" customHeight="1">
      <c r="B185" s="1684"/>
      <c r="C185" s="1684"/>
      <c r="E185" s="1684"/>
      <c r="F185" s="1684"/>
      <c r="G185" s="1684"/>
      <c r="H185" s="1684"/>
      <c r="I185" s="1684"/>
      <c r="J185" s="1684"/>
      <c r="K185" s="1684"/>
      <c r="L185" s="1684"/>
      <c r="M185" s="1684"/>
    </row>
    <row r="186" spans="1:23">
      <c r="B186" s="1684"/>
      <c r="C186" s="1684"/>
      <c r="E186" s="1684"/>
      <c r="F186" s="1684"/>
      <c r="G186" s="1684"/>
      <c r="H186" s="1684"/>
      <c r="I186" s="1684"/>
      <c r="J186" s="1684"/>
      <c r="K186" s="1684"/>
      <c r="L186" s="1684"/>
      <c r="M186" s="1684"/>
    </row>
    <row r="187" spans="1:23">
      <c r="B187" s="1684"/>
      <c r="C187" s="1684"/>
      <c r="E187" s="1684"/>
      <c r="F187" s="1684"/>
      <c r="G187" s="1684"/>
      <c r="H187" s="1684"/>
      <c r="I187" s="1684"/>
      <c r="J187" s="1684"/>
      <c r="K187" s="1684"/>
      <c r="L187" s="1684"/>
      <c r="M187" s="1684"/>
    </row>
  </sheetData>
  <mergeCells count="29">
    <mergeCell ref="B23:B28"/>
    <mergeCell ref="B29:B34"/>
    <mergeCell ref="B43:B44"/>
    <mergeCell ref="B45:B46"/>
    <mergeCell ref="B10:B11"/>
    <mergeCell ref="B12:B13"/>
    <mergeCell ref="B14:B16"/>
    <mergeCell ref="B17:B22"/>
    <mergeCell ref="B83:B88"/>
    <mergeCell ref="B47:B49"/>
    <mergeCell ref="B50:B55"/>
    <mergeCell ref="B56:B61"/>
    <mergeCell ref="B62:B67"/>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2" ma:contentTypeDescription="Create a new document." ma:contentTypeScope="" ma:versionID="2bd73b99a261c4fe1bbf43baf143f4b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27</DocumentCategory>
    <DateLastActivated1 xmlns="c7312139-f4c2-453d-a4c8-c631b6303d87">2014-10-30T09:22:19+00:00</DateLastActivated1>
    <Commitees xmlns="c7312139-f4c2-453d-a4c8-c631b6303d87"/>
    <DocNotes xmlns="c7312139-f4c2-453d-a4c8-c631b6303d87" xsi:nil="true"/>
    <Activities xmlns="c7312139-f4c2-453d-a4c8-c631b6303d87"/>
    <Issues xmlns="c7312139-f4c2-453d-a4c8-c631b6303d87"/>
    <PublishDate xmlns="c7312139-f4c2-453d-a4c8-c631b6303d87">2014-03-31T23:00:00+00:00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1.0</DocVersion>
    <Archived xmlns="c7312139-f4c2-453d-a4c8-c631b6303d87">false</Archived>
    <SQLID xmlns="c7312139-f4c2-453d-a4c8-c631b6303d87" xsi:nil="true"/>
  </documentManagement>
</p:properties>
</file>

<file path=customXml/itemProps1.xml><?xml version="1.0" encoding="utf-8"?>
<ds:datastoreItem xmlns:ds="http://schemas.openxmlformats.org/officeDocument/2006/customXml" ds:itemID="{4931B24C-7EDE-4522-A423-16D6F1D10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0C1B46-63AD-4ACE-92B6-E21723CADA89}">
  <ds:schemaRefs>
    <ds:schemaRef ds:uri="http://schemas.microsoft.com/sharepoint/events"/>
  </ds:schemaRefs>
</ds:datastoreItem>
</file>

<file path=customXml/itemProps3.xml><?xml version="1.0" encoding="utf-8"?>
<ds:datastoreItem xmlns:ds="http://schemas.openxmlformats.org/officeDocument/2006/customXml" ds:itemID="{9C2ABE8F-BD82-411C-9029-C65536321D53}">
  <ds:schemaRefs>
    <ds:schemaRef ds:uri="http://schemas.microsoft.com/sharepoint/v3/contenttype/forms"/>
  </ds:schemaRefs>
</ds:datastoreItem>
</file>

<file path=customXml/itemProps4.xml><?xml version="1.0" encoding="utf-8"?>
<ds:datastoreItem xmlns:ds="http://schemas.openxmlformats.org/officeDocument/2006/customXml" ds:itemID="{A87B5071-9C85-4C4A-9A2F-6C6A4CB115CD}">
  <ds:schemaRef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830862f3-40c2-43d5-9778-1909aaa95bc7"/>
    <ds:schemaRef ds:uri="http://purl.org/dc/elements/1.1/"/>
    <ds:schemaRef ds:uri="http://schemas.microsoft.com/office/infopath/2007/PartnerControls"/>
    <ds:schemaRef ds:uri="c7312139-f4c2-453d-a4c8-c631b6303d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PCDM V2 0</dc:title>
  <dc:creator>Rosalind Timperley</dc:creator>
  <cp:lastModifiedBy>Wornell, Dave I.</cp:lastModifiedBy>
  <dcterms:created xsi:type="dcterms:W3CDTF">2009-07-13T08:35:25Z</dcterms:created>
  <dcterms:modified xsi:type="dcterms:W3CDTF">2014-12-10T15:59:19Z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