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autoCompressPictures="0"/>
  <bookViews>
    <workbookView xWindow="0" yWindow="0" windowWidth="19440" windowHeight="15600" tabRatio="913" firstSheet="18" activeTab="26"/>
  </bookViews>
  <sheets>
    <sheet name="Index" sheetId="37" r:id="rId1"/>
    <sheet name="Inputs" sheetId="26" r:id="rId2"/>
    <sheet name="Allowed revenue -DPCR4" sheetId="20" r:id="rId3"/>
    <sheet name="FBPQ T4" sheetId="14" r:id="rId4"/>
    <sheet name="FBPQ LR1" sheetId="11" r:id="rId5"/>
    <sheet name="FBPQ LR1 - V5 opt3" sheetId="27" r:id="rId6"/>
    <sheet name="FBPQ LR4" sheetId="10" r:id="rId7"/>
    <sheet name="FBPQ LR6" sheetId="9" r:id="rId8"/>
    <sheet name="FBPQ NL1" sheetId="6" r:id="rId9"/>
    <sheet name="NL9 - Legal &amp; Safety" sheetId="28" r:id="rId10"/>
    <sheet name="FBPQ C2" sheetId="15" r:id="rId11"/>
    <sheet name="Reductions to net capex" sheetId="38" r:id="rId12"/>
    <sheet name="RRP 1.3" sheetId="18" r:id="rId13"/>
    <sheet name="RRP 2.3" sheetId="4" r:id="rId14"/>
    <sheet name="RRP 2.4" sheetId="3" r:id="rId15"/>
    <sheet name="RRP 2.6" sheetId="2" r:id="rId16"/>
    <sheet name="RRP 5.1" sheetId="1" r:id="rId17"/>
    <sheet name="Summary of revenue" sheetId="21" r:id="rId18"/>
    <sheet name="Data-MEAV" sheetId="40" r:id="rId19"/>
    <sheet name="Calc-MEAV" sheetId="16" r:id="rId20"/>
    <sheet name="Calc-Units" sheetId="19" r:id="rId21"/>
    <sheet name="Calc-Net capex" sheetId="12" r:id="rId22"/>
    <sheet name="Calc DNO Opex Allocation" sheetId="13" r:id="rId23"/>
    <sheet name="Calc-Drivers" sheetId="7" r:id="rId24"/>
    <sheet name="DNO Final Allocation" sheetId="17" r:id="rId25"/>
    <sheet name="Allocation Summary" sheetId="23" r:id="rId26"/>
    <sheet name="Results" sheetId="36" r:id="rId27"/>
  </sheets>
  <externalReferences>
    <externalReference r:id="rId28"/>
    <externalReference r:id="rId29"/>
    <externalReference r:id="rId30"/>
    <externalReference r:id="rId31"/>
  </externalReferences>
  <definedNames>
    <definedName name="_xlnm._FilterDatabase" localSheetId="0" hidden="1">Index!$A$9:$B$37</definedName>
    <definedName name="a">'[1]4.3 Network Analysis Load'!#REF!</definedName>
    <definedName name="compname" localSheetId="9">'[2]Universal data'!$C$8</definedName>
    <definedName name="constrainsts" localSheetId="9">'[1]4.3 Network Analysis Load'!#REF!</definedName>
    <definedName name="CopyRange2">#REF!</definedName>
    <definedName name="ghng">'[1]4.3 Network Analysis Load'!#REF!</definedName>
    <definedName name="Guidance">'[3]Version control'!$B$33:$C$46</definedName>
    <definedName name="LPN">#REF!</definedName>
    <definedName name="ManagerialAllocations" localSheetId="9">'[4]2.12 Cost Mapping'!$AJ$12:$AJ$499</definedName>
    <definedName name="NumDataSheets">#REF!</definedName>
    <definedName name="PrimeRecordAllocations" localSheetId="9">'[4]2.12 Cost Mapping'!$AI$12:$AI$499</definedName>
    <definedName name="_xlnm.Print_Area" localSheetId="9" xml:space="preserve">               'NL9 - Legal &amp; Safety'!$A$1:$X$137</definedName>
    <definedName name="_xlnm.Print_Titles" localSheetId="16">'RRP 5.1'!$A:$B,'RRP 5.1'!$1:$2</definedName>
    <definedName name="Repyear" localSheetId="9">'[2]Universal data'!$C$21</definedName>
    <definedName name="RepYearM1" localSheetId="9">'[2]Universal data'!$C$20</definedName>
    <definedName name="RepYearP1" localSheetId="9">'[2]Universal data'!$C$22</definedName>
    <definedName name="RepYearP5" localSheetId="9">'[2]Universal data'!$C$26</definedName>
    <definedName name="Rounding" localSheetId="9">'[2]Universal data'!$C$29</definedName>
    <definedName name="shortname" localSheetId="9">'[2]Universal data'!$C$9</definedName>
    <definedName name="SourceFileName2">#REF!</definedName>
    <definedName name="SourcePath">#REF!</definedName>
    <definedName name="Table2.12TotalCost" localSheetId="9">'[4]2.12 Cost Mapping'!$C$12:$C$499</definedName>
    <definedName name="WorksheetName1">#REF!</definedName>
    <definedName name="WorksheetName2">#REF!</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75" i="3" l="1"/>
  <c r="K40" i="4"/>
  <c r="K34" i="4"/>
  <c r="V137" i="28"/>
  <c r="U137" i="28"/>
  <c r="T137" i="28"/>
  <c r="S137" i="28"/>
  <c r="N137" i="28"/>
  <c r="M137" i="28"/>
  <c r="L137" i="28"/>
  <c r="K137" i="28"/>
  <c r="F137" i="28"/>
  <c r="E137" i="28"/>
  <c r="D137" i="28"/>
  <c r="C137" i="28"/>
  <c r="V136" i="28"/>
  <c r="U136" i="28"/>
  <c r="T136" i="28"/>
  <c r="S136" i="28"/>
  <c r="N136" i="28"/>
  <c r="M136" i="28"/>
  <c r="L136" i="28"/>
  <c r="K136" i="28"/>
  <c r="F136" i="28"/>
  <c r="E136" i="28"/>
  <c r="D136" i="28"/>
  <c r="C136" i="28"/>
  <c r="V135" i="28"/>
  <c r="U135" i="28"/>
  <c r="T135" i="28"/>
  <c r="S135" i="28"/>
  <c r="N135" i="28"/>
  <c r="M135" i="28"/>
  <c r="L135" i="28"/>
  <c r="K135" i="28"/>
  <c r="F135" i="28"/>
  <c r="E135" i="28"/>
  <c r="D135" i="28"/>
  <c r="C135" i="28"/>
  <c r="V134" i="28"/>
  <c r="U134" i="28"/>
  <c r="T134" i="28"/>
  <c r="S134" i="28"/>
  <c r="N134" i="28"/>
  <c r="K134" i="28"/>
  <c r="F134" i="28"/>
  <c r="E134" i="28"/>
  <c r="D134" i="28"/>
  <c r="C134" i="28"/>
  <c r="X129" i="28"/>
  <c r="V129" i="28"/>
  <c r="U129" i="28"/>
  <c r="T129" i="28"/>
  <c r="P129" i="28"/>
  <c r="N129" i="28"/>
  <c r="M129" i="28"/>
  <c r="L129" i="28"/>
  <c r="H129" i="28"/>
  <c r="F129" i="28"/>
  <c r="E129" i="28"/>
  <c r="D129" i="28"/>
  <c r="S128" i="28"/>
  <c r="K128" i="28"/>
  <c r="C128" i="28"/>
  <c r="S127" i="28"/>
  <c r="K127" i="28"/>
  <c r="C127" i="28"/>
  <c r="S126" i="28"/>
  <c r="K126" i="28"/>
  <c r="C126" i="28"/>
  <c r="S125" i="28"/>
  <c r="S129" i="28" s="1"/>
  <c r="K125" i="28"/>
  <c r="K129" i="28" s="1"/>
  <c r="C125" i="28"/>
  <c r="C129" i="28" s="1"/>
  <c r="X120" i="28"/>
  <c r="W120" i="28"/>
  <c r="V120" i="28"/>
  <c r="U120" i="28"/>
  <c r="T120" i="28"/>
  <c r="S120" i="28"/>
  <c r="P120" i="28"/>
  <c r="O120" i="28"/>
  <c r="N120" i="28"/>
  <c r="M120" i="28"/>
  <c r="L120" i="28"/>
  <c r="K120" i="28"/>
  <c r="H120" i="28"/>
  <c r="F120" i="28"/>
  <c r="E120" i="28"/>
  <c r="D120" i="28"/>
  <c r="C120" i="28"/>
  <c r="X111" i="28"/>
  <c r="W111" i="28"/>
  <c r="V111" i="28"/>
  <c r="U111" i="28"/>
  <c r="T111" i="28"/>
  <c r="P111" i="28"/>
  <c r="O111" i="28"/>
  <c r="N111" i="28"/>
  <c r="M111" i="28"/>
  <c r="L111" i="28"/>
  <c r="H111" i="28"/>
  <c r="G111" i="28"/>
  <c r="F111" i="28"/>
  <c r="E111" i="28"/>
  <c r="D111" i="28"/>
  <c r="S110" i="28"/>
  <c r="G100" i="28" s="1"/>
  <c r="K110" i="28"/>
  <c r="C110" i="28"/>
  <c r="S109" i="28"/>
  <c r="K109" i="28"/>
  <c r="F99" i="28" s="1"/>
  <c r="H99" i="28" s="1"/>
  <c r="C109" i="28"/>
  <c r="S108" i="28"/>
  <c r="K108" i="28"/>
  <c r="C108" i="28"/>
  <c r="D98" i="28" s="1"/>
  <c r="C98" i="28" s="1"/>
  <c r="S107" i="28"/>
  <c r="S111" i="28" s="1"/>
  <c r="K107" i="28"/>
  <c r="K111" i="28" s="1"/>
  <c r="C107" i="28"/>
  <c r="C111" i="28" s="1"/>
  <c r="E101" i="28"/>
  <c r="F100" i="28"/>
  <c r="D100" i="28"/>
  <c r="C100" i="28" s="1"/>
  <c r="G99" i="28"/>
  <c r="D99" i="28"/>
  <c r="C99" i="28" s="1"/>
  <c r="H98" i="28"/>
  <c r="G98" i="28"/>
  <c r="F98" i="28"/>
  <c r="G97" i="28"/>
  <c r="G101" i="28" s="1"/>
  <c r="D97" i="28"/>
  <c r="W91" i="28"/>
  <c r="V91" i="28"/>
  <c r="U91" i="28"/>
  <c r="T91" i="28"/>
  <c r="S91" i="28"/>
  <c r="O91" i="28"/>
  <c r="N91" i="28"/>
  <c r="M91" i="28"/>
  <c r="L91" i="28"/>
  <c r="K91" i="28"/>
  <c r="G91" i="28"/>
  <c r="F91" i="28"/>
  <c r="E91" i="28"/>
  <c r="D91" i="28"/>
  <c r="C91" i="28"/>
  <c r="W90" i="28"/>
  <c r="V90" i="28"/>
  <c r="U90" i="28"/>
  <c r="T90" i="28"/>
  <c r="S90" i="28"/>
  <c r="O90" i="28"/>
  <c r="N90" i="28"/>
  <c r="M90" i="28"/>
  <c r="L90" i="28"/>
  <c r="K90" i="28"/>
  <c r="G90" i="28"/>
  <c r="F90" i="28"/>
  <c r="E90" i="28"/>
  <c r="D90" i="28"/>
  <c r="C90" i="28"/>
  <c r="W89" i="28"/>
  <c r="V89" i="28"/>
  <c r="U89" i="28"/>
  <c r="T89" i="28"/>
  <c r="S89" i="28"/>
  <c r="O89" i="28"/>
  <c r="N89" i="28"/>
  <c r="M89" i="28"/>
  <c r="L89" i="28"/>
  <c r="K89" i="28"/>
  <c r="G89" i="28"/>
  <c r="F89" i="28"/>
  <c r="E89" i="28"/>
  <c r="D89" i="28"/>
  <c r="C89" i="28"/>
  <c r="W88" i="28"/>
  <c r="V88" i="28"/>
  <c r="U88" i="28"/>
  <c r="T88" i="28"/>
  <c r="S88" i="28"/>
  <c r="O88" i="28"/>
  <c r="N88" i="28"/>
  <c r="M88" i="28"/>
  <c r="L88" i="28"/>
  <c r="K88" i="28"/>
  <c r="G88" i="28"/>
  <c r="F88" i="28"/>
  <c r="E88" i="28"/>
  <c r="D88" i="28"/>
  <c r="C88" i="28"/>
  <c r="X83" i="28"/>
  <c r="W83" i="28"/>
  <c r="V83" i="28"/>
  <c r="U83" i="28"/>
  <c r="T83" i="28"/>
  <c r="P83" i="28"/>
  <c r="O83" i="28"/>
  <c r="N83" i="28"/>
  <c r="M83" i="28"/>
  <c r="L83" i="28"/>
  <c r="H83" i="28"/>
  <c r="G83" i="28"/>
  <c r="F83" i="28"/>
  <c r="E83" i="28"/>
  <c r="D83" i="28"/>
  <c r="S82" i="28"/>
  <c r="K82" i="28"/>
  <c r="C82" i="28"/>
  <c r="S81" i="28"/>
  <c r="K81" i="28"/>
  <c r="C81" i="28"/>
  <c r="S80" i="28"/>
  <c r="K80" i="28"/>
  <c r="C80" i="28"/>
  <c r="S79" i="28"/>
  <c r="S83" i="28" s="1"/>
  <c r="K79" i="28"/>
  <c r="K83" i="28" s="1"/>
  <c r="C79" i="28"/>
  <c r="C83" i="28" s="1"/>
  <c r="X74" i="28"/>
  <c r="W74" i="28"/>
  <c r="V74" i="28"/>
  <c r="U74" i="28"/>
  <c r="T74" i="28"/>
  <c r="S74" i="28"/>
  <c r="P74" i="28"/>
  <c r="O74" i="28"/>
  <c r="N74" i="28"/>
  <c r="M74" i="28"/>
  <c r="L74" i="28"/>
  <c r="K74" i="28"/>
  <c r="H74" i="28"/>
  <c r="G74" i="28"/>
  <c r="F74" i="28"/>
  <c r="E74" i="28"/>
  <c r="D74" i="28"/>
  <c r="C74" i="28"/>
  <c r="X65" i="28"/>
  <c r="W65" i="28"/>
  <c r="V65" i="28"/>
  <c r="U65" i="28"/>
  <c r="T65" i="28"/>
  <c r="P65" i="28"/>
  <c r="O65" i="28"/>
  <c r="N65" i="28"/>
  <c r="M65" i="28"/>
  <c r="L65" i="28"/>
  <c r="H65" i="28"/>
  <c r="G65" i="28"/>
  <c r="F65" i="28"/>
  <c r="E65" i="28"/>
  <c r="D65" i="28"/>
  <c r="S64" i="28"/>
  <c r="K64" i="28"/>
  <c r="C64" i="28"/>
  <c r="S63" i="28"/>
  <c r="K63" i="28"/>
  <c r="C63" i="28"/>
  <c r="S62" i="28"/>
  <c r="K62" i="28"/>
  <c r="C62" i="28"/>
  <c r="S61" i="28"/>
  <c r="S65" i="28" s="1"/>
  <c r="K61" i="28"/>
  <c r="K65" i="28" s="1"/>
  <c r="C61" i="28"/>
  <c r="C65" i="28" s="1"/>
  <c r="H55" i="28"/>
  <c r="G55" i="28"/>
  <c r="F55" i="28"/>
  <c r="E55" i="28"/>
  <c r="D55" i="28"/>
  <c r="C55" i="28"/>
  <c r="M46" i="28"/>
  <c r="L46" i="28"/>
  <c r="K46" i="28"/>
  <c r="K10" i="28" s="1"/>
  <c r="K25" i="28" s="1"/>
  <c r="J46" i="28"/>
  <c r="J10" i="28" s="1"/>
  <c r="J25" i="28" s="1"/>
  <c r="I46" i="28"/>
  <c r="H46" i="28"/>
  <c r="G46" i="28"/>
  <c r="G10" i="28" s="1"/>
  <c r="G25" i="28" s="1"/>
  <c r="F46" i="28"/>
  <c r="F10" i="28" s="1"/>
  <c r="F25" i="28" s="1"/>
  <c r="E46" i="28"/>
  <c r="D46" i="28"/>
  <c r="M37" i="28"/>
  <c r="L37" i="28"/>
  <c r="K37" i="28"/>
  <c r="J37" i="28"/>
  <c r="I37" i="28"/>
  <c r="H37" i="28"/>
  <c r="G37" i="28"/>
  <c r="F37" i="28"/>
  <c r="E37" i="28"/>
  <c r="D37" i="28"/>
  <c r="M10" i="28"/>
  <c r="M25" i="28" s="1"/>
  <c r="L10" i="28"/>
  <c r="L25" i="28" s="1"/>
  <c r="I10" i="28"/>
  <c r="I25" i="28" s="1"/>
  <c r="H10" i="28"/>
  <c r="H25" i="28" s="1"/>
  <c r="E10" i="28"/>
  <c r="E25" i="28" s="1"/>
  <c r="D10" i="28"/>
  <c r="D25" i="28" s="1"/>
  <c r="T153" i="6"/>
  <c r="S153" i="6"/>
  <c r="Q153" i="6"/>
  <c r="P153" i="6"/>
  <c r="O153" i="6"/>
  <c r="T152" i="6"/>
  <c r="S152" i="6"/>
  <c r="Q152" i="6"/>
  <c r="P152" i="6"/>
  <c r="O152" i="6"/>
  <c r="S151" i="6"/>
  <c r="Q151" i="6"/>
  <c r="T151" i="6" s="1"/>
  <c r="P151" i="6"/>
  <c r="O151" i="6"/>
  <c r="S148" i="6"/>
  <c r="Q148" i="6"/>
  <c r="T148" i="6" s="1"/>
  <c r="P148" i="6"/>
  <c r="O148" i="6"/>
  <c r="T147" i="6"/>
  <c r="S147" i="6"/>
  <c r="Q147" i="6"/>
  <c r="P147" i="6"/>
  <c r="O147" i="6"/>
  <c r="T146" i="6"/>
  <c r="S146" i="6"/>
  <c r="Q146" i="6"/>
  <c r="P146" i="6"/>
  <c r="O146" i="6"/>
  <c r="S138" i="6"/>
  <c r="Q138" i="6"/>
  <c r="T138" i="6" s="1"/>
  <c r="P138" i="6"/>
  <c r="O138" i="6"/>
  <c r="S137" i="6"/>
  <c r="Q137" i="6"/>
  <c r="T137" i="6" s="1"/>
  <c r="P137" i="6"/>
  <c r="O137" i="6"/>
  <c r="T136" i="6"/>
  <c r="S136" i="6"/>
  <c r="Q136" i="6"/>
  <c r="P136" i="6"/>
  <c r="O136" i="6"/>
  <c r="T135" i="6"/>
  <c r="S135" i="6"/>
  <c r="Q135" i="6"/>
  <c r="P135" i="6"/>
  <c r="O135" i="6"/>
  <c r="S134" i="6"/>
  <c r="Q134" i="6"/>
  <c r="T134" i="6" s="1"/>
  <c r="P134" i="6"/>
  <c r="O134" i="6"/>
  <c r="S133" i="6"/>
  <c r="Q133" i="6"/>
  <c r="T133" i="6" s="1"/>
  <c r="P133" i="6"/>
  <c r="O133" i="6"/>
  <c r="T132" i="6"/>
  <c r="S132" i="6"/>
  <c r="Q132" i="6"/>
  <c r="P132" i="6"/>
  <c r="O132" i="6"/>
  <c r="T131" i="6"/>
  <c r="S131" i="6"/>
  <c r="Q131" i="6"/>
  <c r="P131" i="6"/>
  <c r="O131" i="6"/>
  <c r="S130" i="6"/>
  <c r="Q130" i="6"/>
  <c r="T130" i="6" s="1"/>
  <c r="P130" i="6"/>
  <c r="O130" i="6"/>
  <c r="S129" i="6"/>
  <c r="Q129" i="6"/>
  <c r="T129" i="6" s="1"/>
  <c r="P129" i="6"/>
  <c r="O129" i="6"/>
  <c r="T128" i="6"/>
  <c r="S128" i="6"/>
  <c r="Q128" i="6"/>
  <c r="P128" i="6"/>
  <c r="O128" i="6"/>
  <c r="T127" i="6"/>
  <c r="S127" i="6"/>
  <c r="Q127" i="6"/>
  <c r="P127" i="6"/>
  <c r="O127" i="6"/>
  <c r="S126" i="6"/>
  <c r="Q126" i="6"/>
  <c r="T126" i="6" s="1"/>
  <c r="P126" i="6"/>
  <c r="O126" i="6"/>
  <c r="S125" i="6"/>
  <c r="Q125" i="6"/>
  <c r="T125" i="6" s="1"/>
  <c r="P125" i="6"/>
  <c r="O125" i="6"/>
  <c r="S124" i="6"/>
  <c r="T124" i="6" s="1"/>
  <c r="Q124" i="6"/>
  <c r="P124" i="6"/>
  <c r="O124" i="6"/>
  <c r="T123" i="6"/>
  <c r="S123" i="6"/>
  <c r="Q123" i="6"/>
  <c r="P123" i="6"/>
  <c r="O123" i="6"/>
  <c r="S122" i="6"/>
  <c r="Q122" i="6"/>
  <c r="T122" i="6" s="1"/>
  <c r="P122" i="6"/>
  <c r="O122" i="6"/>
  <c r="S121" i="6"/>
  <c r="Q121" i="6"/>
  <c r="T121" i="6" s="1"/>
  <c r="P121" i="6"/>
  <c r="O121" i="6"/>
  <c r="T120" i="6"/>
  <c r="S120" i="6"/>
  <c r="Q120" i="6"/>
  <c r="P120" i="6"/>
  <c r="O120" i="6"/>
  <c r="T119" i="6"/>
  <c r="S119" i="6"/>
  <c r="Q119" i="6"/>
  <c r="P119" i="6"/>
  <c r="O119" i="6"/>
  <c r="S118" i="6"/>
  <c r="Q118" i="6"/>
  <c r="T118" i="6" s="1"/>
  <c r="P118" i="6"/>
  <c r="O118" i="6"/>
  <c r="S117" i="6"/>
  <c r="Q117" i="6"/>
  <c r="T117" i="6" s="1"/>
  <c r="P117" i="6"/>
  <c r="O117" i="6"/>
  <c r="T116" i="6"/>
  <c r="S116" i="6"/>
  <c r="Q116" i="6"/>
  <c r="P116" i="6"/>
  <c r="O116" i="6"/>
  <c r="T115" i="6"/>
  <c r="S115" i="6"/>
  <c r="Q115" i="6"/>
  <c r="P115" i="6"/>
  <c r="O115" i="6"/>
  <c r="S114" i="6"/>
  <c r="Q114" i="6"/>
  <c r="T114" i="6" s="1"/>
  <c r="P114" i="6"/>
  <c r="O114" i="6"/>
  <c r="S113" i="6"/>
  <c r="Q113" i="6"/>
  <c r="T113" i="6" s="1"/>
  <c r="P113" i="6"/>
  <c r="O113" i="6"/>
  <c r="T112" i="6"/>
  <c r="S112" i="6"/>
  <c r="Q112" i="6"/>
  <c r="P112" i="6"/>
  <c r="O112" i="6"/>
  <c r="T111" i="6"/>
  <c r="S111" i="6"/>
  <c r="Q111" i="6"/>
  <c r="P111" i="6"/>
  <c r="O111" i="6"/>
  <c r="S110" i="6"/>
  <c r="Q110" i="6"/>
  <c r="T110" i="6" s="1"/>
  <c r="P110" i="6"/>
  <c r="O110" i="6"/>
  <c r="S109" i="6"/>
  <c r="Q109" i="6"/>
  <c r="T109" i="6" s="1"/>
  <c r="P109" i="6"/>
  <c r="O109" i="6"/>
  <c r="T101" i="6"/>
  <c r="S101" i="6"/>
  <c r="Q101" i="6"/>
  <c r="P101" i="6"/>
  <c r="O101" i="6"/>
  <c r="T100" i="6"/>
  <c r="S100" i="6"/>
  <c r="Q100" i="6"/>
  <c r="P100" i="6"/>
  <c r="O100" i="6"/>
  <c r="S99" i="6"/>
  <c r="Q99" i="6"/>
  <c r="T99" i="6" s="1"/>
  <c r="P99" i="6"/>
  <c r="O99" i="6"/>
  <c r="S98" i="6"/>
  <c r="Q98" i="6"/>
  <c r="T98" i="6" s="1"/>
  <c r="P98" i="6"/>
  <c r="O98" i="6"/>
  <c r="T97" i="6"/>
  <c r="S97" i="6"/>
  <c r="Q97" i="6"/>
  <c r="P97" i="6"/>
  <c r="O97" i="6"/>
  <c r="T96" i="6"/>
  <c r="S96" i="6"/>
  <c r="Q96" i="6"/>
  <c r="P96" i="6"/>
  <c r="O96" i="6"/>
  <c r="S95" i="6"/>
  <c r="Q95" i="6"/>
  <c r="T95" i="6" s="1"/>
  <c r="P95" i="6"/>
  <c r="O95" i="6"/>
  <c r="S94" i="6"/>
  <c r="Q94" i="6"/>
  <c r="T94" i="6" s="1"/>
  <c r="P94" i="6"/>
  <c r="O94" i="6"/>
  <c r="T93" i="6"/>
  <c r="S93" i="6"/>
  <c r="Q93" i="6"/>
  <c r="P93" i="6"/>
  <c r="O93" i="6"/>
  <c r="T92" i="6"/>
  <c r="S92" i="6"/>
  <c r="Q92" i="6"/>
  <c r="P92" i="6"/>
  <c r="O92" i="6"/>
  <c r="S91" i="6"/>
  <c r="Q91" i="6"/>
  <c r="T91" i="6" s="1"/>
  <c r="P91" i="6"/>
  <c r="O91" i="6"/>
  <c r="S90" i="6"/>
  <c r="Q90" i="6"/>
  <c r="T90" i="6" s="1"/>
  <c r="P90" i="6"/>
  <c r="O90" i="6"/>
  <c r="T89" i="6"/>
  <c r="S89" i="6"/>
  <c r="Q89" i="6"/>
  <c r="P89" i="6"/>
  <c r="O89" i="6"/>
  <c r="T88" i="6"/>
  <c r="S88" i="6"/>
  <c r="Q88" i="6"/>
  <c r="P88" i="6"/>
  <c r="O88" i="6"/>
  <c r="S87" i="6"/>
  <c r="Q87" i="6"/>
  <c r="T87" i="6" s="1"/>
  <c r="P87" i="6"/>
  <c r="O87" i="6"/>
  <c r="S86" i="6"/>
  <c r="Q86" i="6"/>
  <c r="T86" i="6" s="1"/>
  <c r="P86" i="6"/>
  <c r="O86" i="6"/>
  <c r="T85" i="6"/>
  <c r="S85" i="6"/>
  <c r="Q85" i="6"/>
  <c r="P85" i="6"/>
  <c r="O85" i="6"/>
  <c r="T84" i="6"/>
  <c r="S84" i="6"/>
  <c r="Q84" i="6"/>
  <c r="P84" i="6"/>
  <c r="O84" i="6"/>
  <c r="S83" i="6"/>
  <c r="Q83" i="6"/>
  <c r="T83" i="6" s="1"/>
  <c r="P83" i="6"/>
  <c r="O83" i="6"/>
  <c r="S82" i="6"/>
  <c r="Q82" i="6"/>
  <c r="T82" i="6" s="1"/>
  <c r="P82" i="6"/>
  <c r="O82" i="6"/>
  <c r="T81" i="6"/>
  <c r="S81" i="6"/>
  <c r="Q81" i="6"/>
  <c r="P81" i="6"/>
  <c r="O81" i="6"/>
  <c r="T80" i="6"/>
  <c r="S80" i="6"/>
  <c r="Q80" i="6"/>
  <c r="P80" i="6"/>
  <c r="O80" i="6"/>
  <c r="S79" i="6"/>
  <c r="Q79" i="6"/>
  <c r="T79" i="6" s="1"/>
  <c r="P79" i="6"/>
  <c r="O79" i="6"/>
  <c r="S78" i="6"/>
  <c r="Q78" i="6"/>
  <c r="T78" i="6" s="1"/>
  <c r="P78" i="6"/>
  <c r="O78" i="6"/>
  <c r="T77" i="6"/>
  <c r="S77" i="6"/>
  <c r="Q77" i="6"/>
  <c r="P77" i="6"/>
  <c r="O77" i="6"/>
  <c r="T76" i="6"/>
  <c r="S76" i="6"/>
  <c r="Q76" i="6"/>
  <c r="P76" i="6"/>
  <c r="O76" i="6"/>
  <c r="S68" i="6"/>
  <c r="Q68" i="6"/>
  <c r="T68" i="6" s="1"/>
  <c r="P68" i="6"/>
  <c r="O68" i="6"/>
  <c r="S67" i="6"/>
  <c r="Q67" i="6"/>
  <c r="T67" i="6" s="1"/>
  <c r="P67" i="6"/>
  <c r="O67" i="6"/>
  <c r="S66" i="6"/>
  <c r="T66" i="6" s="1"/>
  <c r="Q66" i="6"/>
  <c r="P66" i="6"/>
  <c r="O66" i="6"/>
  <c r="T65" i="6"/>
  <c r="S65" i="6"/>
  <c r="Q65" i="6"/>
  <c r="P65" i="6"/>
  <c r="O65" i="6"/>
  <c r="S64" i="6"/>
  <c r="Q64" i="6"/>
  <c r="T64" i="6" s="1"/>
  <c r="P64" i="6"/>
  <c r="O64" i="6"/>
  <c r="S63" i="6"/>
  <c r="Q63" i="6"/>
  <c r="T63" i="6" s="1"/>
  <c r="P63" i="6"/>
  <c r="O63" i="6"/>
  <c r="S62" i="6"/>
  <c r="T62" i="6" s="1"/>
  <c r="Q62" i="6"/>
  <c r="P62" i="6"/>
  <c r="O62" i="6"/>
  <c r="T61" i="6"/>
  <c r="S61" i="6"/>
  <c r="Q61" i="6"/>
  <c r="P61" i="6"/>
  <c r="O61" i="6"/>
  <c r="S60" i="6"/>
  <c r="Q60" i="6"/>
  <c r="T60" i="6" s="1"/>
  <c r="P60" i="6"/>
  <c r="O60" i="6"/>
  <c r="S59" i="6"/>
  <c r="Q59" i="6"/>
  <c r="T59" i="6" s="1"/>
  <c r="P59" i="6"/>
  <c r="O59" i="6"/>
  <c r="T58" i="6"/>
  <c r="S58" i="6"/>
  <c r="Q58" i="6"/>
  <c r="P58" i="6"/>
  <c r="O58" i="6"/>
  <c r="T57" i="6"/>
  <c r="S57" i="6"/>
  <c r="Q57" i="6"/>
  <c r="P57" i="6"/>
  <c r="O57" i="6"/>
  <c r="S56" i="6"/>
  <c r="Q56" i="6"/>
  <c r="T56" i="6" s="1"/>
  <c r="P56" i="6"/>
  <c r="O56" i="6"/>
  <c r="S55" i="6"/>
  <c r="Q55" i="6"/>
  <c r="T55" i="6" s="1"/>
  <c r="P55" i="6"/>
  <c r="O55" i="6"/>
  <c r="S54" i="6"/>
  <c r="T54" i="6" s="1"/>
  <c r="Q54" i="6"/>
  <c r="P54" i="6"/>
  <c r="O54" i="6"/>
  <c r="T53" i="6"/>
  <c r="S53" i="6"/>
  <c r="Q53" i="6"/>
  <c r="P53" i="6"/>
  <c r="O53" i="6"/>
  <c r="S52" i="6"/>
  <c r="Q52" i="6"/>
  <c r="T52" i="6" s="1"/>
  <c r="P52" i="6"/>
  <c r="O52" i="6"/>
  <c r="S51" i="6"/>
  <c r="Q51" i="6"/>
  <c r="T51" i="6" s="1"/>
  <c r="P51" i="6"/>
  <c r="O51" i="6"/>
  <c r="S50" i="6"/>
  <c r="T50" i="6" s="1"/>
  <c r="Q50" i="6"/>
  <c r="P50" i="6"/>
  <c r="O50" i="6"/>
  <c r="T49" i="6"/>
  <c r="S49" i="6"/>
  <c r="Q49" i="6"/>
  <c r="P49" i="6"/>
  <c r="O49" i="6"/>
  <c r="S48" i="6"/>
  <c r="Q48" i="6"/>
  <c r="T48" i="6" s="1"/>
  <c r="P48" i="6"/>
  <c r="O48" i="6"/>
  <c r="S47" i="6"/>
  <c r="Q47" i="6"/>
  <c r="T47" i="6" s="1"/>
  <c r="P47" i="6"/>
  <c r="O47" i="6"/>
  <c r="S46" i="6"/>
  <c r="T46" i="6" s="1"/>
  <c r="Q46" i="6"/>
  <c r="P46" i="6"/>
  <c r="O46" i="6"/>
  <c r="T45" i="6"/>
  <c r="S45" i="6"/>
  <c r="Q45" i="6"/>
  <c r="P45" i="6"/>
  <c r="O45" i="6"/>
  <c r="S44" i="6"/>
  <c r="Q44" i="6"/>
  <c r="T44" i="6" s="1"/>
  <c r="P44" i="6"/>
  <c r="O44" i="6"/>
  <c r="S43" i="6"/>
  <c r="Q43" i="6"/>
  <c r="T43" i="6" s="1"/>
  <c r="P43" i="6"/>
  <c r="O43" i="6"/>
  <c r="S35" i="6"/>
  <c r="T35" i="6" s="1"/>
  <c r="Q35" i="6"/>
  <c r="P35" i="6"/>
  <c r="O35" i="6"/>
  <c r="T34" i="6"/>
  <c r="S34" i="6"/>
  <c r="Q34" i="6"/>
  <c r="P34" i="6"/>
  <c r="O34" i="6"/>
  <c r="S33" i="6"/>
  <c r="Q33" i="6"/>
  <c r="T33" i="6" s="1"/>
  <c r="P33" i="6"/>
  <c r="O33" i="6"/>
  <c r="S32" i="6"/>
  <c r="Q32" i="6"/>
  <c r="T32" i="6" s="1"/>
  <c r="P32" i="6"/>
  <c r="O32" i="6"/>
  <c r="T31" i="6"/>
  <c r="S31" i="6"/>
  <c r="Q31" i="6"/>
  <c r="P31" i="6"/>
  <c r="O31" i="6"/>
  <c r="T30" i="6"/>
  <c r="S30" i="6"/>
  <c r="Q30" i="6"/>
  <c r="P30" i="6"/>
  <c r="O30" i="6"/>
  <c r="S29" i="6"/>
  <c r="Q29" i="6"/>
  <c r="T29" i="6" s="1"/>
  <c r="P29" i="6"/>
  <c r="O29" i="6"/>
  <c r="S28" i="6"/>
  <c r="Q28" i="6"/>
  <c r="T28" i="6" s="1"/>
  <c r="P28" i="6"/>
  <c r="O28" i="6"/>
  <c r="S27" i="6"/>
  <c r="T27" i="6" s="1"/>
  <c r="Q27" i="6"/>
  <c r="P27" i="6"/>
  <c r="O27" i="6"/>
  <c r="T26" i="6"/>
  <c r="S26" i="6"/>
  <c r="Q26" i="6"/>
  <c r="P26" i="6"/>
  <c r="O26" i="6"/>
  <c r="S25" i="6"/>
  <c r="Q25" i="6"/>
  <c r="T25" i="6" s="1"/>
  <c r="P25" i="6"/>
  <c r="O25" i="6"/>
  <c r="S24" i="6"/>
  <c r="Q24" i="6"/>
  <c r="T24" i="6" s="1"/>
  <c r="P24" i="6"/>
  <c r="O24" i="6"/>
  <c r="S23" i="6"/>
  <c r="T23" i="6" s="1"/>
  <c r="Q23" i="6"/>
  <c r="P23" i="6"/>
  <c r="O23" i="6"/>
  <c r="T22" i="6"/>
  <c r="S22" i="6"/>
  <c r="Q22" i="6"/>
  <c r="P22" i="6"/>
  <c r="O22" i="6"/>
  <c r="S21" i="6"/>
  <c r="Q21" i="6"/>
  <c r="T21" i="6" s="1"/>
  <c r="P21" i="6"/>
  <c r="O21" i="6"/>
  <c r="S20" i="6"/>
  <c r="Q20" i="6"/>
  <c r="T20" i="6" s="1"/>
  <c r="P20" i="6"/>
  <c r="O20" i="6"/>
  <c r="T19" i="6"/>
  <c r="S19" i="6"/>
  <c r="Q19" i="6"/>
  <c r="P19" i="6"/>
  <c r="O19" i="6"/>
  <c r="T18" i="6"/>
  <c r="S18" i="6"/>
  <c r="Q18" i="6"/>
  <c r="P18" i="6"/>
  <c r="O18" i="6"/>
  <c r="S17" i="6"/>
  <c r="Q17" i="6"/>
  <c r="T17" i="6" s="1"/>
  <c r="P17" i="6"/>
  <c r="O17" i="6"/>
  <c r="S16" i="6"/>
  <c r="Q16" i="6"/>
  <c r="T16" i="6" s="1"/>
  <c r="P16" i="6"/>
  <c r="O16" i="6"/>
  <c r="S15" i="6"/>
  <c r="T15" i="6" s="1"/>
  <c r="Q15" i="6"/>
  <c r="P15" i="6"/>
  <c r="O15" i="6"/>
  <c r="T14" i="6"/>
  <c r="S14" i="6"/>
  <c r="Q14" i="6"/>
  <c r="P14" i="6"/>
  <c r="O14" i="6"/>
  <c r="S13" i="6"/>
  <c r="Q13" i="6"/>
  <c r="T13" i="6" s="1"/>
  <c r="P13" i="6"/>
  <c r="O13" i="6"/>
  <c r="S12" i="6"/>
  <c r="Q12" i="6"/>
  <c r="T12" i="6" s="1"/>
  <c r="P12" i="6"/>
  <c r="O12" i="6"/>
  <c r="S11" i="6"/>
  <c r="T11" i="6" s="1"/>
  <c r="Q11" i="6"/>
  <c r="P11" i="6"/>
  <c r="O11" i="6"/>
  <c r="T10" i="6"/>
  <c r="S10" i="6"/>
  <c r="Q10" i="6"/>
  <c r="P10" i="6"/>
  <c r="O10" i="6"/>
  <c r="AH116" i="10"/>
  <c r="AG116" i="10"/>
  <c r="AF116" i="10"/>
  <c r="AE116" i="10"/>
  <c r="AD116" i="10"/>
  <c r="AC116" i="10"/>
  <c r="AB116" i="10"/>
  <c r="AA116" i="10"/>
  <c r="Z116" i="10"/>
  <c r="Y116" i="10"/>
  <c r="X116" i="10"/>
  <c r="W116" i="10"/>
  <c r="V116" i="10"/>
  <c r="U116" i="10"/>
  <c r="T116" i="10"/>
  <c r="S116" i="10"/>
  <c r="R116" i="10"/>
  <c r="Q116" i="10"/>
  <c r="P116" i="10"/>
  <c r="O116" i="10"/>
  <c r="N116" i="10"/>
  <c r="M116" i="10"/>
  <c r="L116" i="10"/>
  <c r="K116" i="10"/>
  <c r="J116" i="10"/>
  <c r="I116" i="10"/>
  <c r="M39" i="10"/>
  <c r="L39" i="10"/>
  <c r="M38" i="10"/>
  <c r="L38" i="10"/>
  <c r="M36" i="10"/>
  <c r="L36" i="10"/>
  <c r="M35" i="10"/>
  <c r="M37" i="10" s="1"/>
  <c r="L35" i="10"/>
  <c r="L37" i="10" s="1"/>
  <c r="M34" i="10"/>
  <c r="L34" i="10"/>
  <c r="K29" i="10"/>
  <c r="J29" i="10"/>
  <c r="I29" i="10"/>
  <c r="H29" i="10"/>
  <c r="G29" i="10"/>
  <c r="F29" i="10"/>
  <c r="E29" i="10"/>
  <c r="D29" i="10"/>
  <c r="M28" i="10"/>
  <c r="L28" i="10"/>
  <c r="M27" i="10"/>
  <c r="M29" i="10" s="1"/>
  <c r="L27" i="10"/>
  <c r="L29" i="10" s="1"/>
  <c r="M26" i="10"/>
  <c r="L26" i="10"/>
  <c r="M16" i="10"/>
  <c r="L16" i="10"/>
  <c r="K16" i="10"/>
  <c r="J16" i="10"/>
  <c r="I16" i="10"/>
  <c r="H263" i="27"/>
  <c r="G263" i="27"/>
  <c r="F263" i="27"/>
  <c r="E263" i="27"/>
  <c r="D263" i="27"/>
  <c r="Q262" i="27"/>
  <c r="T262" i="27" s="1"/>
  <c r="P262" i="27"/>
  <c r="O262" i="27"/>
  <c r="M262" i="27"/>
  <c r="L262" i="27"/>
  <c r="K262" i="27"/>
  <c r="J262" i="27"/>
  <c r="I262" i="27"/>
  <c r="S262" i="27" s="1"/>
  <c r="T258" i="27"/>
  <c r="Q258" i="27"/>
  <c r="P258" i="27"/>
  <c r="O258" i="27"/>
  <c r="M258" i="27"/>
  <c r="L258" i="27"/>
  <c r="K258" i="27"/>
  <c r="J258" i="27"/>
  <c r="I258" i="27"/>
  <c r="S258" i="27" s="1"/>
  <c r="Q254" i="27"/>
  <c r="T254" i="27" s="1"/>
  <c r="P254" i="27"/>
  <c r="O254" i="27"/>
  <c r="M254" i="27"/>
  <c r="M263" i="27" s="1"/>
  <c r="M12" i="27" s="1"/>
  <c r="L254" i="27"/>
  <c r="K254" i="27"/>
  <c r="J254" i="27"/>
  <c r="I254" i="27"/>
  <c r="S254" i="27" s="1"/>
  <c r="T250" i="27"/>
  <c r="Q250" i="27"/>
  <c r="Q263" i="27" s="1"/>
  <c r="T263" i="27" s="1"/>
  <c r="P250" i="27"/>
  <c r="P263" i="27" s="1"/>
  <c r="O250" i="27"/>
  <c r="O263" i="27" s="1"/>
  <c r="M250" i="27"/>
  <c r="L250" i="27"/>
  <c r="L263" i="27" s="1"/>
  <c r="L12" i="27" s="1"/>
  <c r="K250" i="27"/>
  <c r="K263" i="27" s="1"/>
  <c r="K12" i="27" s="1"/>
  <c r="J250" i="27"/>
  <c r="J263" i="27" s="1"/>
  <c r="J12" i="27" s="1"/>
  <c r="I250" i="27"/>
  <c r="S250" i="27" s="1"/>
  <c r="H240" i="27"/>
  <c r="G240" i="27"/>
  <c r="F240" i="27"/>
  <c r="E240" i="27"/>
  <c r="D240" i="27"/>
  <c r="Q239" i="27"/>
  <c r="T239" i="27" s="1"/>
  <c r="P239" i="27"/>
  <c r="O239" i="27"/>
  <c r="M239" i="27"/>
  <c r="L239" i="27"/>
  <c r="K239" i="27"/>
  <c r="J239" i="27"/>
  <c r="I239" i="27"/>
  <c r="S239" i="27" s="1"/>
  <c r="T235" i="27"/>
  <c r="Q235" i="27"/>
  <c r="P235" i="27"/>
  <c r="O235" i="27"/>
  <c r="M235" i="27"/>
  <c r="L235" i="27"/>
  <c r="K235" i="27"/>
  <c r="J235" i="27"/>
  <c r="I235" i="27"/>
  <c r="S235" i="27" s="1"/>
  <c r="Q231" i="27"/>
  <c r="Q240" i="27" s="1"/>
  <c r="T240" i="27" s="1"/>
  <c r="P231" i="27"/>
  <c r="O231" i="27"/>
  <c r="M231" i="27"/>
  <c r="L231" i="27"/>
  <c r="L240" i="27" s="1"/>
  <c r="L11" i="27" s="1"/>
  <c r="L13" i="27" s="1"/>
  <c r="K231" i="27"/>
  <c r="J231" i="27"/>
  <c r="I231" i="27"/>
  <c r="S231" i="27" s="1"/>
  <c r="T227" i="27"/>
  <c r="Q227" i="27"/>
  <c r="P227" i="27"/>
  <c r="P240" i="27" s="1"/>
  <c r="O227" i="27"/>
  <c r="O240" i="27" s="1"/>
  <c r="M227" i="27"/>
  <c r="M240" i="27" s="1"/>
  <c r="M11" i="27" s="1"/>
  <c r="M13" i="27" s="1"/>
  <c r="L227" i="27"/>
  <c r="K227" i="27"/>
  <c r="K240" i="27" s="1"/>
  <c r="K11" i="27" s="1"/>
  <c r="J227" i="27"/>
  <c r="J240" i="27" s="1"/>
  <c r="J11" i="27" s="1"/>
  <c r="I227" i="27"/>
  <c r="I240" i="27" s="1"/>
  <c r="I11" i="27" s="1"/>
  <c r="M217" i="27"/>
  <c r="I217" i="27"/>
  <c r="H217" i="27"/>
  <c r="G217" i="27"/>
  <c r="F217" i="27"/>
  <c r="E217" i="27"/>
  <c r="D217" i="27"/>
  <c r="T216" i="27"/>
  <c r="Q216" i="27"/>
  <c r="P216" i="27"/>
  <c r="O216" i="27"/>
  <c r="M216" i="27"/>
  <c r="L216" i="27"/>
  <c r="K216" i="27"/>
  <c r="J216" i="27"/>
  <c r="I216" i="27"/>
  <c r="S216" i="27" s="1"/>
  <c r="M215" i="27"/>
  <c r="L215" i="27"/>
  <c r="K215" i="27"/>
  <c r="J215" i="27"/>
  <c r="I215" i="27"/>
  <c r="M212" i="27"/>
  <c r="L212" i="27"/>
  <c r="K212" i="27"/>
  <c r="J212" i="27"/>
  <c r="I212" i="27"/>
  <c r="T208" i="27"/>
  <c r="Q208" i="27"/>
  <c r="P208" i="27"/>
  <c r="O208" i="27"/>
  <c r="M208" i="27"/>
  <c r="L208" i="27"/>
  <c r="K208" i="27"/>
  <c r="J208" i="27"/>
  <c r="I208" i="27"/>
  <c r="S208" i="27" s="1"/>
  <c r="M207" i="27"/>
  <c r="L207" i="27"/>
  <c r="K207" i="27"/>
  <c r="J207" i="27"/>
  <c r="I207" i="27"/>
  <c r="M204" i="27"/>
  <c r="L204" i="27"/>
  <c r="K204" i="27"/>
  <c r="J204" i="27"/>
  <c r="I204" i="27"/>
  <c r="T200" i="27"/>
  <c r="Q200" i="27"/>
  <c r="P200" i="27"/>
  <c r="O200" i="27"/>
  <c r="M200" i="27"/>
  <c r="L200" i="27"/>
  <c r="K200" i="27"/>
  <c r="J200" i="27"/>
  <c r="I200" i="27"/>
  <c r="S200" i="27" s="1"/>
  <c r="M199" i="27"/>
  <c r="L199" i="27"/>
  <c r="K199" i="27"/>
  <c r="J199" i="27"/>
  <c r="I199" i="27"/>
  <c r="M196" i="27"/>
  <c r="L196" i="27"/>
  <c r="K196" i="27"/>
  <c r="J196" i="27"/>
  <c r="I196" i="27"/>
  <c r="T192" i="27"/>
  <c r="Q192" i="27"/>
  <c r="Q217" i="27" s="1"/>
  <c r="T217" i="27" s="1"/>
  <c r="P192" i="27"/>
  <c r="P217" i="27" s="1"/>
  <c r="O192" i="27"/>
  <c r="O217" i="27" s="1"/>
  <c r="M192" i="27"/>
  <c r="L192" i="27"/>
  <c r="L217" i="27" s="1"/>
  <c r="K192" i="27"/>
  <c r="K217" i="27" s="1"/>
  <c r="J192" i="27"/>
  <c r="J217" i="27" s="1"/>
  <c r="I192" i="27"/>
  <c r="S192" i="27" s="1"/>
  <c r="M191" i="27"/>
  <c r="L191" i="27"/>
  <c r="K191" i="27"/>
  <c r="J191" i="27"/>
  <c r="I191" i="27"/>
  <c r="M188" i="27"/>
  <c r="L188" i="27"/>
  <c r="K188" i="27"/>
  <c r="J188" i="27"/>
  <c r="I188" i="27"/>
  <c r="T178" i="27"/>
  <c r="Q178" i="27"/>
  <c r="L178" i="27"/>
  <c r="H178" i="27"/>
  <c r="G178" i="27"/>
  <c r="F178" i="27"/>
  <c r="E178" i="27"/>
  <c r="D178" i="27"/>
  <c r="T177" i="27"/>
  <c r="Q177" i="27"/>
  <c r="P177" i="27"/>
  <c r="O177" i="27"/>
  <c r="M177" i="27"/>
  <c r="L177" i="27"/>
  <c r="K177" i="27"/>
  <c r="J177" i="27"/>
  <c r="I177" i="27"/>
  <c r="S177" i="27" s="1"/>
  <c r="M176" i="27"/>
  <c r="L176" i="27"/>
  <c r="K176" i="27"/>
  <c r="J176" i="27"/>
  <c r="I176" i="27"/>
  <c r="M173" i="27"/>
  <c r="L173" i="27"/>
  <c r="K173" i="27"/>
  <c r="J173" i="27"/>
  <c r="I173" i="27"/>
  <c r="T169" i="27"/>
  <c r="Q169" i="27"/>
  <c r="P169" i="27"/>
  <c r="O169" i="27"/>
  <c r="M169" i="27"/>
  <c r="L169" i="27"/>
  <c r="K169" i="27"/>
  <c r="J169" i="27"/>
  <c r="I169" i="27"/>
  <c r="S169" i="27" s="1"/>
  <c r="M168" i="27"/>
  <c r="L168" i="27"/>
  <c r="K168" i="27"/>
  <c r="J168" i="27"/>
  <c r="I168" i="27"/>
  <c r="M165" i="27"/>
  <c r="L165" i="27"/>
  <c r="K165" i="27"/>
  <c r="J165" i="27"/>
  <c r="I165" i="27"/>
  <c r="T161" i="27"/>
  <c r="Q161" i="27"/>
  <c r="P161" i="27"/>
  <c r="O161" i="27"/>
  <c r="M161" i="27"/>
  <c r="L161" i="27"/>
  <c r="K161" i="27"/>
  <c r="J161" i="27"/>
  <c r="I161" i="27"/>
  <c r="S161" i="27" s="1"/>
  <c r="M160" i="27"/>
  <c r="L160" i="27"/>
  <c r="K160" i="27"/>
  <c r="J160" i="27"/>
  <c r="I160" i="27"/>
  <c r="M157" i="27"/>
  <c r="L157" i="27"/>
  <c r="K157" i="27"/>
  <c r="J157" i="27"/>
  <c r="I157" i="27"/>
  <c r="T153" i="27"/>
  <c r="Q153" i="27"/>
  <c r="P153" i="27"/>
  <c r="P178" i="27" s="1"/>
  <c r="O153" i="27"/>
  <c r="O178" i="27" s="1"/>
  <c r="M153" i="27"/>
  <c r="M178" i="27" s="1"/>
  <c r="L153" i="27"/>
  <c r="K153" i="27"/>
  <c r="K178" i="27" s="1"/>
  <c r="K10" i="27" s="1"/>
  <c r="J153" i="27"/>
  <c r="J178" i="27" s="1"/>
  <c r="J10" i="27" s="1"/>
  <c r="I153" i="27"/>
  <c r="S153" i="27" s="1"/>
  <c r="M152" i="27"/>
  <c r="L152" i="27"/>
  <c r="K152" i="27"/>
  <c r="J152" i="27"/>
  <c r="I152" i="27"/>
  <c r="M149" i="27"/>
  <c r="L149" i="27"/>
  <c r="K149" i="27"/>
  <c r="J149" i="27"/>
  <c r="I149" i="27"/>
  <c r="H137" i="27"/>
  <c r="G137" i="27"/>
  <c r="F137" i="27"/>
  <c r="E137" i="27"/>
  <c r="D137" i="27"/>
  <c r="M136" i="27"/>
  <c r="L136" i="27"/>
  <c r="K136" i="27"/>
  <c r="J136" i="27"/>
  <c r="I136" i="27"/>
  <c r="M130" i="27"/>
  <c r="L130" i="27"/>
  <c r="K130" i="27"/>
  <c r="J130" i="27"/>
  <c r="I130" i="27"/>
  <c r="M124" i="27"/>
  <c r="M62" i="27" s="1"/>
  <c r="L124" i="27"/>
  <c r="L137" i="27" s="1"/>
  <c r="K124" i="27"/>
  <c r="J124" i="27"/>
  <c r="I124" i="27"/>
  <c r="I62" i="27" s="1"/>
  <c r="M118" i="27"/>
  <c r="M137" i="27" s="1"/>
  <c r="L118" i="27"/>
  <c r="K118" i="27"/>
  <c r="K137" i="27" s="1"/>
  <c r="J118" i="27"/>
  <c r="J137" i="27" s="1"/>
  <c r="I118" i="27"/>
  <c r="I137" i="27" s="1"/>
  <c r="H106" i="27"/>
  <c r="G106" i="27"/>
  <c r="F106" i="27"/>
  <c r="E106" i="27"/>
  <c r="D106" i="27"/>
  <c r="M105" i="27"/>
  <c r="M74" i="27" s="1"/>
  <c r="L105" i="27"/>
  <c r="L74" i="27" s="1"/>
  <c r="K105" i="27"/>
  <c r="J105" i="27"/>
  <c r="I105" i="27"/>
  <c r="I74" i="27" s="1"/>
  <c r="M99" i="27"/>
  <c r="M68" i="27" s="1"/>
  <c r="L99" i="27"/>
  <c r="K99" i="27"/>
  <c r="J99" i="27"/>
  <c r="I99" i="27"/>
  <c r="I68" i="27" s="1"/>
  <c r="M93" i="27"/>
  <c r="L93" i="27"/>
  <c r="K93" i="27"/>
  <c r="J93" i="27"/>
  <c r="J106" i="27" s="1"/>
  <c r="I93" i="27"/>
  <c r="M87" i="27"/>
  <c r="M106" i="27" s="1"/>
  <c r="L87" i="27"/>
  <c r="L106" i="27" s="1"/>
  <c r="K87" i="27"/>
  <c r="K106" i="27" s="1"/>
  <c r="J87" i="27"/>
  <c r="I87" i="27"/>
  <c r="I106" i="27" s="1"/>
  <c r="K74" i="27"/>
  <c r="J74" i="27"/>
  <c r="H74" i="27"/>
  <c r="G74" i="27"/>
  <c r="F74" i="27"/>
  <c r="E74" i="27"/>
  <c r="D74" i="27"/>
  <c r="M73" i="27"/>
  <c r="L73" i="27"/>
  <c r="K73" i="27"/>
  <c r="J73" i="27"/>
  <c r="I73" i="27"/>
  <c r="M72" i="27"/>
  <c r="L72" i="27"/>
  <c r="K72" i="27"/>
  <c r="J72" i="27"/>
  <c r="I72" i="27"/>
  <c r="M71" i="27"/>
  <c r="L71" i="27"/>
  <c r="K71" i="27"/>
  <c r="J71" i="27"/>
  <c r="I71" i="27"/>
  <c r="H71" i="27"/>
  <c r="G71" i="27"/>
  <c r="F71" i="27"/>
  <c r="E71" i="27"/>
  <c r="D71" i="27"/>
  <c r="M70" i="27"/>
  <c r="L70" i="27"/>
  <c r="K70" i="27"/>
  <c r="J70" i="27"/>
  <c r="I70" i="27"/>
  <c r="H70" i="27"/>
  <c r="G70" i="27"/>
  <c r="F70" i="27"/>
  <c r="E70" i="27"/>
  <c r="D70" i="27"/>
  <c r="L68" i="27"/>
  <c r="K68" i="27"/>
  <c r="J68" i="27"/>
  <c r="H68" i="27"/>
  <c r="G68" i="27"/>
  <c r="F68" i="27"/>
  <c r="E68" i="27"/>
  <c r="D68" i="27"/>
  <c r="M67" i="27"/>
  <c r="L67" i="27"/>
  <c r="K67" i="27"/>
  <c r="J67" i="27"/>
  <c r="I67" i="27"/>
  <c r="M66" i="27"/>
  <c r="L66" i="27"/>
  <c r="K66" i="27"/>
  <c r="J66" i="27"/>
  <c r="I66" i="27"/>
  <c r="M65" i="27"/>
  <c r="L65" i="27"/>
  <c r="K65" i="27"/>
  <c r="J65" i="27"/>
  <c r="I65" i="27"/>
  <c r="H65" i="27"/>
  <c r="G65" i="27"/>
  <c r="F65" i="27"/>
  <c r="E65" i="27"/>
  <c r="D65" i="27"/>
  <c r="M64" i="27"/>
  <c r="L64" i="27"/>
  <c r="K64" i="27"/>
  <c r="J64" i="27"/>
  <c r="I64" i="27"/>
  <c r="H64" i="27"/>
  <c r="G64" i="27"/>
  <c r="F64" i="27"/>
  <c r="E64" i="27"/>
  <c r="D64" i="27"/>
  <c r="L62" i="27"/>
  <c r="K62" i="27"/>
  <c r="J62" i="27"/>
  <c r="H62" i="27"/>
  <c r="G62" i="27"/>
  <c r="F62" i="27"/>
  <c r="E62" i="27"/>
  <c r="D62" i="27"/>
  <c r="M61" i="27"/>
  <c r="L61" i="27"/>
  <c r="K61" i="27"/>
  <c r="J61" i="27"/>
  <c r="I61" i="27"/>
  <c r="M60" i="27"/>
  <c r="L60" i="27"/>
  <c r="K60" i="27"/>
  <c r="J60" i="27"/>
  <c r="I60" i="27"/>
  <c r="M59" i="27"/>
  <c r="L59" i="27"/>
  <c r="K59" i="27"/>
  <c r="J59" i="27"/>
  <c r="I59" i="27"/>
  <c r="H59" i="27"/>
  <c r="G59" i="27"/>
  <c r="F59" i="27"/>
  <c r="E59" i="27"/>
  <c r="D59" i="27"/>
  <c r="M58" i="27"/>
  <c r="L58" i="27"/>
  <c r="K58" i="27"/>
  <c r="J58" i="27"/>
  <c r="I58" i="27"/>
  <c r="H58" i="27"/>
  <c r="G58" i="27"/>
  <c r="F58" i="27"/>
  <c r="E58" i="27"/>
  <c r="D58" i="27"/>
  <c r="L56" i="27"/>
  <c r="K56" i="27"/>
  <c r="J56" i="27"/>
  <c r="H56" i="27"/>
  <c r="G56" i="27"/>
  <c r="F56" i="27"/>
  <c r="E56" i="27"/>
  <c r="D56" i="27"/>
  <c r="M55" i="27"/>
  <c r="L55" i="27"/>
  <c r="K55" i="27"/>
  <c r="J55" i="27"/>
  <c r="I55" i="27"/>
  <c r="M54" i="27"/>
  <c r="L54" i="27"/>
  <c r="K54" i="27"/>
  <c r="J54" i="27"/>
  <c r="I54" i="27"/>
  <c r="M53" i="27"/>
  <c r="L53" i="27"/>
  <c r="K53" i="27"/>
  <c r="J53" i="27"/>
  <c r="I53" i="27"/>
  <c r="H53" i="27"/>
  <c r="G53" i="27"/>
  <c r="F53" i="27"/>
  <c r="E53" i="27"/>
  <c r="D53" i="27"/>
  <c r="M52" i="27"/>
  <c r="M75" i="27" s="1"/>
  <c r="L52" i="27"/>
  <c r="L75" i="27" s="1"/>
  <c r="K52" i="27"/>
  <c r="K75" i="27" s="1"/>
  <c r="J52" i="27"/>
  <c r="J75" i="27" s="1"/>
  <c r="I52" i="27"/>
  <c r="I75" i="27" s="1"/>
  <c r="H52" i="27"/>
  <c r="H75" i="27" s="1"/>
  <c r="G52" i="27"/>
  <c r="G75" i="27" s="1"/>
  <c r="F52" i="27"/>
  <c r="F75" i="27" s="1"/>
  <c r="E52" i="27"/>
  <c r="E75" i="27" s="1"/>
  <c r="D52" i="27"/>
  <c r="D75" i="27" s="1"/>
  <c r="P43" i="27"/>
  <c r="L43" i="27"/>
  <c r="K43" i="27"/>
  <c r="H43" i="27"/>
  <c r="G43" i="27"/>
  <c r="F43" i="27"/>
  <c r="E43" i="27"/>
  <c r="D43" i="27"/>
  <c r="Q43" i="27" s="1"/>
  <c r="T43" i="27" s="1"/>
  <c r="M42" i="27"/>
  <c r="M43" i="27" s="1"/>
  <c r="L42" i="27"/>
  <c r="K42" i="27"/>
  <c r="J42" i="27"/>
  <c r="I42" i="27"/>
  <c r="I43" i="27" s="1"/>
  <c r="M41" i="27"/>
  <c r="L41" i="27"/>
  <c r="K41" i="27"/>
  <c r="J41" i="27"/>
  <c r="J43" i="27" s="1"/>
  <c r="I41" i="27"/>
  <c r="M39" i="27"/>
  <c r="L39" i="27"/>
  <c r="I39" i="27"/>
  <c r="S39" i="27" s="1"/>
  <c r="H39" i="27"/>
  <c r="P39" i="27" s="1"/>
  <c r="G39" i="27"/>
  <c r="F39" i="27"/>
  <c r="E39" i="27"/>
  <c r="D39" i="27"/>
  <c r="Q39" i="27" s="1"/>
  <c r="T39" i="27" s="1"/>
  <c r="M38" i="27"/>
  <c r="L38" i="27"/>
  <c r="K38" i="27"/>
  <c r="J38" i="27"/>
  <c r="J39" i="27" s="1"/>
  <c r="I38" i="27"/>
  <c r="M37" i="27"/>
  <c r="L37" i="27"/>
  <c r="K37" i="27"/>
  <c r="K39" i="27" s="1"/>
  <c r="J37" i="27"/>
  <c r="I37" i="27"/>
  <c r="P35" i="27"/>
  <c r="M35" i="27"/>
  <c r="J35" i="27"/>
  <c r="I35" i="27"/>
  <c r="H35" i="27"/>
  <c r="G35" i="27"/>
  <c r="F35" i="27"/>
  <c r="E35" i="27"/>
  <c r="O35" i="27" s="1"/>
  <c r="D35" i="27"/>
  <c r="Q35" i="27" s="1"/>
  <c r="T35" i="27" s="1"/>
  <c r="M34" i="27"/>
  <c r="L34" i="27"/>
  <c r="K34" i="27"/>
  <c r="K35" i="27" s="1"/>
  <c r="J34" i="27"/>
  <c r="I34" i="27"/>
  <c r="M33" i="27"/>
  <c r="L33" i="27"/>
  <c r="L35" i="27" s="1"/>
  <c r="K33" i="27"/>
  <c r="J33" i="27"/>
  <c r="I33" i="27"/>
  <c r="P31" i="27"/>
  <c r="K31" i="27"/>
  <c r="J31" i="27"/>
  <c r="H31" i="27"/>
  <c r="G31" i="27"/>
  <c r="F31" i="27"/>
  <c r="O31" i="27" s="1"/>
  <c r="E31" i="27"/>
  <c r="D31" i="27"/>
  <c r="Q31" i="27" s="1"/>
  <c r="T31" i="27" s="1"/>
  <c r="M30" i="27"/>
  <c r="L30" i="27"/>
  <c r="L31" i="27" s="1"/>
  <c r="K30" i="27"/>
  <c r="J30" i="27"/>
  <c r="I30" i="27"/>
  <c r="M29" i="27"/>
  <c r="M31" i="27" s="1"/>
  <c r="L29" i="27"/>
  <c r="K29" i="27"/>
  <c r="J29" i="27"/>
  <c r="I29" i="27"/>
  <c r="I31" i="27" s="1"/>
  <c r="S31" i="27" s="1"/>
  <c r="P22" i="27"/>
  <c r="M22" i="27"/>
  <c r="L22" i="27"/>
  <c r="K22" i="27"/>
  <c r="J22" i="27"/>
  <c r="I22" i="27"/>
  <c r="S22" i="27" s="1"/>
  <c r="H22" i="27"/>
  <c r="G22" i="27"/>
  <c r="F22" i="27"/>
  <c r="E22" i="27"/>
  <c r="D22" i="27"/>
  <c r="Q22" i="27" s="1"/>
  <c r="T22" i="27" s="1"/>
  <c r="T21" i="27"/>
  <c r="S21" i="27"/>
  <c r="Q21" i="27"/>
  <c r="P21" i="27"/>
  <c r="O21" i="27"/>
  <c r="S20" i="27"/>
  <c r="Q20" i="27"/>
  <c r="T20" i="27" s="1"/>
  <c r="P20" i="27"/>
  <c r="O20" i="27"/>
  <c r="G16" i="27"/>
  <c r="T14" i="27"/>
  <c r="S14" i="27"/>
  <c r="Q14" i="27"/>
  <c r="P14" i="27"/>
  <c r="O14" i="27"/>
  <c r="G13" i="27"/>
  <c r="G15" i="27" s="1"/>
  <c r="F13" i="27"/>
  <c r="F16" i="27" s="1"/>
  <c r="P12" i="27"/>
  <c r="H12" i="27"/>
  <c r="G12" i="27"/>
  <c r="F12" i="27"/>
  <c r="E12" i="27"/>
  <c r="O12" i="27" s="1"/>
  <c r="D12" i="27"/>
  <c r="Q12" i="27" s="1"/>
  <c r="T12" i="27" s="1"/>
  <c r="H11" i="27"/>
  <c r="G11" i="27"/>
  <c r="F11" i="27"/>
  <c r="E11" i="27"/>
  <c r="E13" i="27" s="1"/>
  <c r="D11" i="27"/>
  <c r="D13" i="27" s="1"/>
  <c r="P10" i="27"/>
  <c r="H10" i="27"/>
  <c r="G10" i="27"/>
  <c r="F10" i="27"/>
  <c r="E10" i="27"/>
  <c r="D10" i="27"/>
  <c r="M126" i="11"/>
  <c r="L126" i="11"/>
  <c r="K126" i="11"/>
  <c r="J126" i="11"/>
  <c r="I126" i="11"/>
  <c r="D101" i="28" l="1"/>
  <c r="H100" i="28"/>
  <c r="F97" i="28"/>
  <c r="C97" i="28"/>
  <c r="C101" i="28" s="1"/>
  <c r="L15" i="27"/>
  <c r="L16" i="27"/>
  <c r="Q10" i="27"/>
  <c r="T10" i="27" s="1"/>
  <c r="E15" i="27"/>
  <c r="E16" i="27"/>
  <c r="J13" i="27"/>
  <c r="L10" i="27"/>
  <c r="K13" i="27"/>
  <c r="S43" i="27"/>
  <c r="S178" i="27"/>
  <c r="M10" i="27"/>
  <c r="S217" i="27"/>
  <c r="S263" i="27"/>
  <c r="D15" i="27"/>
  <c r="D16" i="27"/>
  <c r="O13" i="27"/>
  <c r="P11" i="27"/>
  <c r="H13" i="27"/>
  <c r="M15" i="27"/>
  <c r="M16" i="27"/>
  <c r="S35" i="27"/>
  <c r="S11" i="27"/>
  <c r="F15" i="27"/>
  <c r="O11" i="27"/>
  <c r="O39" i="27"/>
  <c r="O10" i="27"/>
  <c r="O22" i="27"/>
  <c r="O43" i="27"/>
  <c r="I56" i="27"/>
  <c r="M56" i="27"/>
  <c r="I178" i="27"/>
  <c r="I10" i="27" s="1"/>
  <c r="S10" i="27" s="1"/>
  <c r="T231" i="27"/>
  <c r="S227" i="27"/>
  <c r="S240" i="27" s="1"/>
  <c r="I263" i="27"/>
  <c r="I12" i="27" s="1"/>
  <c r="S12" i="27" s="1"/>
  <c r="Q11" i="27"/>
  <c r="T11" i="27" s="1"/>
  <c r="C22" i="12"/>
  <c r="B5" i="12"/>
  <c r="A1" i="23" s="1"/>
  <c r="A1" i="16"/>
  <c r="E20" i="40"/>
  <c r="H20" i="40"/>
  <c r="E21" i="40"/>
  <c r="G21" i="40" s="1"/>
  <c r="I21" i="40" s="1"/>
  <c r="H21" i="40"/>
  <c r="E22" i="40"/>
  <c r="H22" i="40"/>
  <c r="E23" i="40"/>
  <c r="H23" i="40"/>
  <c r="E24" i="40"/>
  <c r="H24" i="40"/>
  <c r="E25" i="40"/>
  <c r="H25" i="40"/>
  <c r="E26" i="40"/>
  <c r="H26" i="40"/>
  <c r="E27" i="40"/>
  <c r="H27" i="40"/>
  <c r="E28" i="40"/>
  <c r="H28" i="40"/>
  <c r="E29" i="40"/>
  <c r="H29" i="40"/>
  <c r="E30" i="40"/>
  <c r="H30" i="40"/>
  <c r="E31" i="40"/>
  <c r="H31" i="40"/>
  <c r="E32" i="40"/>
  <c r="H32" i="40"/>
  <c r="E33" i="40"/>
  <c r="H33" i="40"/>
  <c r="E34" i="40"/>
  <c r="H34" i="40"/>
  <c r="E35" i="40"/>
  <c r="H35" i="40"/>
  <c r="E36" i="40"/>
  <c r="H36" i="40"/>
  <c r="E37" i="40"/>
  <c r="H37" i="40"/>
  <c r="E38" i="40"/>
  <c r="H38" i="40"/>
  <c r="E39" i="40"/>
  <c r="H39" i="40"/>
  <c r="E40" i="40"/>
  <c r="H40" i="40"/>
  <c r="E41" i="40"/>
  <c r="H41" i="40"/>
  <c r="E42" i="40"/>
  <c r="H42" i="40"/>
  <c r="E43" i="40"/>
  <c r="H43" i="40"/>
  <c r="E44" i="40"/>
  <c r="H44" i="40"/>
  <c r="E45" i="40"/>
  <c r="H45" i="40"/>
  <c r="E46" i="40"/>
  <c r="H46" i="40"/>
  <c r="E47" i="40"/>
  <c r="H47" i="40"/>
  <c r="E48" i="40"/>
  <c r="H48" i="40"/>
  <c r="E49" i="40"/>
  <c r="H49" i="40"/>
  <c r="E50" i="40"/>
  <c r="H50" i="40"/>
  <c r="E51" i="40"/>
  <c r="H51" i="40"/>
  <c r="E52" i="40"/>
  <c r="H52" i="40"/>
  <c r="E53" i="40"/>
  <c r="H53" i="40"/>
  <c r="E54" i="40"/>
  <c r="H54" i="40"/>
  <c r="E55" i="40"/>
  <c r="H55" i="40"/>
  <c r="E56" i="40"/>
  <c r="H56" i="40"/>
  <c r="E57" i="40"/>
  <c r="H57" i="40"/>
  <c r="E58" i="40"/>
  <c r="H58" i="40"/>
  <c r="E59" i="40"/>
  <c r="H59" i="40"/>
  <c r="E60" i="40"/>
  <c r="H60" i="40"/>
  <c r="E61" i="40"/>
  <c r="H61" i="40"/>
  <c r="E62" i="40"/>
  <c r="H62" i="40"/>
  <c r="E63" i="40"/>
  <c r="H63" i="40"/>
  <c r="E64" i="40"/>
  <c r="H64" i="40"/>
  <c r="E65" i="40"/>
  <c r="H65" i="40"/>
  <c r="E66" i="40"/>
  <c r="H66" i="40"/>
  <c r="E67" i="40"/>
  <c r="H67" i="40"/>
  <c r="E68" i="40"/>
  <c r="H68" i="40"/>
  <c r="E69" i="40"/>
  <c r="H69" i="40"/>
  <c r="E70" i="40"/>
  <c r="H70" i="40"/>
  <c r="E71" i="40"/>
  <c r="H71" i="40"/>
  <c r="E72" i="40"/>
  <c r="H72" i="40"/>
  <c r="E73" i="40"/>
  <c r="H73" i="40"/>
  <c r="E74" i="40"/>
  <c r="H74" i="40"/>
  <c r="E75" i="40"/>
  <c r="H75" i="40"/>
  <c r="E76" i="40"/>
  <c r="H76" i="40"/>
  <c r="E77" i="40"/>
  <c r="H77" i="40"/>
  <c r="E78" i="40"/>
  <c r="H78" i="40"/>
  <c r="E79" i="40"/>
  <c r="H79" i="40"/>
  <c r="E80" i="40"/>
  <c r="H80" i="40"/>
  <c r="E81" i="40"/>
  <c r="H81" i="40"/>
  <c r="E82" i="40"/>
  <c r="H82" i="40"/>
  <c r="E83" i="40"/>
  <c r="H83" i="40"/>
  <c r="E84" i="40"/>
  <c r="H84" i="40"/>
  <c r="E85" i="40"/>
  <c r="H85" i="40"/>
  <c r="E86" i="40"/>
  <c r="H86" i="40"/>
  <c r="E87" i="40"/>
  <c r="H87" i="40"/>
  <c r="E88" i="40"/>
  <c r="H88" i="40"/>
  <c r="E89" i="40"/>
  <c r="H89" i="40"/>
  <c r="E90" i="40"/>
  <c r="G90" i="40" s="1"/>
  <c r="I90" i="40" s="1"/>
  <c r="H90" i="40"/>
  <c r="E91" i="40"/>
  <c r="H91" i="40"/>
  <c r="E92" i="40"/>
  <c r="H92" i="40"/>
  <c r="E93" i="40"/>
  <c r="H93" i="40"/>
  <c r="E94" i="40"/>
  <c r="G94" i="40" s="1"/>
  <c r="I94" i="40" s="1"/>
  <c r="H94" i="40"/>
  <c r="E95" i="40"/>
  <c r="H95" i="40"/>
  <c r="E96" i="40"/>
  <c r="H96" i="40"/>
  <c r="E97" i="40"/>
  <c r="H97" i="40"/>
  <c r="E98" i="40"/>
  <c r="G98" i="40" s="1"/>
  <c r="I98" i="40" s="1"/>
  <c r="H98" i="40"/>
  <c r="E99" i="40"/>
  <c r="G99" i="40" s="1"/>
  <c r="I99" i="40" s="1"/>
  <c r="H99" i="40"/>
  <c r="E100" i="40"/>
  <c r="G100" i="40" s="1"/>
  <c r="I100" i="40" s="1"/>
  <c r="H100" i="40"/>
  <c r="E101" i="40"/>
  <c r="H101" i="40"/>
  <c r="E102" i="40"/>
  <c r="H102" i="40"/>
  <c r="G102" i="40"/>
  <c r="I102" i="40" s="1"/>
  <c r="E103" i="40"/>
  <c r="H103" i="40"/>
  <c r="E104" i="40"/>
  <c r="H104" i="40"/>
  <c r="E105" i="40"/>
  <c r="H105" i="40"/>
  <c r="E106" i="40"/>
  <c r="H106" i="40"/>
  <c r="G106" i="40" s="1"/>
  <c r="I106" i="40" s="1"/>
  <c r="E107" i="40"/>
  <c r="H107" i="40"/>
  <c r="E108" i="40"/>
  <c r="G108" i="40" s="1"/>
  <c r="I108" i="40" s="1"/>
  <c r="H108" i="40"/>
  <c r="E109" i="40"/>
  <c r="G109" i="40" s="1"/>
  <c r="I109" i="40" s="1"/>
  <c r="H109" i="40"/>
  <c r="E110" i="40"/>
  <c r="G110" i="40" s="1"/>
  <c r="I110" i="40" s="1"/>
  <c r="H110" i="40"/>
  <c r="E111" i="40"/>
  <c r="H111" i="40"/>
  <c r="G111" i="40" s="1"/>
  <c r="I111" i="40" s="1"/>
  <c r="E112" i="40"/>
  <c r="H112" i="40"/>
  <c r="E113" i="40"/>
  <c r="H113" i="40"/>
  <c r="E114" i="40"/>
  <c r="H114" i="40"/>
  <c r="E115" i="40"/>
  <c r="H115" i="40"/>
  <c r="G115" i="40" s="1"/>
  <c r="I115" i="40" s="1"/>
  <c r="E116" i="40"/>
  <c r="G116" i="40" s="1"/>
  <c r="I116" i="40" s="1"/>
  <c r="H116" i="40"/>
  <c r="E117" i="40"/>
  <c r="H117" i="40"/>
  <c r="E118" i="40"/>
  <c r="G118" i="40" s="1"/>
  <c r="I118" i="40" s="1"/>
  <c r="H118" i="40"/>
  <c r="E119" i="40"/>
  <c r="H119" i="40"/>
  <c r="G119" i="40" s="1"/>
  <c r="I119" i="40" s="1"/>
  <c r="E120" i="40"/>
  <c r="H120" i="40"/>
  <c r="E121" i="40"/>
  <c r="H121" i="40"/>
  <c r="E122" i="40"/>
  <c r="H122" i="40"/>
  <c r="E123" i="40"/>
  <c r="H123" i="40"/>
  <c r="G123" i="40" s="1"/>
  <c r="I123" i="40" s="1"/>
  <c r="E124" i="40"/>
  <c r="G124" i="40" s="1"/>
  <c r="I124" i="40" s="1"/>
  <c r="H124" i="40"/>
  <c r="E125" i="40"/>
  <c r="G125" i="40" s="1"/>
  <c r="I125" i="40" s="1"/>
  <c r="H125" i="40"/>
  <c r="E126" i="40"/>
  <c r="H126" i="40"/>
  <c r="G126" i="40"/>
  <c r="I126" i="40" s="1"/>
  <c r="E127" i="40"/>
  <c r="H127" i="40"/>
  <c r="E128" i="40"/>
  <c r="H128" i="40"/>
  <c r="E129" i="40"/>
  <c r="H129" i="40"/>
  <c r="E130" i="40"/>
  <c r="H130" i="40"/>
  <c r="G130" i="40" s="1"/>
  <c r="I130" i="40" s="1"/>
  <c r="E131" i="40"/>
  <c r="H131" i="40"/>
  <c r="E132" i="40"/>
  <c r="G132" i="40" s="1"/>
  <c r="I132" i="40" s="1"/>
  <c r="H132" i="40"/>
  <c r="E133" i="40"/>
  <c r="H133" i="40"/>
  <c r="E134" i="40"/>
  <c r="H134" i="40"/>
  <c r="G134" i="40"/>
  <c r="I134" i="40" s="1"/>
  <c r="E135" i="40"/>
  <c r="H135" i="40"/>
  <c r="E136" i="40"/>
  <c r="H136" i="40"/>
  <c r="E137" i="40"/>
  <c r="H137" i="40"/>
  <c r="E138" i="40"/>
  <c r="H138" i="40"/>
  <c r="G138" i="40" s="1"/>
  <c r="I138" i="40" s="1"/>
  <c r="E139" i="40"/>
  <c r="H139" i="40"/>
  <c r="E140" i="40"/>
  <c r="G140" i="40" s="1"/>
  <c r="I140" i="40" s="1"/>
  <c r="H140" i="40"/>
  <c r="E141" i="40"/>
  <c r="G141" i="40" s="1"/>
  <c r="I141" i="40" s="1"/>
  <c r="H141" i="40"/>
  <c r="E142" i="40"/>
  <c r="G142" i="40" s="1"/>
  <c r="I142" i="40" s="1"/>
  <c r="H142" i="40"/>
  <c r="E143" i="40"/>
  <c r="H143" i="40"/>
  <c r="G143" i="40" s="1"/>
  <c r="I143" i="40" s="1"/>
  <c r="E144" i="40"/>
  <c r="H144" i="40"/>
  <c r="E145" i="40"/>
  <c r="H145" i="40"/>
  <c r="E146" i="40"/>
  <c r="H146" i="40"/>
  <c r="E147" i="40"/>
  <c r="H147" i="40"/>
  <c r="G147" i="40" s="1"/>
  <c r="I147" i="40" s="1"/>
  <c r="E148" i="40"/>
  <c r="H148" i="40"/>
  <c r="E149" i="40"/>
  <c r="H149" i="40"/>
  <c r="G149" i="40" s="1"/>
  <c r="I149" i="40" s="1"/>
  <c r="E150" i="40"/>
  <c r="H150" i="40"/>
  <c r="E151" i="40"/>
  <c r="H151" i="40"/>
  <c r="G151" i="40" s="1"/>
  <c r="I151" i="40" s="1"/>
  <c r="E152" i="40"/>
  <c r="H152" i="40"/>
  <c r="E153" i="40"/>
  <c r="H153" i="40"/>
  <c r="G153" i="40" s="1"/>
  <c r="I153" i="40" s="1"/>
  <c r="E154" i="40"/>
  <c r="H154" i="40"/>
  <c r="E155" i="40"/>
  <c r="H155" i="40"/>
  <c r="G155" i="40" s="1"/>
  <c r="I155" i="40" s="1"/>
  <c r="E156" i="40"/>
  <c r="H156" i="40"/>
  <c r="E157" i="40"/>
  <c r="H157" i="40"/>
  <c r="E158" i="40"/>
  <c r="H158" i="40"/>
  <c r="G158" i="40" s="1"/>
  <c r="I158" i="40" s="1"/>
  <c r="E159" i="40"/>
  <c r="H159" i="40"/>
  <c r="E160" i="40"/>
  <c r="H160" i="40"/>
  <c r="G160" i="40" s="1"/>
  <c r="I160" i="40"/>
  <c r="E161" i="40"/>
  <c r="H161" i="40"/>
  <c r="E162" i="40"/>
  <c r="H162" i="40"/>
  <c r="G162" i="40" s="1"/>
  <c r="I162" i="40" s="1"/>
  <c r="E163" i="40"/>
  <c r="H163" i="40"/>
  <c r="D32" i="7"/>
  <c r="C32" i="7"/>
  <c r="K5" i="12"/>
  <c r="O6" i="12"/>
  <c r="O7" i="12"/>
  <c r="O8" i="12"/>
  <c r="O9" i="12"/>
  <c r="O10" i="12"/>
  <c r="G68" i="17"/>
  <c r="Q63" i="17" s="1"/>
  <c r="F22" i="12"/>
  <c r="F21" i="12"/>
  <c r="C79" i="12"/>
  <c r="C100" i="12"/>
  <c r="C43" i="12" s="1"/>
  <c r="F43" i="12"/>
  <c r="I43" i="12"/>
  <c r="C53" i="12"/>
  <c r="F53" i="12"/>
  <c r="C78" i="12"/>
  <c r="C99" i="12"/>
  <c r="C42" i="12" s="1"/>
  <c r="F42" i="12"/>
  <c r="I42" i="12"/>
  <c r="C52" i="12"/>
  <c r="F52" i="12"/>
  <c r="C96" i="12"/>
  <c r="C39" i="12" s="1"/>
  <c r="F39" i="12"/>
  <c r="I39" i="12"/>
  <c r="C49" i="12"/>
  <c r="F49" i="12"/>
  <c r="C50" i="12"/>
  <c r="C51" i="12"/>
  <c r="C55" i="12" s="1"/>
  <c r="O31" i="17"/>
  <c r="O41" i="17" s="1"/>
  <c r="O36" i="17"/>
  <c r="P31" i="17"/>
  <c r="P36" i="17"/>
  <c r="P41" i="17" s="1"/>
  <c r="Q31" i="17"/>
  <c r="Q36" i="17"/>
  <c r="Q41" i="17"/>
  <c r="R31" i="17"/>
  <c r="R36" i="17"/>
  <c r="R41" i="17" s="1"/>
  <c r="S31" i="17"/>
  <c r="S36" i="17"/>
  <c r="O33" i="17"/>
  <c r="O34" i="17" s="1"/>
  <c r="P33" i="17"/>
  <c r="P34" i="17" s="1"/>
  <c r="Q33" i="17"/>
  <c r="Q34" i="17" s="1"/>
  <c r="R33" i="17"/>
  <c r="R34" i="17" s="1"/>
  <c r="S33" i="17"/>
  <c r="S27" i="17"/>
  <c r="O16" i="17"/>
  <c r="O18" i="17"/>
  <c r="D12" i="17" s="1"/>
  <c r="O22" i="17"/>
  <c r="D13" i="17" s="1"/>
  <c r="O23" i="17"/>
  <c r="D14" i="17" s="1"/>
  <c r="O11" i="17"/>
  <c r="D18" i="17"/>
  <c r="O19" i="17"/>
  <c r="D19" i="17" s="1"/>
  <c r="O20" i="17"/>
  <c r="D20" i="17"/>
  <c r="O21" i="17"/>
  <c r="D21" i="17" s="1"/>
  <c r="F61" i="17"/>
  <c r="F62" i="17"/>
  <c r="F63" i="17"/>
  <c r="P65" i="17" s="1"/>
  <c r="F64" i="17"/>
  <c r="F65" i="17"/>
  <c r="D37" i="13"/>
  <c r="I37" i="13" s="1"/>
  <c r="P66" i="17" s="1"/>
  <c r="C69" i="12"/>
  <c r="C90" i="12"/>
  <c r="C68" i="12"/>
  <c r="C89" i="12"/>
  <c r="C21" i="12" s="1"/>
  <c r="C67" i="12"/>
  <c r="C88" i="12"/>
  <c r="C20" i="12" s="1"/>
  <c r="C87" i="12"/>
  <c r="C19" i="12" s="1"/>
  <c r="G20" i="7"/>
  <c r="F20" i="7"/>
  <c r="D20" i="7"/>
  <c r="G19" i="7"/>
  <c r="F19" i="7"/>
  <c r="D19" i="7"/>
  <c r="H19" i="7" s="1"/>
  <c r="H27" i="7"/>
  <c r="H26" i="7"/>
  <c r="H25" i="7"/>
  <c r="H21" i="7"/>
  <c r="H20" i="7"/>
  <c r="H18" i="7"/>
  <c r="F19" i="12"/>
  <c r="I19" i="12"/>
  <c r="C28" i="12"/>
  <c r="F28" i="12"/>
  <c r="F20" i="12"/>
  <c r="I20" i="12"/>
  <c r="C29" i="12"/>
  <c r="F29" i="12"/>
  <c r="I21" i="12"/>
  <c r="C30" i="12"/>
  <c r="F30" i="12"/>
  <c r="I22" i="12"/>
  <c r="C31" i="12"/>
  <c r="F31" i="12"/>
  <c r="D7" i="13"/>
  <c r="D8" i="13"/>
  <c r="D9" i="13"/>
  <c r="I9" i="13" s="1"/>
  <c r="D10" i="13"/>
  <c r="E10" i="13"/>
  <c r="F10" i="13"/>
  <c r="G10" i="13"/>
  <c r="H10" i="13"/>
  <c r="D11" i="13"/>
  <c r="D12" i="13"/>
  <c r="E12" i="13"/>
  <c r="I12" i="13" s="1"/>
  <c r="F12" i="13"/>
  <c r="H12" i="13"/>
  <c r="AA28" i="13"/>
  <c r="AA29" i="13"/>
  <c r="AR29" i="13" s="1"/>
  <c r="AA30" i="13"/>
  <c r="AA31" i="13"/>
  <c r="AA32" i="13"/>
  <c r="AR32" i="13" s="1"/>
  <c r="AY32" i="13" s="1"/>
  <c r="AA33" i="13"/>
  <c r="AR33" i="13" s="1"/>
  <c r="AA34" i="13"/>
  <c r="AA35" i="13"/>
  <c r="AA36" i="13"/>
  <c r="AR36" i="13" s="1"/>
  <c r="AA37" i="13"/>
  <c r="AA38" i="13"/>
  <c r="AA39" i="13"/>
  <c r="D13" i="13"/>
  <c r="I13" i="13"/>
  <c r="D14" i="13"/>
  <c r="I14" i="13" s="1"/>
  <c r="D15" i="13"/>
  <c r="I15" i="13"/>
  <c r="D16" i="13"/>
  <c r="I16" i="13" s="1"/>
  <c r="D17" i="13"/>
  <c r="I17" i="13"/>
  <c r="D18" i="13"/>
  <c r="I18" i="13" s="1"/>
  <c r="D19" i="13"/>
  <c r="I19" i="13" s="1"/>
  <c r="D20" i="13"/>
  <c r="I20" i="13" s="1"/>
  <c r="D21" i="13"/>
  <c r="I21" i="13"/>
  <c r="AA22" i="13"/>
  <c r="AA23" i="13"/>
  <c r="D24" i="13"/>
  <c r="I24" i="13" s="1"/>
  <c r="D25" i="13"/>
  <c r="I25" i="13" s="1"/>
  <c r="D26" i="13"/>
  <c r="I26" i="13" s="1"/>
  <c r="D27" i="13"/>
  <c r="I27" i="13"/>
  <c r="AC28" i="13"/>
  <c r="AT28" i="13" s="1"/>
  <c r="AC29" i="13"/>
  <c r="AT29" i="13" s="1"/>
  <c r="AC30" i="13"/>
  <c r="AT30" i="13" s="1"/>
  <c r="AC31" i="13"/>
  <c r="AT31" i="13" s="1"/>
  <c r="AC32" i="13"/>
  <c r="AT32" i="13" s="1"/>
  <c r="AC33" i="13"/>
  <c r="AT33" i="13" s="1"/>
  <c r="AC34" i="13"/>
  <c r="AT34" i="13" s="1"/>
  <c r="AC35" i="13"/>
  <c r="AT35" i="13" s="1"/>
  <c r="AC36" i="13"/>
  <c r="AT36" i="13" s="1"/>
  <c r="BA36" i="13" s="1"/>
  <c r="AC37" i="13"/>
  <c r="AC38" i="13"/>
  <c r="AT38" i="13" s="1"/>
  <c r="AC39" i="13"/>
  <c r="AC22" i="13"/>
  <c r="AT22" i="13" s="1"/>
  <c r="AC23" i="13"/>
  <c r="AT23" i="13" s="1"/>
  <c r="C66" i="12"/>
  <c r="E11" i="13"/>
  <c r="G11" i="13"/>
  <c r="F11" i="13"/>
  <c r="H11" i="13"/>
  <c r="F7" i="13"/>
  <c r="AD39" i="13"/>
  <c r="AU39" i="13" s="1"/>
  <c r="AD38" i="13"/>
  <c r="AU38" i="13" s="1"/>
  <c r="AD36" i="13"/>
  <c r="AU36" i="13" s="1"/>
  <c r="AD35" i="13"/>
  <c r="AU35" i="13" s="1"/>
  <c r="AD34" i="13"/>
  <c r="AU34" i="13" s="1"/>
  <c r="AD33" i="13"/>
  <c r="AU33" i="13" s="1"/>
  <c r="AD32" i="13"/>
  <c r="AU32" i="13" s="1"/>
  <c r="AD31" i="13"/>
  <c r="AU31" i="13" s="1"/>
  <c r="AD30" i="13"/>
  <c r="AU30" i="13" s="1"/>
  <c r="AD29" i="13"/>
  <c r="AU29" i="13" s="1"/>
  <c r="AD28" i="13"/>
  <c r="AU28" i="13" s="1"/>
  <c r="AD23" i="13"/>
  <c r="AU23" i="13" s="1"/>
  <c r="AD22" i="13"/>
  <c r="AU22" i="13" s="1"/>
  <c r="AT39" i="13"/>
  <c r="P37" i="13"/>
  <c r="P39" i="13"/>
  <c r="P38" i="13"/>
  <c r="P36" i="13"/>
  <c r="P35" i="13"/>
  <c r="P34" i="13"/>
  <c r="W34" i="13" s="1"/>
  <c r="P33" i="13"/>
  <c r="P32" i="13"/>
  <c r="P31" i="13"/>
  <c r="P30" i="13"/>
  <c r="W30" i="13" s="1"/>
  <c r="P29" i="13"/>
  <c r="P28" i="13"/>
  <c r="P23" i="13"/>
  <c r="P22" i="13"/>
  <c r="P11" i="17"/>
  <c r="E18" i="17" s="1"/>
  <c r="P19" i="17"/>
  <c r="E19" i="17" s="1"/>
  <c r="P20" i="17"/>
  <c r="E20" i="17" s="1"/>
  <c r="P21" i="17"/>
  <c r="E21" i="17" s="1"/>
  <c r="P16" i="17"/>
  <c r="E12" i="17" s="1"/>
  <c r="E15" i="17" s="1"/>
  <c r="E28" i="17" s="1"/>
  <c r="P18" i="17"/>
  <c r="P22" i="17"/>
  <c r="E13" i="17" s="1"/>
  <c r="Q11" i="17"/>
  <c r="G18" i="17"/>
  <c r="Q19" i="17"/>
  <c r="G19" i="17" s="1"/>
  <c r="Q20" i="17"/>
  <c r="G20" i="17" s="1"/>
  <c r="Q21" i="17"/>
  <c r="G21" i="17" s="1"/>
  <c r="Q16" i="17"/>
  <c r="Q18" i="17"/>
  <c r="Q22" i="17"/>
  <c r="R11" i="17"/>
  <c r="H18" i="17" s="1"/>
  <c r="R19" i="17"/>
  <c r="H19" i="17" s="1"/>
  <c r="R20" i="17"/>
  <c r="H20" i="17" s="1"/>
  <c r="R21" i="17"/>
  <c r="H21" i="17" s="1"/>
  <c r="R16" i="17"/>
  <c r="R18" i="17"/>
  <c r="R22" i="17"/>
  <c r="H13" i="17" s="1"/>
  <c r="S11" i="17"/>
  <c r="I18" i="17"/>
  <c r="I29" i="17" s="1"/>
  <c r="S19" i="17"/>
  <c r="I19" i="17" s="1"/>
  <c r="S20" i="17"/>
  <c r="I20" i="17" s="1"/>
  <c r="S21" i="17"/>
  <c r="I21" i="17" s="1"/>
  <c r="S16" i="17"/>
  <c r="S18" i="17"/>
  <c r="S22" i="17"/>
  <c r="I13" i="17" s="1"/>
  <c r="AN7" i="13"/>
  <c r="AN8" i="13"/>
  <c r="AM9" i="13"/>
  <c r="AM10" i="13"/>
  <c r="AN11" i="13"/>
  <c r="AN12" i="13"/>
  <c r="O37" i="13"/>
  <c r="AR37" i="13"/>
  <c r="Z22" i="13"/>
  <c r="AQ22" i="13" s="1"/>
  <c r="Z23" i="13"/>
  <c r="AQ23" i="13" s="1"/>
  <c r="Z28" i="13"/>
  <c r="AQ28" i="13" s="1"/>
  <c r="Z29" i="13"/>
  <c r="AQ29" i="13" s="1"/>
  <c r="Z30" i="13"/>
  <c r="AQ30" i="13" s="1"/>
  <c r="Z31" i="13"/>
  <c r="AQ31" i="13" s="1"/>
  <c r="Z32" i="13"/>
  <c r="AQ32" i="13" s="1"/>
  <c r="Z33" i="13"/>
  <c r="AQ33" i="13" s="1"/>
  <c r="Z34" i="13"/>
  <c r="AQ34" i="13" s="1"/>
  <c r="Z35" i="13"/>
  <c r="AQ35" i="13" s="1"/>
  <c r="Z36" i="13"/>
  <c r="AQ36" i="13" s="1"/>
  <c r="L37" i="13"/>
  <c r="Z38" i="13"/>
  <c r="AQ38" i="13" s="1"/>
  <c r="Z39" i="13"/>
  <c r="AQ39" i="13" s="1"/>
  <c r="AR22" i="13"/>
  <c r="AR23" i="13"/>
  <c r="AR28" i="13"/>
  <c r="AR30" i="13"/>
  <c r="AR31" i="13"/>
  <c r="AR34" i="13"/>
  <c r="AR35" i="13"/>
  <c r="M37" i="13"/>
  <c r="AR38" i="13"/>
  <c r="AR39" i="13"/>
  <c r="AB22" i="13"/>
  <c r="AS22" i="13" s="1"/>
  <c r="AB23" i="13"/>
  <c r="AS23" i="13" s="1"/>
  <c r="AB28" i="13"/>
  <c r="AS28" i="13" s="1"/>
  <c r="AB29" i="13"/>
  <c r="AS29" i="13" s="1"/>
  <c r="AB30" i="13"/>
  <c r="AS30" i="13" s="1"/>
  <c r="AB31" i="13"/>
  <c r="AS31" i="13" s="1"/>
  <c r="AB32" i="13"/>
  <c r="AS32" i="13" s="1"/>
  <c r="AB33" i="13"/>
  <c r="AS33" i="13" s="1"/>
  <c r="AB34" i="13"/>
  <c r="AS34" i="13" s="1"/>
  <c r="AB35" i="13"/>
  <c r="AS35" i="13" s="1"/>
  <c r="AB36" i="13"/>
  <c r="AS36" i="13" s="1"/>
  <c r="N37" i="13"/>
  <c r="AB37" i="13"/>
  <c r="AS37" i="13" s="1"/>
  <c r="AB38" i="13"/>
  <c r="AS38" i="13" s="1"/>
  <c r="AB39" i="13"/>
  <c r="AS39" i="13" s="1"/>
  <c r="O9" i="17"/>
  <c r="P9" i="17"/>
  <c r="Q9" i="17"/>
  <c r="R9" i="17"/>
  <c r="S9" i="17"/>
  <c r="O10" i="17"/>
  <c r="P10" i="17"/>
  <c r="Q10" i="17"/>
  <c r="R10" i="17"/>
  <c r="S10" i="17"/>
  <c r="O12" i="17"/>
  <c r="P12" i="17"/>
  <c r="Q12" i="17"/>
  <c r="R12" i="17"/>
  <c r="S12" i="17"/>
  <c r="O13" i="17"/>
  <c r="Q13" i="17"/>
  <c r="S13" i="17"/>
  <c r="P14" i="17"/>
  <c r="S14" i="17"/>
  <c r="O17" i="17"/>
  <c r="P17" i="17"/>
  <c r="Q17" i="17"/>
  <c r="R17" i="17"/>
  <c r="S17" i="17"/>
  <c r="P23" i="17"/>
  <c r="Q23" i="17"/>
  <c r="R23" i="17"/>
  <c r="S23" i="17"/>
  <c r="O24" i="17"/>
  <c r="P24" i="17"/>
  <c r="Q24" i="17"/>
  <c r="R24" i="17"/>
  <c r="S24" i="17"/>
  <c r="O25" i="17"/>
  <c r="P25" i="17"/>
  <c r="Q25" i="17"/>
  <c r="R25" i="17"/>
  <c r="S25" i="17"/>
  <c r="S26" i="17"/>
  <c r="O29" i="17"/>
  <c r="P30" i="17"/>
  <c r="AN10" i="13"/>
  <c r="AM14" i="13"/>
  <c r="AM21" i="13"/>
  <c r="D22" i="13"/>
  <c r="I22" i="13" s="1"/>
  <c r="L22" i="13"/>
  <c r="M22" i="13"/>
  <c r="N22" i="13"/>
  <c r="O22" i="13"/>
  <c r="D23" i="13"/>
  <c r="I23" i="13" s="1"/>
  <c r="L23" i="13"/>
  <c r="M23" i="13"/>
  <c r="T23" i="13" s="1"/>
  <c r="N23" i="13"/>
  <c r="O23" i="13"/>
  <c r="AN27" i="13"/>
  <c r="D28" i="13"/>
  <c r="AN28" i="13" s="1"/>
  <c r="L28" i="13"/>
  <c r="M28" i="13"/>
  <c r="N28" i="13"/>
  <c r="O28" i="13"/>
  <c r="D29" i="13"/>
  <c r="I29" i="13"/>
  <c r="L29" i="13"/>
  <c r="S29" i="13" s="1"/>
  <c r="M29" i="13"/>
  <c r="N29" i="13"/>
  <c r="O29" i="13"/>
  <c r="D30" i="13"/>
  <c r="AM30" i="13" s="1"/>
  <c r="L30" i="13"/>
  <c r="M30" i="13"/>
  <c r="N30" i="13"/>
  <c r="O30" i="13"/>
  <c r="D31" i="13"/>
  <c r="I31" i="13" s="1"/>
  <c r="L31" i="13"/>
  <c r="M31" i="13"/>
  <c r="N31" i="13"/>
  <c r="O31" i="13"/>
  <c r="D32" i="13"/>
  <c r="I32" i="13" s="1"/>
  <c r="L32" i="13"/>
  <c r="M32" i="13"/>
  <c r="N32" i="13"/>
  <c r="O32" i="13"/>
  <c r="D33" i="13"/>
  <c r="AM33" i="13"/>
  <c r="L33" i="13"/>
  <c r="M33" i="13"/>
  <c r="N33" i="13"/>
  <c r="O33" i="13"/>
  <c r="D34" i="13"/>
  <c r="I34" i="13" s="1"/>
  <c r="L34" i="13"/>
  <c r="M34" i="13"/>
  <c r="N34" i="13"/>
  <c r="O34" i="13"/>
  <c r="V34" i="13" s="1"/>
  <c r="D35" i="13"/>
  <c r="I35" i="13"/>
  <c r="L35" i="13"/>
  <c r="M35" i="13"/>
  <c r="N35" i="13"/>
  <c r="O35" i="13"/>
  <c r="D36" i="13"/>
  <c r="AN36" i="13" s="1"/>
  <c r="L36" i="13"/>
  <c r="M36" i="13"/>
  <c r="N36" i="13"/>
  <c r="O36" i="13"/>
  <c r="D38" i="13"/>
  <c r="I38" i="13" s="1"/>
  <c r="L38" i="13"/>
  <c r="S38" i="13" s="1"/>
  <c r="M38" i="13"/>
  <c r="T38" i="13" s="1"/>
  <c r="N38" i="13"/>
  <c r="O38" i="13"/>
  <c r="V38" i="13" s="1"/>
  <c r="D39" i="13"/>
  <c r="AN39" i="13" s="1"/>
  <c r="L39" i="13"/>
  <c r="M39" i="13"/>
  <c r="N39" i="13"/>
  <c r="O39" i="13"/>
  <c r="B5" i="19"/>
  <c r="B6" i="19"/>
  <c r="B7" i="19"/>
  <c r="B8" i="19"/>
  <c r="D13" i="19" s="1"/>
  <c r="D22" i="19" s="1"/>
  <c r="AM31" i="13"/>
  <c r="AN32" i="13"/>
  <c r="AM7" i="13"/>
  <c r="I28" i="13"/>
  <c r="S28" i="13" s="1"/>
  <c r="Z37" i="13"/>
  <c r="AQ37" i="13" s="1"/>
  <c r="AT37" i="13"/>
  <c r="BA37" i="13" s="1"/>
  <c r="AD37" i="13"/>
  <c r="AU37" i="13" s="1"/>
  <c r="AM12" i="13"/>
  <c r="AN33" i="13"/>
  <c r="P29" i="17"/>
  <c r="Q30" i="17" s="1"/>
  <c r="AM38" i="13"/>
  <c r="I33" i="13"/>
  <c r="W33" i="13"/>
  <c r="AM27" i="13"/>
  <c r="AM17" i="13"/>
  <c r="AM13" i="13"/>
  <c r="W38" i="13"/>
  <c r="AM11" i="13"/>
  <c r="AM8" i="13"/>
  <c r="I30" i="13"/>
  <c r="U30" i="13" s="1"/>
  <c r="AM37" i="13"/>
  <c r="AN24" i="13"/>
  <c r="AM18" i="13"/>
  <c r="AN16" i="13"/>
  <c r="G12" i="17"/>
  <c r="AN9" i="13"/>
  <c r="AN38" i="13"/>
  <c r="AN29" i="13"/>
  <c r="AM29" i="13"/>
  <c r="AM35" i="13"/>
  <c r="AN37" i="13"/>
  <c r="S33" i="13"/>
  <c r="AM24" i="13"/>
  <c r="AN18" i="13"/>
  <c r="AN14" i="13"/>
  <c r="W28" i="13"/>
  <c r="H12" i="17"/>
  <c r="H15" i="17" s="1"/>
  <c r="H28" i="17" s="1"/>
  <c r="W29" i="13"/>
  <c r="V29" i="13"/>
  <c r="AN35" i="13"/>
  <c r="AM32" i="13"/>
  <c r="AM19" i="13"/>
  <c r="AN25" i="13"/>
  <c r="AM15" i="13"/>
  <c r="AM25" i="13"/>
  <c r="F13" i="19"/>
  <c r="AN22" i="13"/>
  <c r="AM22" i="13"/>
  <c r="AM20" i="13"/>
  <c r="T30" i="13"/>
  <c r="AN26" i="13"/>
  <c r="AM16" i="13"/>
  <c r="AM26" i="13"/>
  <c r="AN20" i="13"/>
  <c r="T28" i="13"/>
  <c r="I36" i="13"/>
  <c r="AN21" i="13"/>
  <c r="AN19" i="13"/>
  <c r="AN17" i="13"/>
  <c r="AN15" i="13"/>
  <c r="AN13" i="13"/>
  <c r="D29" i="17"/>
  <c r="W35" i="13"/>
  <c r="U35" i="13"/>
  <c r="U32" i="13"/>
  <c r="W37" i="13"/>
  <c r="S37" i="13"/>
  <c r="T37" i="13"/>
  <c r="V37" i="13"/>
  <c r="U37" i="13"/>
  <c r="S30" i="13"/>
  <c r="Q29" i="17"/>
  <c r="R30" i="17" s="1"/>
  <c r="S34" i="13"/>
  <c r="T34" i="13"/>
  <c r="R29" i="17"/>
  <c r="S30" i="17" s="1"/>
  <c r="I53" i="12"/>
  <c r="I52" i="12"/>
  <c r="I49" i="12"/>
  <c r="S29" i="17"/>
  <c r="C22" i="19"/>
  <c r="C23" i="19" s="1"/>
  <c r="AJ30" i="13"/>
  <c r="AJ34" i="13"/>
  <c r="AJ38" i="13"/>
  <c r="D23" i="19"/>
  <c r="AH30" i="13"/>
  <c r="AH38" i="13"/>
  <c r="AI22" i="13"/>
  <c r="AI23" i="13"/>
  <c r="AI31" i="13"/>
  <c r="AI34" i="13"/>
  <c r="AI38" i="13"/>
  <c r="AY31" i="13"/>
  <c r="AY37" i="13"/>
  <c r="AY39" i="13"/>
  <c r="AZ29" i="13"/>
  <c r="AZ30" i="13"/>
  <c r="AZ34" i="13"/>
  <c r="AI36" i="13" l="1"/>
  <c r="AI28" i="13"/>
  <c r="AH32" i="13"/>
  <c r="AJ22" i="13"/>
  <c r="AI39" i="13"/>
  <c r="AI32" i="13"/>
  <c r="AJ32" i="13"/>
  <c r="AY36" i="13"/>
  <c r="AY23" i="13"/>
  <c r="AH33" i="13"/>
  <c r="AH22" i="13"/>
  <c r="AZ39" i="13"/>
  <c r="AY38" i="13"/>
  <c r="AY34" i="13"/>
  <c r="BA32" i="13"/>
  <c r="AZ35" i="13"/>
  <c r="AZ31" i="13"/>
  <c r="AZ23" i="13"/>
  <c r="BA35" i="13"/>
  <c r="BA31" i="13"/>
  <c r="AH36" i="13"/>
  <c r="AH29" i="13"/>
  <c r="AZ37" i="13"/>
  <c r="AY22" i="13"/>
  <c r="AY28" i="13"/>
  <c r="AH34" i="13"/>
  <c r="AH28" i="13"/>
  <c r="E13" i="19"/>
  <c r="AY30" i="13"/>
  <c r="BA29" i="13"/>
  <c r="AY33" i="13"/>
  <c r="I11" i="13"/>
  <c r="I10" i="13"/>
  <c r="V31" i="13"/>
  <c r="S31" i="13"/>
  <c r="U28" i="13"/>
  <c r="AN31" i="13"/>
  <c r="V33" i="13"/>
  <c r="U33" i="13"/>
  <c r="T33" i="13"/>
  <c r="L6" i="12"/>
  <c r="V30" i="13"/>
  <c r="W23" i="13"/>
  <c r="G163" i="40"/>
  <c r="I163" i="40" s="1"/>
  <c r="G161" i="40"/>
  <c r="I161" i="40" s="1"/>
  <c r="G156" i="40"/>
  <c r="I156" i="40" s="1"/>
  <c r="G154" i="40"/>
  <c r="I154" i="40" s="1"/>
  <c r="G152" i="40"/>
  <c r="I152" i="40" s="1"/>
  <c r="G150" i="40"/>
  <c r="I150" i="40" s="1"/>
  <c r="G139" i="40"/>
  <c r="I139" i="40" s="1"/>
  <c r="G135" i="40"/>
  <c r="I135" i="40" s="1"/>
  <c r="G122" i="40"/>
  <c r="I122" i="40" s="1"/>
  <c r="G107" i="40"/>
  <c r="I107" i="40" s="1"/>
  <c r="G103" i="40"/>
  <c r="I103" i="40" s="1"/>
  <c r="G159" i="40"/>
  <c r="I159" i="40" s="1"/>
  <c r="G157" i="40"/>
  <c r="I157" i="40" s="1"/>
  <c r="G148" i="40"/>
  <c r="I148" i="40" s="1"/>
  <c r="G146" i="40"/>
  <c r="I146" i="40" s="1"/>
  <c r="G131" i="40"/>
  <c r="I131" i="40" s="1"/>
  <c r="G127" i="40"/>
  <c r="I127" i="40" s="1"/>
  <c r="G114" i="40"/>
  <c r="I114" i="40" s="1"/>
  <c r="H97" i="28"/>
  <c r="H101" i="28" s="1"/>
  <c r="F101" i="28"/>
  <c r="L5" i="12"/>
  <c r="H16" i="27"/>
  <c r="P13" i="27"/>
  <c r="H15" i="27"/>
  <c r="P15" i="27" s="1"/>
  <c r="Q13" i="27"/>
  <c r="T13" i="27" s="1"/>
  <c r="K15" i="27"/>
  <c r="K16" i="27"/>
  <c r="O15" i="27"/>
  <c r="J16" i="27"/>
  <c r="J15" i="27"/>
  <c r="I13" i="27"/>
  <c r="D266" i="27"/>
  <c r="G145" i="40"/>
  <c r="I145" i="40" s="1"/>
  <c r="G136" i="40"/>
  <c r="I136" i="40" s="1"/>
  <c r="G129" i="40"/>
  <c r="I129" i="40" s="1"/>
  <c r="G120" i="40"/>
  <c r="I120" i="40" s="1"/>
  <c r="G113" i="40"/>
  <c r="I113" i="40" s="1"/>
  <c r="G104" i="40"/>
  <c r="I104" i="40" s="1"/>
  <c r="G91" i="40"/>
  <c r="I91" i="40" s="1"/>
  <c r="G86" i="40"/>
  <c r="I86" i="40" s="1"/>
  <c r="G84" i="40"/>
  <c r="I84" i="40" s="1"/>
  <c r="G82" i="40"/>
  <c r="I82" i="40" s="1"/>
  <c r="G78" i="40"/>
  <c r="I78" i="40" s="1"/>
  <c r="G74" i="40"/>
  <c r="I74" i="40" s="1"/>
  <c r="G70" i="40"/>
  <c r="I70" i="40" s="1"/>
  <c r="G66" i="40"/>
  <c r="I66" i="40" s="1"/>
  <c r="G62" i="40"/>
  <c r="I62" i="40" s="1"/>
  <c r="G58" i="40"/>
  <c r="I58" i="40" s="1"/>
  <c r="G54" i="40"/>
  <c r="I54" i="40" s="1"/>
  <c r="G50" i="40"/>
  <c r="I50" i="40" s="1"/>
  <c r="G46" i="40"/>
  <c r="I46" i="40" s="1"/>
  <c r="G42" i="40"/>
  <c r="I42" i="40" s="1"/>
  <c r="G38" i="40"/>
  <c r="I38" i="40" s="1"/>
  <c r="G34" i="40"/>
  <c r="I34" i="40" s="1"/>
  <c r="G30" i="40"/>
  <c r="I30" i="40" s="1"/>
  <c r="G26" i="40"/>
  <c r="I26" i="40" s="1"/>
  <c r="G23" i="40"/>
  <c r="I23" i="40" s="1"/>
  <c r="G20" i="40"/>
  <c r="I20" i="40" s="1"/>
  <c r="G144" i="40"/>
  <c r="I144" i="40" s="1"/>
  <c r="G137" i="40"/>
  <c r="I137" i="40" s="1"/>
  <c r="G128" i="40"/>
  <c r="I128" i="40" s="1"/>
  <c r="G121" i="40"/>
  <c r="I121" i="40" s="1"/>
  <c r="G112" i="40"/>
  <c r="I112" i="40" s="1"/>
  <c r="G105" i="40"/>
  <c r="I105" i="40" s="1"/>
  <c r="G92" i="40"/>
  <c r="I92" i="40" s="1"/>
  <c r="G83" i="40"/>
  <c r="I83" i="40" s="1"/>
  <c r="G79" i="40"/>
  <c r="I79" i="40" s="1"/>
  <c r="G75" i="40"/>
  <c r="I75" i="40" s="1"/>
  <c r="G71" i="40"/>
  <c r="I71" i="40" s="1"/>
  <c r="G67" i="40"/>
  <c r="I67" i="40" s="1"/>
  <c r="G63" i="40"/>
  <c r="I63" i="40" s="1"/>
  <c r="G59" i="40"/>
  <c r="I59" i="40" s="1"/>
  <c r="G55" i="40"/>
  <c r="I55" i="40" s="1"/>
  <c r="G51" i="40"/>
  <c r="I51" i="40" s="1"/>
  <c r="G47" i="40"/>
  <c r="I47" i="40" s="1"/>
  <c r="G43" i="40"/>
  <c r="I43" i="40" s="1"/>
  <c r="G39" i="40"/>
  <c r="I39" i="40" s="1"/>
  <c r="G35" i="40"/>
  <c r="I35" i="40" s="1"/>
  <c r="G31" i="40"/>
  <c r="I31" i="40" s="1"/>
  <c r="G27" i="40"/>
  <c r="I27" i="40" s="1"/>
  <c r="G24" i="40"/>
  <c r="I24" i="40" s="1"/>
  <c r="G22" i="40"/>
  <c r="I22" i="40" s="1"/>
  <c r="G25" i="40"/>
  <c r="I25" i="40" s="1"/>
  <c r="I12" i="17"/>
  <c r="I15" i="17" s="1"/>
  <c r="I28" i="17" s="1"/>
  <c r="S41" i="17"/>
  <c r="N41" i="17" s="1"/>
  <c r="D15" i="17"/>
  <c r="D28" i="17" s="1"/>
  <c r="T35" i="13"/>
  <c r="E32" i="7"/>
  <c r="U34" i="13"/>
  <c r="T31" i="13"/>
  <c r="A1" i="17"/>
  <c r="A1" i="26"/>
  <c r="A1" i="36"/>
  <c r="T29" i="13"/>
  <c r="A1" i="13"/>
  <c r="T22" i="13"/>
  <c r="V22" i="13"/>
  <c r="W22" i="13"/>
  <c r="U22" i="13"/>
  <c r="AZ38" i="13"/>
  <c r="AZ33" i="13"/>
  <c r="AZ22" i="13"/>
  <c r="AY35" i="13"/>
  <c r="AY29" i="13"/>
  <c r="BA39" i="13"/>
  <c r="BA33" i="13"/>
  <c r="BA28" i="13"/>
  <c r="BA23" i="13"/>
  <c r="AI35" i="13"/>
  <c r="AI30" i="13"/>
  <c r="AH37" i="13"/>
  <c r="S22" i="13"/>
  <c r="U36" i="13"/>
  <c r="V36" i="13"/>
  <c r="S36" i="13"/>
  <c r="W36" i="13"/>
  <c r="T36" i="13"/>
  <c r="AJ23" i="13"/>
  <c r="AJ31" i="13"/>
  <c r="AJ35" i="13"/>
  <c r="AJ39" i="13"/>
  <c r="AJ29" i="13"/>
  <c r="AJ33" i="13"/>
  <c r="AJ37" i="13"/>
  <c r="AI29" i="13"/>
  <c r="AI37" i="13"/>
  <c r="BA22" i="13"/>
  <c r="BA30" i="13"/>
  <c r="BA34" i="13"/>
  <c r="BA38" i="13"/>
  <c r="AZ28" i="13"/>
  <c r="AZ32" i="13"/>
  <c r="AZ36" i="13"/>
  <c r="AH23" i="13"/>
  <c r="AH31" i="13"/>
  <c r="AH35" i="13"/>
  <c r="AH39" i="13"/>
  <c r="AJ36" i="13"/>
  <c r="AJ28" i="13"/>
  <c r="S32" i="13"/>
  <c r="W32" i="13"/>
  <c r="V32" i="13"/>
  <c r="T32" i="13"/>
  <c r="H29" i="17"/>
  <c r="C48" i="17"/>
  <c r="E29" i="17"/>
  <c r="AI33" i="13"/>
  <c r="U23" i="13"/>
  <c r="F14" i="19"/>
  <c r="F22" i="19" s="1"/>
  <c r="F23" i="19" s="1"/>
  <c r="AN30" i="13"/>
  <c r="AN34" i="13"/>
  <c r="U29" i="13"/>
  <c r="AM23" i="13"/>
  <c r="AM40" i="13" s="1"/>
  <c r="V28" i="13"/>
  <c r="AM36" i="13"/>
  <c r="U38" i="13"/>
  <c r="AM34" i="13"/>
  <c r="AM28" i="13"/>
  <c r="G13" i="17"/>
  <c r="F13" i="17"/>
  <c r="S23" i="13"/>
  <c r="G29" i="17"/>
  <c r="B22" i="19"/>
  <c r="B23" i="19" s="1"/>
  <c r="D40" i="13"/>
  <c r="AN23" i="13"/>
  <c r="I39" i="13"/>
  <c r="V23" i="13"/>
  <c r="G15" i="17"/>
  <c r="G28" i="17" s="1"/>
  <c r="E14" i="19"/>
  <c r="AM39" i="13"/>
  <c r="V35" i="13"/>
  <c r="S35" i="13"/>
  <c r="W31" i="13"/>
  <c r="U31" i="13"/>
  <c r="E7" i="13"/>
  <c r="H8" i="13"/>
  <c r="F66" i="17"/>
  <c r="G10" i="12"/>
  <c r="G9" i="12"/>
  <c r="G133" i="40"/>
  <c r="I133" i="40" s="1"/>
  <c r="G117" i="40"/>
  <c r="I117" i="40" s="1"/>
  <c r="G101" i="40"/>
  <c r="I101" i="40" s="1"/>
  <c r="G8" i="13"/>
  <c r="G40" i="13" s="1"/>
  <c r="F8" i="13"/>
  <c r="F40" i="13" s="1"/>
  <c r="S34" i="17"/>
  <c r="H7" i="13"/>
  <c r="E8" i="13"/>
  <c r="I8" i="13" s="1"/>
  <c r="P68" i="17"/>
  <c r="F40" i="12"/>
  <c r="F41" i="12"/>
  <c r="I40" i="12"/>
  <c r="I41" i="12"/>
  <c r="F50" i="12"/>
  <c r="I50" i="12" s="1"/>
  <c r="F51" i="12"/>
  <c r="I51" i="12" s="1"/>
  <c r="C75" i="12"/>
  <c r="G95" i="40"/>
  <c r="I95" i="40" s="1"/>
  <c r="G88" i="40"/>
  <c r="I88" i="40" s="1"/>
  <c r="C110" i="12"/>
  <c r="G6" i="12"/>
  <c r="G96" i="40"/>
  <c r="I96" i="40" s="1"/>
  <c r="G87" i="40"/>
  <c r="I87" i="40" s="1"/>
  <c r="G80" i="40"/>
  <c r="I80" i="40" s="1"/>
  <c r="G76" i="40"/>
  <c r="I76" i="40" s="1"/>
  <c r="G72" i="40"/>
  <c r="I72" i="40" s="1"/>
  <c r="G68" i="40"/>
  <c r="I68" i="40" s="1"/>
  <c r="G64" i="40"/>
  <c r="I64" i="40" s="1"/>
  <c r="G60" i="40"/>
  <c r="I60" i="40" s="1"/>
  <c r="G56" i="40"/>
  <c r="I56" i="40" s="1"/>
  <c r="G52" i="40"/>
  <c r="I52" i="40" s="1"/>
  <c r="G48" i="40"/>
  <c r="I48" i="40" s="1"/>
  <c r="G44" i="40"/>
  <c r="I44" i="40" s="1"/>
  <c r="G40" i="40"/>
  <c r="I40" i="40" s="1"/>
  <c r="G36" i="40"/>
  <c r="I36" i="40" s="1"/>
  <c r="G32" i="40"/>
  <c r="I32" i="40" s="1"/>
  <c r="G28" i="40"/>
  <c r="I28" i="40" s="1"/>
  <c r="G97" i="40"/>
  <c r="I97" i="40" s="1"/>
  <c r="G93" i="40"/>
  <c r="I93" i="40" s="1"/>
  <c r="G89" i="40"/>
  <c r="I89" i="40" s="1"/>
  <c r="G85" i="40"/>
  <c r="I85" i="40" s="1"/>
  <c r="G81" i="40"/>
  <c r="I81" i="40" s="1"/>
  <c r="G77" i="40"/>
  <c r="I77" i="40" s="1"/>
  <c r="G73" i="40"/>
  <c r="I73" i="40" s="1"/>
  <c r="G69" i="40"/>
  <c r="I69" i="40" s="1"/>
  <c r="G65" i="40"/>
  <c r="I65" i="40" s="1"/>
  <c r="G61" i="40"/>
  <c r="I61" i="40" s="1"/>
  <c r="G57" i="40"/>
  <c r="I57" i="40" s="1"/>
  <c r="G53" i="40"/>
  <c r="I53" i="40" s="1"/>
  <c r="G49" i="40"/>
  <c r="I49" i="40" s="1"/>
  <c r="G45" i="40"/>
  <c r="I45" i="40" s="1"/>
  <c r="G41" i="40"/>
  <c r="I41" i="40" s="1"/>
  <c r="G37" i="40"/>
  <c r="I37" i="40" s="1"/>
  <c r="G33" i="40"/>
  <c r="I33" i="40" s="1"/>
  <c r="G29" i="40"/>
  <c r="I29" i="40" s="1"/>
  <c r="A1" i="37"/>
  <c r="A1" i="7"/>
  <c r="A1" i="12"/>
  <c r="A1" i="19"/>
  <c r="E22" i="19" l="1"/>
  <c r="E23" i="19" s="1"/>
  <c r="AN40" i="13"/>
  <c r="G10" i="16"/>
  <c r="Q15" i="27"/>
  <c r="T15" i="27" s="1"/>
  <c r="I16" i="27"/>
  <c r="I15" i="27"/>
  <c r="S15" i="27" s="1"/>
  <c r="S13" i="27"/>
  <c r="G9" i="16"/>
  <c r="G7" i="16"/>
  <c r="C49" i="17"/>
  <c r="J50" i="12"/>
  <c r="J53" i="12"/>
  <c r="J49" i="12"/>
  <c r="G64" i="17"/>
  <c r="P63" i="17"/>
  <c r="G61" i="17"/>
  <c r="G65" i="17"/>
  <c r="G63" i="17"/>
  <c r="G62" i="17"/>
  <c r="J52" i="12"/>
  <c r="G6" i="16"/>
  <c r="G8" i="16"/>
  <c r="Q35" i="17"/>
  <c r="P35" i="17"/>
  <c r="S35" i="17"/>
  <c r="R35" i="17"/>
  <c r="C77" i="12"/>
  <c r="C76" i="12"/>
  <c r="C97" i="12"/>
  <c r="C40" i="12" s="1"/>
  <c r="G7" i="12" s="1"/>
  <c r="C98" i="12"/>
  <c r="C41" i="12" s="1"/>
  <c r="G8" i="12" s="1"/>
  <c r="J51" i="12"/>
  <c r="H40" i="13"/>
  <c r="O35" i="17"/>
  <c r="E40" i="13"/>
  <c r="W39" i="13"/>
  <c r="U39" i="13"/>
  <c r="T39" i="13"/>
  <c r="V39" i="13"/>
  <c r="S39" i="13"/>
  <c r="I7" i="13"/>
  <c r="G66" i="17" l="1"/>
  <c r="AG32" i="13"/>
  <c r="AX22" i="13"/>
  <c r="AX33" i="13"/>
  <c r="AG23" i="13"/>
  <c r="AG22" i="13"/>
  <c r="AX28" i="13"/>
  <c r="AX23" i="13"/>
  <c r="AG29" i="13"/>
  <c r="AG31" i="13"/>
  <c r="AX37" i="13"/>
  <c r="AX35" i="13"/>
  <c r="AX39" i="13"/>
  <c r="AG34" i="13"/>
  <c r="AG33" i="13"/>
  <c r="AG35" i="13"/>
  <c r="AX30" i="13"/>
  <c r="AX31" i="13"/>
  <c r="AG38" i="13"/>
  <c r="AX34" i="13"/>
  <c r="AX38" i="13"/>
  <c r="AG37" i="13"/>
  <c r="AG39" i="13"/>
  <c r="AG30" i="13"/>
  <c r="AX36" i="13"/>
  <c r="AG36" i="13"/>
  <c r="AX29" i="13"/>
  <c r="AG28" i="13"/>
  <c r="AX32" i="13"/>
  <c r="I40" i="13"/>
  <c r="H7" i="12"/>
  <c r="E17" i="7" s="1"/>
  <c r="H47" i="17" s="1"/>
  <c r="D7" i="23" s="1"/>
  <c r="H10" i="12"/>
  <c r="H9" i="12"/>
  <c r="H6" i="12"/>
  <c r="H8" i="12"/>
  <c r="F17" i="7" s="1"/>
  <c r="G47" i="17" s="1"/>
  <c r="E7" i="23" s="1"/>
  <c r="Q37" i="17"/>
  <c r="Q38" i="17" s="1"/>
  <c r="G10" i="17"/>
  <c r="G22" i="17" s="1"/>
  <c r="H10" i="17"/>
  <c r="H22" i="17" s="1"/>
  <c r="R37" i="17"/>
  <c r="R38" i="17" s="1"/>
  <c r="P69" i="17"/>
  <c r="R63" i="17"/>
  <c r="Q66" i="17"/>
  <c r="R66" i="17" s="1"/>
  <c r="Q65" i="17"/>
  <c r="Q69" i="17" s="1"/>
  <c r="I10" i="17"/>
  <c r="I22" i="17" s="1"/>
  <c r="S37" i="17"/>
  <c r="S38" i="17" s="1"/>
  <c r="G11" i="16"/>
  <c r="H8" i="16" s="1"/>
  <c r="F22" i="7" s="1"/>
  <c r="D10" i="17"/>
  <c r="D22" i="17" s="1"/>
  <c r="O37" i="17"/>
  <c r="O38" i="17" s="1"/>
  <c r="E10" i="17"/>
  <c r="E22" i="17" s="1"/>
  <c r="P37" i="17"/>
  <c r="P38" i="17" s="1"/>
  <c r="H48" i="17"/>
  <c r="H6" i="16" l="1"/>
  <c r="G17" i="7"/>
  <c r="E48" i="17" s="1"/>
  <c r="F6" i="23" s="1"/>
  <c r="R69" i="17"/>
  <c r="G48" i="17"/>
  <c r="L48" i="17" s="1"/>
  <c r="S39" i="17"/>
  <c r="C17" i="7"/>
  <c r="D17" i="7"/>
  <c r="I30" i="17"/>
  <c r="I23" i="17"/>
  <c r="I24" i="17" s="1"/>
  <c r="M10" i="13"/>
  <c r="T10" i="13" s="1"/>
  <c r="AA10" i="13" s="1"/>
  <c r="M14" i="13"/>
  <c r="T14" i="13" s="1"/>
  <c r="AA14" i="13" s="1"/>
  <c r="M18" i="13"/>
  <c r="T18" i="13" s="1"/>
  <c r="AA18" i="13" s="1"/>
  <c r="M26" i="13"/>
  <c r="T26" i="13" s="1"/>
  <c r="AA26" i="13" s="1"/>
  <c r="M11" i="13"/>
  <c r="T11" i="13" s="1"/>
  <c r="AA11" i="13" s="1"/>
  <c r="M15" i="13"/>
  <c r="T15" i="13" s="1"/>
  <c r="AA15" i="13" s="1"/>
  <c r="M19" i="13"/>
  <c r="T19" i="13" s="1"/>
  <c r="AA19" i="13" s="1"/>
  <c r="M27" i="13"/>
  <c r="T27" i="13" s="1"/>
  <c r="AA27" i="13" s="1"/>
  <c r="M7" i="13"/>
  <c r="T7" i="13" s="1"/>
  <c r="M8" i="13"/>
  <c r="T8" i="13" s="1"/>
  <c r="AA8" i="13" s="1"/>
  <c r="M12" i="13"/>
  <c r="T12" i="13" s="1"/>
  <c r="AA12" i="13" s="1"/>
  <c r="M16" i="13"/>
  <c r="T16" i="13" s="1"/>
  <c r="AA16" i="13" s="1"/>
  <c r="M20" i="13"/>
  <c r="T20" i="13" s="1"/>
  <c r="AA20" i="13" s="1"/>
  <c r="M24" i="13"/>
  <c r="T24" i="13" s="1"/>
  <c r="AA24" i="13" s="1"/>
  <c r="M13" i="13"/>
  <c r="T13" i="13" s="1"/>
  <c r="AA13" i="13" s="1"/>
  <c r="M17" i="13"/>
  <c r="T17" i="13" s="1"/>
  <c r="AA17" i="13" s="1"/>
  <c r="M25" i="13"/>
  <c r="T25" i="13" s="1"/>
  <c r="AA25" i="13" s="1"/>
  <c r="M9" i="13"/>
  <c r="T9" i="13" s="1"/>
  <c r="AA9" i="13" s="1"/>
  <c r="M21" i="13"/>
  <c r="T21" i="13" s="1"/>
  <c r="AA21" i="13" s="1"/>
  <c r="E30" i="17"/>
  <c r="E23" i="17"/>
  <c r="E24" i="17" s="1"/>
  <c r="D30" i="17"/>
  <c r="D23" i="17"/>
  <c r="D24" i="17" s="1"/>
  <c r="D22" i="7"/>
  <c r="C22" i="7"/>
  <c r="Q68" i="17"/>
  <c r="R68" i="17" s="1"/>
  <c r="J75" i="17" s="1"/>
  <c r="P75" i="17" s="1"/>
  <c r="P77" i="17" s="1"/>
  <c r="R65" i="17"/>
  <c r="G30" i="17"/>
  <c r="G23" i="17"/>
  <c r="G24" i="17" s="1"/>
  <c r="D6" i="23"/>
  <c r="M48" i="17"/>
  <c r="E6" i="23"/>
  <c r="I11" i="16"/>
  <c r="H9" i="16"/>
  <c r="H7" i="16"/>
  <c r="E22" i="7" s="1"/>
  <c r="H10" i="16"/>
  <c r="H30" i="17"/>
  <c r="H23" i="17"/>
  <c r="H24" i="17" s="1"/>
  <c r="K48" i="17" l="1"/>
  <c r="E47" i="17"/>
  <c r="F7" i="23" s="1"/>
  <c r="H11" i="16"/>
  <c r="C47" i="17"/>
  <c r="I47" i="17"/>
  <c r="C7" i="23" s="1"/>
  <c r="I48" i="17"/>
  <c r="J48" i="17"/>
  <c r="J47" i="17"/>
  <c r="B6" i="23" s="1"/>
  <c r="AR26" i="13"/>
  <c r="AY26" i="13" s="1"/>
  <c r="AH26" i="13"/>
  <c r="AR21" i="13"/>
  <c r="AY21" i="13" s="1"/>
  <c r="AH21" i="13"/>
  <c r="AA48" i="13"/>
  <c r="AR13" i="13"/>
  <c r="AY13" i="13" s="1"/>
  <c r="AH13" i="13"/>
  <c r="AH12" i="13"/>
  <c r="AR12" i="13"/>
  <c r="AY12" i="13" s="1"/>
  <c r="AH19" i="13"/>
  <c r="AR19" i="13"/>
  <c r="AY19" i="13" s="1"/>
  <c r="AR18" i="13"/>
  <c r="AY18" i="13" s="1"/>
  <c r="AH18" i="13"/>
  <c r="O24" i="13"/>
  <c r="O25" i="13"/>
  <c r="O26" i="13"/>
  <c r="O27" i="13"/>
  <c r="O7" i="13"/>
  <c r="O8" i="13"/>
  <c r="O9" i="13"/>
  <c r="O10" i="13"/>
  <c r="O11" i="13"/>
  <c r="O12" i="13"/>
  <c r="O13" i="13"/>
  <c r="O14" i="13"/>
  <c r="O15" i="13"/>
  <c r="O16" i="13"/>
  <c r="O17" i="13"/>
  <c r="O18" i="13"/>
  <c r="O19" i="13"/>
  <c r="O20" i="13"/>
  <c r="O21" i="13"/>
  <c r="AR16" i="13"/>
  <c r="AY16" i="13" s="1"/>
  <c r="AH16" i="13"/>
  <c r="AH9" i="13"/>
  <c r="AR9" i="13"/>
  <c r="AY9" i="13" s="1"/>
  <c r="AR8" i="13"/>
  <c r="AY8" i="13" s="1"/>
  <c r="AH8" i="13"/>
  <c r="AR15" i="13"/>
  <c r="AY15" i="13" s="1"/>
  <c r="AH15" i="13"/>
  <c r="AR14" i="13"/>
  <c r="AY14" i="13" s="1"/>
  <c r="AH14" i="13"/>
  <c r="AR17" i="13"/>
  <c r="AY17" i="13" s="1"/>
  <c r="AH17" i="13"/>
  <c r="AR27" i="13"/>
  <c r="AY27" i="13" s="1"/>
  <c r="AH27" i="13"/>
  <c r="N14" i="13"/>
  <c r="U14" i="13" s="1"/>
  <c r="AB14" i="13" s="1"/>
  <c r="N19" i="13"/>
  <c r="U19" i="13" s="1"/>
  <c r="AB19" i="13" s="1"/>
  <c r="N12" i="13"/>
  <c r="U12" i="13" s="1"/>
  <c r="AB12" i="13" s="1"/>
  <c r="N25" i="13"/>
  <c r="U25" i="13" s="1"/>
  <c r="AB25" i="13" s="1"/>
  <c r="N13" i="13"/>
  <c r="U13" i="13" s="1"/>
  <c r="AB13" i="13" s="1"/>
  <c r="N11" i="13"/>
  <c r="U11" i="13" s="1"/>
  <c r="AB11" i="13" s="1"/>
  <c r="N10" i="13"/>
  <c r="U10" i="13" s="1"/>
  <c r="AB10" i="13" s="1"/>
  <c r="N18" i="13"/>
  <c r="U18" i="13" s="1"/>
  <c r="AB18" i="13" s="1"/>
  <c r="N17" i="13"/>
  <c r="U17" i="13" s="1"/>
  <c r="AB17" i="13" s="1"/>
  <c r="N20" i="13"/>
  <c r="U20" i="13" s="1"/>
  <c r="AB20" i="13" s="1"/>
  <c r="N7" i="13"/>
  <c r="U7" i="13" s="1"/>
  <c r="N16" i="13"/>
  <c r="U16" i="13" s="1"/>
  <c r="AB16" i="13" s="1"/>
  <c r="N27" i="13"/>
  <c r="U27" i="13" s="1"/>
  <c r="AB27" i="13" s="1"/>
  <c r="N15" i="13"/>
  <c r="U15" i="13" s="1"/>
  <c r="AB15" i="13" s="1"/>
  <c r="N9" i="13"/>
  <c r="U9" i="13" s="1"/>
  <c r="AB9" i="13" s="1"/>
  <c r="N26" i="13"/>
  <c r="U26" i="13" s="1"/>
  <c r="AB26" i="13" s="1"/>
  <c r="N24" i="13"/>
  <c r="U24" i="13" s="1"/>
  <c r="AB24" i="13" s="1"/>
  <c r="N21" i="13"/>
  <c r="U21" i="13" s="1"/>
  <c r="AB21" i="13" s="1"/>
  <c r="N8" i="13"/>
  <c r="U8" i="13" s="1"/>
  <c r="AB8" i="13" s="1"/>
  <c r="M47" i="17"/>
  <c r="L47" i="17"/>
  <c r="G22" i="7"/>
  <c r="H22" i="7" s="1"/>
  <c r="AR24" i="13"/>
  <c r="AY24" i="13" s="1"/>
  <c r="AH24" i="13"/>
  <c r="P24" i="13"/>
  <c r="P25" i="13"/>
  <c r="P26" i="13"/>
  <c r="P27" i="13"/>
  <c r="P7" i="13"/>
  <c r="P8" i="13"/>
  <c r="P9" i="13"/>
  <c r="P10" i="13"/>
  <c r="P11" i="13"/>
  <c r="P12" i="13"/>
  <c r="P16" i="13"/>
  <c r="P20" i="13"/>
  <c r="P13" i="13"/>
  <c r="P17" i="13"/>
  <c r="P21" i="13"/>
  <c r="P14" i="13"/>
  <c r="P18" i="13"/>
  <c r="P15" i="13"/>
  <c r="P19" i="13"/>
  <c r="AH25" i="13"/>
  <c r="AR25" i="13"/>
  <c r="AY25" i="13" s="1"/>
  <c r="AR20" i="13"/>
  <c r="AY20" i="13" s="1"/>
  <c r="AH20" i="13"/>
  <c r="AA7" i="13"/>
  <c r="T40" i="13"/>
  <c r="AR11" i="13"/>
  <c r="AY11" i="13" s="1"/>
  <c r="AH11" i="13"/>
  <c r="AR10" i="13"/>
  <c r="AY10" i="13" s="1"/>
  <c r="AH10" i="13"/>
  <c r="N47" i="17" l="1"/>
  <c r="K47" i="17"/>
  <c r="O47" i="17"/>
  <c r="C51" i="17"/>
  <c r="B7" i="23"/>
  <c r="O48" i="17"/>
  <c r="C6" i="23"/>
  <c r="N48" i="17"/>
  <c r="W7" i="13"/>
  <c r="AD7" i="13" s="1"/>
  <c r="AS20" i="13"/>
  <c r="AZ20" i="13" s="1"/>
  <c r="AI20" i="13"/>
  <c r="V21" i="13"/>
  <c r="AC21" i="13" s="1"/>
  <c r="V9" i="13"/>
  <c r="AC9" i="13" s="1"/>
  <c r="W20" i="13"/>
  <c r="AD20" i="13" s="1"/>
  <c r="AU20" i="13" s="1"/>
  <c r="AS24" i="13"/>
  <c r="AZ24" i="13" s="1"/>
  <c r="AI24" i="13"/>
  <c r="AS27" i="13"/>
  <c r="AZ27" i="13" s="1"/>
  <c r="AI27" i="13"/>
  <c r="AS17" i="13"/>
  <c r="AZ17" i="13" s="1"/>
  <c r="AI17" i="13"/>
  <c r="AB48" i="13"/>
  <c r="AI13" i="13"/>
  <c r="AS13" i="13"/>
  <c r="AZ13" i="13" s="1"/>
  <c r="AS14" i="13"/>
  <c r="AZ14" i="13" s="1"/>
  <c r="AI14" i="13"/>
  <c r="V20" i="13"/>
  <c r="AC20" i="13" s="1"/>
  <c r="V16" i="13"/>
  <c r="AC16" i="13" s="1"/>
  <c r="V12" i="13"/>
  <c r="AC12" i="13" s="1"/>
  <c r="V8" i="13"/>
  <c r="AC8" i="13" s="1"/>
  <c r="V25" i="13"/>
  <c r="AC25" i="13" s="1"/>
  <c r="AS21" i="13"/>
  <c r="AZ21" i="13" s="1"/>
  <c r="AI21" i="13"/>
  <c r="AS19" i="13"/>
  <c r="AZ19" i="13" s="1"/>
  <c r="AI19" i="13"/>
  <c r="W10" i="13"/>
  <c r="AD10" i="13" s="1"/>
  <c r="AU10" i="13" s="1"/>
  <c r="AS26" i="13"/>
  <c r="AZ26" i="13" s="1"/>
  <c r="AI26" i="13"/>
  <c r="AS16" i="13"/>
  <c r="AZ16" i="13" s="1"/>
  <c r="AI16" i="13"/>
  <c r="AS18" i="13"/>
  <c r="AZ18" i="13" s="1"/>
  <c r="AI18" i="13"/>
  <c r="AS25" i="13"/>
  <c r="AZ25" i="13" s="1"/>
  <c r="AI25" i="13"/>
  <c r="V19" i="13"/>
  <c r="AC19" i="13" s="1"/>
  <c r="V15" i="13"/>
  <c r="AC15" i="13" s="1"/>
  <c r="V11" i="13"/>
  <c r="AC11" i="13" s="1"/>
  <c r="V7" i="13"/>
  <c r="AC7" i="13" s="1"/>
  <c r="V24" i="13"/>
  <c r="AC24" i="13" s="1"/>
  <c r="AA47" i="13"/>
  <c r="AA49" i="13" s="1"/>
  <c r="E10" i="23" s="1"/>
  <c r="AR7" i="13"/>
  <c r="AH7" i="13"/>
  <c r="AH41" i="13" s="1"/>
  <c r="AA41" i="13"/>
  <c r="W14" i="13"/>
  <c r="AD14" i="13" s="1"/>
  <c r="AU14" i="13" s="1"/>
  <c r="W11" i="13"/>
  <c r="AD11" i="13" s="1"/>
  <c r="AU11" i="13" s="1"/>
  <c r="W24" i="13"/>
  <c r="AD24" i="13" s="1"/>
  <c r="AU24" i="13" s="1"/>
  <c r="AS15" i="13"/>
  <c r="AZ15" i="13" s="1"/>
  <c r="AI15" i="13"/>
  <c r="AS11" i="13"/>
  <c r="AZ11" i="13" s="1"/>
  <c r="AI11" i="13"/>
  <c r="V17" i="13"/>
  <c r="AC17" i="13" s="1"/>
  <c r="V13" i="13"/>
  <c r="AC13" i="13" s="1"/>
  <c r="V26" i="13"/>
  <c r="AC26" i="13" s="1"/>
  <c r="W19" i="13"/>
  <c r="AD19" i="13" s="1"/>
  <c r="AU19" i="13" s="1"/>
  <c r="W21" i="13"/>
  <c r="AD21" i="13" s="1"/>
  <c r="AU21" i="13" s="1"/>
  <c r="W27" i="13"/>
  <c r="AD27" i="13" s="1"/>
  <c r="AU27" i="13" s="1"/>
  <c r="W15" i="13"/>
  <c r="AD15" i="13" s="1"/>
  <c r="AU15" i="13" s="1"/>
  <c r="W17" i="13"/>
  <c r="AD17" i="13" s="1"/>
  <c r="AU17" i="13" s="1"/>
  <c r="W16" i="13"/>
  <c r="AD16" i="13" s="1"/>
  <c r="AU16" i="13" s="1"/>
  <c r="W9" i="13"/>
  <c r="AD9" i="13" s="1"/>
  <c r="AU9" i="13" s="1"/>
  <c r="W26" i="13"/>
  <c r="AD26" i="13" s="1"/>
  <c r="AU26" i="13" s="1"/>
  <c r="W18" i="13"/>
  <c r="AD18" i="13" s="1"/>
  <c r="AU18" i="13" s="1"/>
  <c r="W13" i="13"/>
  <c r="AD13" i="13" s="1"/>
  <c r="W12" i="13"/>
  <c r="AD12" i="13" s="1"/>
  <c r="AU12" i="13" s="1"/>
  <c r="W8" i="13"/>
  <c r="AD8" i="13" s="1"/>
  <c r="AU8" i="13" s="1"/>
  <c r="W25" i="13"/>
  <c r="AD25" i="13" s="1"/>
  <c r="AU25" i="13" s="1"/>
  <c r="L15" i="13"/>
  <c r="S15" i="13" s="1"/>
  <c r="Z15" i="13" s="1"/>
  <c r="L10" i="13"/>
  <c r="S10" i="13" s="1"/>
  <c r="Z10" i="13" s="1"/>
  <c r="L8" i="13"/>
  <c r="S8" i="13" s="1"/>
  <c r="Z8" i="13" s="1"/>
  <c r="L11" i="13"/>
  <c r="S11" i="13" s="1"/>
  <c r="Z11" i="13" s="1"/>
  <c r="L14" i="13"/>
  <c r="S14" i="13" s="1"/>
  <c r="Z14" i="13" s="1"/>
  <c r="L18" i="13"/>
  <c r="S18" i="13" s="1"/>
  <c r="Z18" i="13" s="1"/>
  <c r="L20" i="13"/>
  <c r="S20" i="13" s="1"/>
  <c r="Z20" i="13" s="1"/>
  <c r="L17" i="13"/>
  <c r="S17" i="13" s="1"/>
  <c r="Z17" i="13" s="1"/>
  <c r="L24" i="13"/>
  <c r="S24" i="13" s="1"/>
  <c r="Z24" i="13" s="1"/>
  <c r="L13" i="13"/>
  <c r="S13" i="13" s="1"/>
  <c r="Z13" i="13" s="1"/>
  <c r="L16" i="13"/>
  <c r="S16" i="13" s="1"/>
  <c r="Z16" i="13" s="1"/>
  <c r="L21" i="13"/>
  <c r="S21" i="13" s="1"/>
  <c r="Z21" i="13" s="1"/>
  <c r="L27" i="13"/>
  <c r="S27" i="13" s="1"/>
  <c r="Z27" i="13" s="1"/>
  <c r="L9" i="13"/>
  <c r="S9" i="13" s="1"/>
  <c r="Z9" i="13" s="1"/>
  <c r="L12" i="13"/>
  <c r="S12" i="13" s="1"/>
  <c r="Z12" i="13" s="1"/>
  <c r="L7" i="13"/>
  <c r="S7" i="13" s="1"/>
  <c r="L26" i="13"/>
  <c r="S26" i="13" s="1"/>
  <c r="Z26" i="13" s="1"/>
  <c r="L19" i="13"/>
  <c r="S19" i="13" s="1"/>
  <c r="Z19" i="13" s="1"/>
  <c r="L25" i="13"/>
  <c r="S25" i="13" s="1"/>
  <c r="Z25" i="13" s="1"/>
  <c r="AS8" i="13"/>
  <c r="AZ8" i="13" s="1"/>
  <c r="AI8" i="13"/>
  <c r="AI9" i="13"/>
  <c r="AS9" i="13"/>
  <c r="AZ9" i="13" s="1"/>
  <c r="U40" i="13"/>
  <c r="AB7" i="13"/>
  <c r="AS10" i="13"/>
  <c r="AZ10" i="13" s="1"/>
  <c r="AI10" i="13"/>
  <c r="AS12" i="13"/>
  <c r="AZ12" i="13" s="1"/>
  <c r="AI12" i="13"/>
  <c r="V18" i="13"/>
  <c r="AC18" i="13" s="1"/>
  <c r="V14" i="13"/>
  <c r="AC14" i="13" s="1"/>
  <c r="V10" i="13"/>
  <c r="AC10" i="13" s="1"/>
  <c r="V27" i="13"/>
  <c r="AC27" i="13" s="1"/>
  <c r="AT17" i="13" l="1"/>
  <c r="BA17" i="13" s="1"/>
  <c r="AJ17" i="13"/>
  <c r="AJ11" i="13"/>
  <c r="AT11" i="13"/>
  <c r="BA11" i="13" s="1"/>
  <c r="AT9" i="13"/>
  <c r="BA9" i="13" s="1"/>
  <c r="AJ9" i="13"/>
  <c r="AT26" i="13"/>
  <c r="BA26" i="13" s="1"/>
  <c r="AJ26" i="13"/>
  <c r="AT24" i="13"/>
  <c r="BA24" i="13" s="1"/>
  <c r="AJ24" i="13"/>
  <c r="AT18" i="13"/>
  <c r="BA18" i="13" s="1"/>
  <c r="AJ18" i="13"/>
  <c r="AT20" i="13"/>
  <c r="BA20" i="13" s="1"/>
  <c r="AJ20" i="13"/>
  <c r="AT10" i="13"/>
  <c r="BA10" i="13" s="1"/>
  <c r="AJ10" i="13"/>
  <c r="AJ19" i="13"/>
  <c r="AT19" i="13"/>
  <c r="BA19" i="13" s="1"/>
  <c r="AU7" i="13"/>
  <c r="AD41" i="13"/>
  <c r="AD47" i="13"/>
  <c r="AT27" i="13"/>
  <c r="BA27" i="13" s="1"/>
  <c r="AJ27" i="13"/>
  <c r="AQ24" i="13"/>
  <c r="AX24" i="13" s="1"/>
  <c r="AG24" i="13"/>
  <c r="AS7" i="13"/>
  <c r="AB41" i="13"/>
  <c r="AI7" i="13"/>
  <c r="AI41" i="13" s="1"/>
  <c r="AB47" i="13"/>
  <c r="AB49" i="13" s="1"/>
  <c r="D10" i="23" s="1"/>
  <c r="AQ19" i="13"/>
  <c r="AX19" i="13" s="1"/>
  <c r="AG19" i="13"/>
  <c r="AQ9" i="13"/>
  <c r="AX9" i="13" s="1"/>
  <c r="AG9" i="13"/>
  <c r="AG13" i="13"/>
  <c r="AQ13" i="13"/>
  <c r="AX13" i="13" s="1"/>
  <c r="Z48" i="13"/>
  <c r="AQ18" i="13"/>
  <c r="AX18" i="13" s="1"/>
  <c r="AG18" i="13"/>
  <c r="AQ10" i="13"/>
  <c r="AX10" i="13" s="1"/>
  <c r="AG10" i="13"/>
  <c r="AR41" i="13"/>
  <c r="AY7" i="13"/>
  <c r="AY41" i="13" s="1"/>
  <c r="V40" i="13"/>
  <c r="AG14" i="13"/>
  <c r="AQ14" i="13"/>
  <c r="AX14" i="13" s="1"/>
  <c r="AT16" i="13"/>
  <c r="BA16" i="13" s="1"/>
  <c r="AJ16" i="13"/>
  <c r="AT21" i="13"/>
  <c r="BA21" i="13" s="1"/>
  <c r="AJ21" i="13"/>
  <c r="AG17" i="13"/>
  <c r="AQ17" i="13"/>
  <c r="AX17" i="13" s="1"/>
  <c r="AJ25" i="13"/>
  <c r="AT25" i="13"/>
  <c r="BA25" i="13" s="1"/>
  <c r="AT12" i="13"/>
  <c r="BA12" i="13" s="1"/>
  <c r="AJ12" i="13"/>
  <c r="AT14" i="13"/>
  <c r="BA14" i="13" s="1"/>
  <c r="AJ14" i="13"/>
  <c r="AQ26" i="13"/>
  <c r="AX26" i="13" s="1"/>
  <c r="AG26" i="13"/>
  <c r="AQ27" i="13"/>
  <c r="AX27" i="13" s="1"/>
  <c r="AG27" i="13"/>
  <c r="AQ15" i="13"/>
  <c r="AX15" i="13" s="1"/>
  <c r="AG15" i="13"/>
  <c r="AU13" i="13"/>
  <c r="AD48" i="13"/>
  <c r="AD50" i="13" s="1"/>
  <c r="AC48" i="13"/>
  <c r="AT13" i="13"/>
  <c r="BA13" i="13" s="1"/>
  <c r="AJ13" i="13"/>
  <c r="AC47" i="13"/>
  <c r="AJ7" i="13"/>
  <c r="AT7" i="13"/>
  <c r="AC41" i="13"/>
  <c r="AT15" i="13"/>
  <c r="BA15" i="13" s="1"/>
  <c r="AJ15" i="13"/>
  <c r="AT8" i="13"/>
  <c r="BA8" i="13" s="1"/>
  <c r="AJ8" i="13"/>
  <c r="Z7" i="13"/>
  <c r="S40" i="13"/>
  <c r="AQ21" i="13"/>
  <c r="AX21" i="13" s="1"/>
  <c r="AG21" i="13"/>
  <c r="AQ11" i="13"/>
  <c r="AX11" i="13" s="1"/>
  <c r="AG11" i="13"/>
  <c r="AA50" i="13"/>
  <c r="AQ25" i="13"/>
  <c r="AX25" i="13" s="1"/>
  <c r="AG25" i="13"/>
  <c r="AQ12" i="13"/>
  <c r="AX12" i="13" s="1"/>
  <c r="AG12" i="13"/>
  <c r="AQ16" i="13"/>
  <c r="AX16" i="13" s="1"/>
  <c r="AG16" i="13"/>
  <c r="AQ20" i="13"/>
  <c r="AX20" i="13" s="1"/>
  <c r="AG20" i="13"/>
  <c r="AQ8" i="13"/>
  <c r="AX8" i="13" s="1"/>
  <c r="AG8" i="13"/>
  <c r="AU41" i="13" l="1"/>
  <c r="AC49" i="13"/>
  <c r="C10" i="23" s="1"/>
  <c r="AB50" i="13"/>
  <c r="AJ41" i="13"/>
  <c r="AC50" i="13"/>
  <c r="Z41" i="13"/>
  <c r="AQ7" i="13"/>
  <c r="AG7" i="13"/>
  <c r="AG41" i="13" s="1"/>
  <c r="Z47" i="13"/>
  <c r="Z49" i="13" s="1"/>
  <c r="F10" i="23" s="1"/>
  <c r="AS41" i="13"/>
  <c r="AZ7" i="13"/>
  <c r="AZ41" i="13" s="1"/>
  <c r="AT41" i="13"/>
  <c r="BA7" i="13"/>
  <c r="BA41" i="13" s="1"/>
  <c r="AD49" i="13"/>
  <c r="B10" i="23" s="1"/>
  <c r="Z50" i="13" l="1"/>
  <c r="Z40" i="13"/>
  <c r="Z42" i="13" s="1"/>
  <c r="AG40" i="13"/>
  <c r="AJ42" i="13" s="1"/>
  <c r="AQ41" i="13"/>
  <c r="AX7" i="13"/>
  <c r="AX41" i="13" s="1"/>
  <c r="AG42" i="13" l="1"/>
  <c r="AX40" i="13"/>
  <c r="AX42" i="13" s="1"/>
  <c r="AQ40" i="13"/>
  <c r="AQ42" i="13" s="1"/>
  <c r="E49" i="17" s="1"/>
  <c r="AA42" i="13"/>
  <c r="AD42" i="13"/>
  <c r="AB42" i="13"/>
  <c r="AC42" i="13"/>
  <c r="AH42" i="13"/>
  <c r="AI42" i="13"/>
  <c r="F5" i="23" l="1"/>
  <c r="K49" i="17"/>
  <c r="K51" i="17" s="1"/>
  <c r="AR42" i="13"/>
  <c r="G49" i="17" s="1"/>
  <c r="AU42" i="13"/>
  <c r="J49" i="17" s="1"/>
  <c r="AT42" i="13"/>
  <c r="I49" i="17" s="1"/>
  <c r="AS42" i="13"/>
  <c r="H49" i="17" s="1"/>
  <c r="AY42" i="13"/>
  <c r="BA42" i="13"/>
  <c r="AZ42" i="13"/>
  <c r="C5" i="23" l="1"/>
  <c r="N49" i="17"/>
  <c r="N51" i="17" s="1"/>
  <c r="B5" i="23"/>
  <c r="O49" i="17"/>
  <c r="O51" i="17" s="1"/>
  <c r="E5" i="23"/>
  <c r="L49" i="17"/>
  <c r="L51" i="17" s="1"/>
  <c r="D5" i="23"/>
  <c r="M49" i="17"/>
  <c r="M51" i="17" s="1"/>
  <c r="O52" i="17" l="1"/>
  <c r="B8" i="23" s="1"/>
  <c r="L52" i="17"/>
  <c r="M52" i="17"/>
  <c r="H75" i="17" s="1"/>
  <c r="N75" i="17" s="1"/>
  <c r="N77" i="17" s="1"/>
  <c r="N52" i="17"/>
  <c r="C8" i="23" s="1"/>
  <c r="K52" i="17"/>
  <c r="E8" i="23"/>
  <c r="G75" i="17"/>
  <c r="M75" i="17" s="1"/>
  <c r="M77" i="17" s="1"/>
  <c r="D8" i="23" l="1"/>
  <c r="I75" i="17"/>
  <c r="O75" i="17" s="1"/>
  <c r="O77" i="17" s="1"/>
  <c r="F75" i="17"/>
  <c r="F8" i="23"/>
  <c r="L75" i="17" l="1"/>
  <c r="L77" i="17" s="1"/>
  <c r="R77" i="17" s="1"/>
  <c r="P81" i="17" s="1"/>
  <c r="G9" i="23" s="1"/>
  <c r="D75" i="17"/>
  <c r="O81" i="17" l="1"/>
  <c r="C9" i="23" s="1"/>
  <c r="M81" i="17"/>
  <c r="E9" i="23" s="1"/>
  <c r="N81" i="17"/>
  <c r="D9" i="23" s="1"/>
  <c r="S81" i="17"/>
  <c r="B9" i="23" s="1"/>
  <c r="L81" i="17"/>
  <c r="F9" i="23" s="1"/>
  <c r="E6" i="36" l="1"/>
  <c r="D6" i="36"/>
  <c r="C6" i="36"/>
  <c r="F6" i="36"/>
  <c r="R81" i="17"/>
</calcChain>
</file>

<file path=xl/sharedStrings.xml><?xml version="1.0" encoding="utf-8"?>
<sst xmlns="http://schemas.openxmlformats.org/spreadsheetml/2006/main" count="3860" uniqueCount="1058">
  <si>
    <t>Total Net Non-load related (other non-fault)</t>
  </si>
  <si>
    <t>Inspections &amp; Maintenance, Tree Cutting and Fault Costs</t>
  </si>
  <si>
    <t>Inspections &amp; Maintenance</t>
  </si>
  <si>
    <t>Fault Costs</t>
  </si>
  <si>
    <t>Cash typicals</t>
  </si>
  <si>
    <t>Atypicals</t>
  </si>
  <si>
    <t>Inspection and Maintenance</t>
  </si>
  <si>
    <t xml:space="preserve">Inspections </t>
  </si>
  <si>
    <t>Cost</t>
  </si>
  <si>
    <t>Depn.</t>
  </si>
  <si>
    <t>Net Book Value</t>
  </si>
  <si>
    <t>Net Sales Proceeds</t>
  </si>
  <si>
    <t>Asset Owner</t>
  </si>
  <si>
    <t>Asset Type</t>
  </si>
  <si>
    <t>£m</t>
  </si>
  <si>
    <t>Fault Level Reinforcement</t>
  </si>
  <si>
    <t>Regulatory Reporting Pack (RRP)</t>
  </si>
  <si>
    <t xml:space="preserve">System Maximum Demand </t>
  </si>
  <si>
    <t>System Maximum Demand (Weather corrected)</t>
  </si>
  <si>
    <t xml:space="preserve">Maintenance </t>
  </si>
  <si>
    <t xml:space="preserve">Total </t>
  </si>
  <si>
    <t>LV Services</t>
  </si>
  <si>
    <t>Underground Mains - Consac</t>
  </si>
  <si>
    <t>Underground Mains - Non Consac</t>
  </si>
  <si>
    <t xml:space="preserve">HV </t>
  </si>
  <si>
    <t>Substation electricity</t>
  </si>
  <si>
    <t>Diesel generation costs (permanent emergency back up on islands)</t>
  </si>
  <si>
    <t>Third party cable damage - recoveries</t>
  </si>
  <si>
    <t>Dismantlement</t>
  </si>
  <si>
    <t>2007/08</t>
  </si>
  <si>
    <t>Network Data</t>
  </si>
  <si>
    <t>Units</t>
  </si>
  <si>
    <t>2005/06</t>
  </si>
  <si>
    <t>2006/07</t>
  </si>
  <si>
    <t>2008/09</t>
  </si>
  <si>
    <t>2009/10</t>
  </si>
  <si>
    <t>allocated in proportion to repex</t>
  </si>
  <si>
    <t>HV/LV sub/trans costs</t>
  </si>
  <si>
    <t>LV/HV/(LV/HV+HV) %</t>
  </si>
  <si>
    <t>Total Tree Cutting</t>
  </si>
  <si>
    <t>Lane rentals analysis: including logged up costs (see below):</t>
  </si>
  <si>
    <t>LV Fuses (PM)</t>
  </si>
  <si>
    <t>LV Fuses (TM)</t>
  </si>
  <si>
    <t>HV network</t>
  </si>
  <si>
    <t>6.6/11 kV OHL (Open)</t>
  </si>
  <si>
    <t>6.6/11 kV OHL (Covered)</t>
  </si>
  <si>
    <t>20 kV OHL (Open)</t>
  </si>
  <si>
    <t>Total CMLs (Excluding EE)</t>
  </si>
  <si>
    <t>CMLs</t>
  </si>
  <si>
    <t>Condition based</t>
  </si>
  <si>
    <t>Units Distributed</t>
  </si>
  <si>
    <t>GWh</t>
  </si>
  <si>
    <t>LOSSES</t>
  </si>
  <si>
    <t xml:space="preserve">Units of distribution losses </t>
  </si>
  <si>
    <t>(GWh)</t>
  </si>
  <si>
    <t xml:space="preserve">Losses </t>
  </si>
  <si>
    <t>(%)</t>
  </si>
  <si>
    <t>SYSTEM PARAMETERS</t>
  </si>
  <si>
    <t>IFI</t>
  </si>
  <si>
    <t>Network Policy</t>
  </si>
  <si>
    <t>Network Design &amp; Engineering</t>
  </si>
  <si>
    <t>Project Management</t>
  </si>
  <si>
    <t>Engineering Mgt &amp; Clerical Support</t>
  </si>
  <si>
    <t>Control Centre</t>
  </si>
  <si>
    <t>System Mapping - Cartographical</t>
  </si>
  <si>
    <t>(Description)</t>
  </si>
  <si>
    <t>LR1 - Demand</t>
  </si>
  <si>
    <t>Demand Totals</t>
  </si>
  <si>
    <t>Submarine cables (kms)</t>
  </si>
  <si>
    <t>HV Sub Cable</t>
  </si>
  <si>
    <t>6.6/11 kV CB (PM)</t>
  </si>
  <si>
    <t>Indirect activities - From RRP 2.2 Detailed Cost Matrix</t>
  </si>
  <si>
    <t>6.6/11 kV Switchgear - Other (GM)</t>
  </si>
  <si>
    <t>HR &amp; Non-operational Training</t>
  </si>
  <si>
    <t>Brief description of work involved, substations affected, assets installed/replaced etc.</t>
  </si>
  <si>
    <t>(Unique name)</t>
  </si>
  <si>
    <t>(kV)</t>
  </si>
  <si>
    <t>(a-j)</t>
  </si>
  <si>
    <t>(Year)</t>
  </si>
  <si>
    <t>(MVA)</t>
  </si>
  <si>
    <t>6.6/11 kV CB (GM)</t>
  </si>
  <si>
    <t>6.6/11 kV Switch (PM)</t>
  </si>
  <si>
    <t>6.6/11 kV Switch (GM)</t>
  </si>
  <si>
    <t>Direct Costs only</t>
  </si>
  <si>
    <t>New Connections (carried out by DNO/RP)</t>
  </si>
  <si>
    <t>New Connections (carried out by Third Parties)</t>
  </si>
  <si>
    <t>Customer Specific Reinforcement - Chargeable</t>
  </si>
  <si>
    <t>EHV ground mounted</t>
  </si>
  <si>
    <t>EHV pole mounted</t>
  </si>
  <si>
    <t>HV ground mounted</t>
  </si>
  <si>
    <t>HV pole mounted</t>
  </si>
  <si>
    <t>Regulatory Reporting Pack</t>
  </si>
  <si>
    <t>MISCELLANEOUS</t>
  </si>
  <si>
    <t>Costs outside scope of DPCR4 allowances</t>
  </si>
  <si>
    <t>Road Occupation &amp; Permit Scheme Costs included within Lane Rentals, previously agreed in writing with Ofgem to be treated as logged up costs:</t>
  </si>
  <si>
    <t>Salary sacrifice schemes (including flexible benefit schemes)</t>
  </si>
  <si>
    <t>Direct capex</t>
  </si>
  <si>
    <t>Direct opex, faults &amp; Non-op capex</t>
  </si>
  <si>
    <t>Indirect costs</t>
  </si>
  <si>
    <t>All Other non-distrib'n activities</t>
  </si>
  <si>
    <t>Salary element sacrificed by employee(-ve)</t>
  </si>
  <si>
    <t>Fault Related</t>
  </si>
  <si>
    <t xml:space="preserve">Total
</t>
  </si>
  <si>
    <t>Metered LV Services</t>
  </si>
  <si>
    <t>Overhead</t>
  </si>
  <si>
    <t>Underground</t>
  </si>
  <si>
    <t>Un-metered LV Services</t>
  </si>
  <si>
    <t>Road occupation costs</t>
  </si>
  <si>
    <t>Permit scheme costs</t>
  </si>
  <si>
    <t>Congestion charges</t>
  </si>
  <si>
    <t>Total per Table 2.2</t>
  </si>
  <si>
    <t>Uncertain Costs (included in table 2.2 costs)</t>
  </si>
  <si>
    <t>Total condition based replacement</t>
  </si>
  <si>
    <t>Asset Categories</t>
  </si>
  <si>
    <t>DPCR 4</t>
  </si>
  <si>
    <t>DPCR 5</t>
  </si>
  <si>
    <t>DPCR4</t>
  </si>
  <si>
    <t>DPCR5</t>
  </si>
  <si>
    <t>2010/11</t>
  </si>
  <si>
    <t>Underground Cables</t>
  </si>
  <si>
    <t>Submarine</t>
  </si>
  <si>
    <t>Environment</t>
  </si>
  <si>
    <t>Visual Amenity</t>
  </si>
  <si>
    <t>ESQCR</t>
  </si>
  <si>
    <t>Resilience</t>
  </si>
  <si>
    <t>Operational IT &amp; Telecoms - BT 21CN</t>
  </si>
  <si>
    <t>Actuals</t>
  </si>
  <si>
    <t>Forecast</t>
  </si>
  <si>
    <t>% change</t>
  </si>
  <si>
    <t>Overhead mains</t>
  </si>
  <si>
    <t>Underground mains</t>
  </si>
  <si>
    <t>Take these data from the February 2005 Ofgem document (link below), not the November 2004 final proposals.</t>
  </si>
  <si>
    <t>Ex-gratia compensation payments</t>
  </si>
  <si>
    <t>Bad debt expense (net of recoveries)</t>
  </si>
  <si>
    <t>IT Non-operational Capital Expenditure</t>
  </si>
  <si>
    <t>Total Non-load related (other non-fault)</t>
  </si>
  <si>
    <t>2011/12</t>
  </si>
  <si>
    <t>2012/13</t>
  </si>
  <si>
    <t>2013/14</t>
  </si>
  <si>
    <t>2014/15</t>
  </si>
  <si>
    <t>Customer contributions - customer specific demand investment</t>
  </si>
  <si>
    <t>Customer contributions (directs) for connections at LV</t>
  </si>
  <si>
    <t xml:space="preserve">Shared </t>
  </si>
  <si>
    <t>Operational IT &amp; Telecoms - other</t>
  </si>
  <si>
    <t>Non - rechargeable diversions</t>
  </si>
  <si>
    <t>Transmission exit charges</t>
  </si>
  <si>
    <t>Wheeled units imported</t>
  </si>
  <si>
    <t>Network rates</t>
  </si>
  <si>
    <t>Costs inside scope of DPCR4 allowances</t>
  </si>
  <si>
    <t>Present value of opening / closing RAV</t>
  </si>
  <si>
    <t>Operating costs (excluding pensions)</t>
  </si>
  <si>
    <t>Capital expenditure (excluding pensions)</t>
  </si>
  <si>
    <t>Pensions allowance</t>
  </si>
  <si>
    <t>Capex incentive scheme</t>
  </si>
  <si>
    <t>Sliding scale additional income</t>
  </si>
  <si>
    <t>ANALYSIS OF ASSET DISPOSALS</t>
  </si>
  <si>
    <t>Non-activity based costs (excluded from Table 2.2)(enter as positive)</t>
  </si>
  <si>
    <t>£'m</t>
  </si>
  <si>
    <t>Pass through Costs</t>
  </si>
  <si>
    <t>Customer Specific Reinforcement - Non Chargeable</t>
  </si>
  <si>
    <t>General Reinforcement</t>
  </si>
  <si>
    <t>DNO LV Main usage</t>
  </si>
  <si>
    <t>For Future years</t>
  </si>
  <si>
    <t xml:space="preserve">Customer Numbers </t>
  </si>
  <si>
    <t>Millions</t>
  </si>
  <si>
    <t>Total CIs (Excluding EE)</t>
  </si>
  <si>
    <t>CIs</t>
  </si>
  <si>
    <t>June Forecast Business Plan DPCR5</t>
  </si>
  <si>
    <t>EDFE SPN</t>
  </si>
  <si>
    <t>Distribution Circuit Length - Overhead (km)</t>
  </si>
  <si>
    <t>Circuit km</t>
  </si>
  <si>
    <t>Distribution Circuit Length - Underground (km)</t>
  </si>
  <si>
    <t>Distribution Circuit Length - Total (km)</t>
  </si>
  <si>
    <t xml:space="preserve">Number of Substations and Switching Stations </t>
  </si>
  <si>
    <t>No. Subs</t>
  </si>
  <si>
    <t>Miscellaneous costs (included in table 2.2 costs)</t>
  </si>
  <si>
    <t>Additional employer pension contributions (+ve)</t>
  </si>
  <si>
    <t>km</t>
  </si>
  <si>
    <t>Total Undergrounding in National Parks / AONB</t>
  </si>
  <si>
    <t>Opex incentive / Other adjustments</t>
  </si>
  <si>
    <t>Quality award</t>
  </si>
  <si>
    <t>Present value of allowed items</t>
  </si>
  <si>
    <t>TOTAL PRESENT VALUE OVER 5 YEARS</t>
  </si>
  <si>
    <t>Excluded service revenue</t>
  </si>
  <si>
    <t>Present value of total revenue</t>
  </si>
  <si>
    <t>Gross direct costs</t>
  </si>
  <si>
    <t>Customer contributions directs</t>
  </si>
  <si>
    <t>Costs previously agreed with Ofgem in writing for additional security</t>
  </si>
  <si>
    <t>Customer contributions indirects</t>
  </si>
  <si>
    <t>Finance &amp; Regulation</t>
  </si>
  <si>
    <t>Expenditure replacing Pressure Assisted cables</t>
  </si>
  <si>
    <t>Undergrounding in National Parks / AONB - direct costs</t>
  </si>
  <si>
    <t>EHV/132kV</t>
  </si>
  <si>
    <t>Undergrounding in National Parks / AONB - indirect costs</t>
  </si>
  <si>
    <t>NEW AND REPLACEMENT ASSETS (EXCL. FAULTS)</t>
  </si>
  <si>
    <t>5 Year movement in closing RAV</t>
  </si>
  <si>
    <t>2005/6</t>
  </si>
  <si>
    <t>2006/7</t>
  </si>
  <si>
    <t>2007/8</t>
  </si>
  <si>
    <t>2008/9</t>
  </si>
  <si>
    <t>2004/05</t>
  </si>
  <si>
    <t>(£M)</t>
  </si>
  <si>
    <t>(Profit)/loss on sale of fixed assets and scrap[(-ve)/+ve]</t>
  </si>
  <si>
    <t>Statutory Depreciation on operational assets</t>
  </si>
  <si>
    <t>Pension deficit repair payments</t>
  </si>
  <si>
    <t>Total Non-Activity Based Costs</t>
  </si>
  <si>
    <t>OTHER ITEMS adjusting RAV</t>
  </si>
  <si>
    <t>Proceeds of sale of assets and scrap (not recorded on Table 2.2)</t>
  </si>
  <si>
    <t>Cash proceeds received on sale of:</t>
  </si>
  <si>
    <t>Operational assets (-ve)</t>
  </si>
  <si>
    <t>Sales of scrap (-ve)</t>
  </si>
  <si>
    <t>Non-load non-fault new &amp; replacement assets</t>
  </si>
  <si>
    <t>Faults</t>
  </si>
  <si>
    <t>Inspectns &amp; Maint. (exc. Tree Cutting)</t>
  </si>
  <si>
    <t>Tree Cutting</t>
  </si>
  <si>
    <t>Fines and penalties</t>
  </si>
  <si>
    <t>PB power numbers, if available</t>
  </si>
  <si>
    <t>DATA</t>
  </si>
  <si>
    <t>Sum of MEAV of asset classified in voltage tier</t>
  </si>
  <si>
    <t>Customer Call Centre</t>
  </si>
  <si>
    <t>Stores</t>
  </si>
  <si>
    <t>Overhead Mains</t>
  </si>
  <si>
    <t>Underground Mains</t>
  </si>
  <si>
    <t>Switchgear (incl other plant &amp; equipment)</t>
  </si>
  <si>
    <t>Overhead lines</t>
  </si>
  <si>
    <t>http://www.ofgem.gov.uk/Markets/RetMkts/Metrng/Metering/Documents1/9745-5405.pdf</t>
  </si>
  <si>
    <t>Ofgem licence fee</t>
  </si>
  <si>
    <t>Shetland Balancing Costs (SHEPD only)</t>
  </si>
  <si>
    <t>QUALITY OF SERVICE</t>
  </si>
  <si>
    <t>Historical data</t>
  </si>
  <si>
    <t>Telecoms Non-operational Capital Expenditures</t>
  </si>
  <si>
    <t>Total Non-operational New Assets &amp; Replacement</t>
  </si>
  <si>
    <t>Guaranteed standard of performance compensation payments</t>
  </si>
  <si>
    <t>NETWORK ACTIVITY INDICATORS</t>
  </si>
  <si>
    <t>CONNECTIONS</t>
  </si>
  <si>
    <t>Number of new connections</t>
  </si>
  <si>
    <t>EHV (Includes 132kV)</t>
  </si>
  <si>
    <t>No. Connections</t>
  </si>
  <si>
    <t>HV</t>
  </si>
  <si>
    <t>LV</t>
  </si>
  <si>
    <t>DG</t>
  </si>
  <si>
    <t xml:space="preserve">Total Connected Distributed Generation </t>
  </si>
  <si>
    <t>132kV</t>
  </si>
  <si>
    <t>MW</t>
  </si>
  <si>
    <t>EHV</t>
  </si>
  <si>
    <t>Total</t>
  </si>
  <si>
    <t>DEMANDS</t>
  </si>
  <si>
    <t>ALLOWED ITEMS</t>
  </si>
  <si>
    <t xml:space="preserve">LV Services - Split of activities </t>
  </si>
  <si>
    <t>LV Services - metered only</t>
  </si>
  <si>
    <t>OHL</t>
  </si>
  <si>
    <t>Service Replacement</t>
  </si>
  <si>
    <t>Cut out Replacement</t>
  </si>
  <si>
    <t>UG</t>
  </si>
  <si>
    <t>LR1a - Demand - metered connections</t>
  </si>
  <si>
    <t>Demand Totals - Table 1</t>
  </si>
  <si>
    <t>Gross all connections costs</t>
  </si>
  <si>
    <t>Gross direct connections costs subject to apportionment rule</t>
  </si>
  <si>
    <t>Customer contributions excluding margins</t>
  </si>
  <si>
    <t>Net (gross directs subject to apportionment rule - customer contributions directs)</t>
  </si>
  <si>
    <t>DUOS funded related party margin</t>
  </si>
  <si>
    <t>Net (gross directs subject to apportionment rule - customer contributions directs + DUOS funded related party margin)</t>
  </si>
  <si>
    <t>Pensions with total gross direct connections costs</t>
  </si>
  <si>
    <t>Pensions with direct connections costs subject to apportionment rule</t>
  </si>
  <si>
    <t>Connections expenditure recovered via DUoS - Table 2</t>
  </si>
  <si>
    <t>Connections expenditure recovered via DUoS</t>
  </si>
  <si>
    <t>Small scale LV domestic and one-off commercial</t>
  </si>
  <si>
    <t>All other LV (with only LV work)</t>
  </si>
  <si>
    <t>LV end connections involving HV work</t>
  </si>
  <si>
    <t>HV end connections involving only HV work</t>
  </si>
  <si>
    <t>HV end connections involving EHV work</t>
  </si>
  <si>
    <t>EHV end connections involving only EHV work</t>
  </si>
  <si>
    <t xml:space="preserve"> HV or EHV connections involving 132kV work</t>
  </si>
  <si>
    <t>132kV end connections involving only 132kV work</t>
  </si>
  <si>
    <t>Metered connections volume - Table 3</t>
  </si>
  <si>
    <t>Metered connections</t>
  </si>
  <si>
    <t>Estimated number demand connections at LV</t>
  </si>
  <si>
    <t>Adopted connections</t>
  </si>
  <si>
    <t>Small scale LV domestic and one-off commercial connections</t>
  </si>
  <si>
    <t>All other LV connections (with only LV work)</t>
  </si>
  <si>
    <t>DNO total LV</t>
  </si>
  <si>
    <t>Estimated number demand connections at HV</t>
  </si>
  <si>
    <t>DNO total HV</t>
  </si>
  <si>
    <t>Estimated number demand connections at EHV</t>
  </si>
  <si>
    <t>DNO total EHV</t>
  </si>
  <si>
    <t>Estimated number demand connections at 132kV</t>
  </si>
  <si>
    <t>DNO total 132kV</t>
  </si>
  <si>
    <t>Metered connections volume - Sole use connections where there is no associated expenditure subject to the apportionment rule - Table 4</t>
  </si>
  <si>
    <t>Estimated number demand connections with HV work</t>
  </si>
  <si>
    <t>Estimated number demand connections with EHV work</t>
  </si>
  <si>
    <t>Estimated number demand connections with 132kV work</t>
  </si>
  <si>
    <t>Metered connections volume - Connections where there is associated expenditure subject to the apportionment rule - Table 5</t>
  </si>
  <si>
    <t>Customer specific demand investment - Sole use expenditure where there is no associated expenditure subject to the apportionment rule - Table 6</t>
  </si>
  <si>
    <t>Ratio - small scale LV domestic and one-off commercial - non-contestable</t>
  </si>
  <si>
    <t>%</t>
  </si>
  <si>
    <t>Ratio - small scale LV domestic and one-off commercial - contestable</t>
  </si>
  <si>
    <t>Ratio - all other LV (with only LV work) - non-contestable</t>
  </si>
  <si>
    <t>Ratio - all other LV (with only LV work) - contestable</t>
  </si>
  <si>
    <t>Connections with HV work</t>
  </si>
  <si>
    <t>Ratio - LV end connections involving HV work - non-contestable</t>
  </si>
  <si>
    <t>Ratio - LV end connections involving HV work - contestable</t>
  </si>
  <si>
    <t>Ratio - HV end connections involving only HV work - non-contestable</t>
  </si>
  <si>
    <t>Ratio - HV end connections involving only HV work - contestable</t>
  </si>
  <si>
    <t>Connections with EHV work</t>
  </si>
  <si>
    <t>Ratio - HV end connections involving EHV work - non-contestable</t>
  </si>
  <si>
    <t>Ratio - HV end connections involving EHV work - contestable</t>
  </si>
  <si>
    <t>Ratio - EHV end connections involving only EHV work - non-contestable</t>
  </si>
  <si>
    <t>Ratio - EHV end connections involving only EHV work - contestable</t>
  </si>
  <si>
    <t>Connections with 132kV work</t>
  </si>
  <si>
    <t>Ratio - HV or EHV connections involving 132kV work - non-contestable</t>
  </si>
  <si>
    <t>Ratio - HV or EHV connections involving 132kV work - contestable</t>
  </si>
  <si>
    <t>Ratio - 132kV end connections involving only 132kV work - non-contestable</t>
  </si>
  <si>
    <t>Ratio - 132kV end connections involving only 132kV work - contestable</t>
  </si>
  <si>
    <t>Total sole use expenditure where there is no expenditure subject to the apportionment rule</t>
  </si>
  <si>
    <t>Customer specific demand investment - sole use expenditure where there is also associated expenditure subject to the apportionment rule - Table 7</t>
  </si>
  <si>
    <t>Total sole use expenditure where there is also expenditure subject to the apportionment rule</t>
  </si>
  <si>
    <t>Customer specific demand investment - all expenditure subject to the apportionment rule - Table 8</t>
  </si>
  <si>
    <t>Total connections expenditure subject to the apportionment rule</t>
  </si>
  <si>
    <t>Customer contributions - customer specific demand investment - contributions associated with apportionment rule - Table 9</t>
  </si>
  <si>
    <t>Customer contributions (directs) for connections with HV work</t>
  </si>
  <si>
    <t>Customer contributions (directs) for connections with EHV work</t>
  </si>
  <si>
    <t>Customer contributions (directs) for connections with 132kV work</t>
  </si>
  <si>
    <t>Total customer contributions associated with apportionment rule</t>
  </si>
  <si>
    <t>Connections spend minus customer contributions (from FBPQ LR1 v5 opt3)</t>
  </si>
  <si>
    <t>Other Costs from full activitty cost allocation</t>
  </si>
  <si>
    <t>Total activity cost - from RRP 1.3</t>
  </si>
  <si>
    <t>Unallocated costs = Total - costs allocated to network tiers</t>
  </si>
  <si>
    <t>Legacy Basic Meter Asset Provision Revenue</t>
  </si>
  <si>
    <t>DNO HV Main usage</t>
  </si>
  <si>
    <t>Step 1 - extract total activity costs from cost report</t>
  </si>
  <si>
    <t>Step 6.   Adjust costs so that they are aligned with the definition of opex in the allowed price control revenues</t>
  </si>
  <si>
    <t>Operating costs (excl pensions)</t>
  </si>
  <si>
    <t>Capital elements</t>
  </si>
  <si>
    <t>Capex (excl pensions)</t>
  </si>
  <si>
    <t>Pensions</t>
  </si>
  <si>
    <t>Tax allowance</t>
  </si>
  <si>
    <t>Capital incentive</t>
  </si>
  <si>
    <t>Capex incentive</t>
  </si>
  <si>
    <t>Sliding scale</t>
  </si>
  <si>
    <t>Sliding scale addn income</t>
  </si>
  <si>
    <t>p/kWh</t>
  </si>
  <si>
    <t>Return</t>
  </si>
  <si>
    <t xml:space="preserve">% by network tier </t>
  </si>
  <si>
    <t>NL1 + NL9</t>
  </si>
  <si>
    <t xml:space="preserve">The individual activities are defined in the Electricity Distribution Price Control Review Price control cost reporting rules: Instructions and Guidance April 2008 </t>
  </si>
  <si>
    <t>Network Generation Revenue (RGt)</t>
  </si>
  <si>
    <t>Metering Revenue</t>
  </si>
  <si>
    <t>PV of total revenue</t>
  </si>
  <si>
    <t>No discount</t>
  </si>
  <si>
    <t>LDNO LV: LV user</t>
  </si>
  <si>
    <t>LDNO HV: LV user</t>
  </si>
  <si>
    <t>LDNO HV: LV sub user</t>
  </si>
  <si>
    <t>LDNO HV: HV user</t>
  </si>
  <si>
    <t>LDNO discount</t>
  </si>
  <si>
    <t>% Cost capitalised (from DCPR settlement - same for all DNOs)</t>
  </si>
  <si>
    <t>Total indirect</t>
  </si>
  <si>
    <t>% indirect</t>
  </si>
  <si>
    <t>Inspections, &amp; Maintenance</t>
  </si>
  <si>
    <t>Excluded services revenue</t>
  </si>
  <si>
    <t>Total revenue</t>
  </si>
  <si>
    <t>Unapportioned part of shared HV</t>
  </si>
  <si>
    <t>Closing asset value</t>
  </si>
  <si>
    <t>Quality Reward</t>
  </si>
  <si>
    <t>Present value of opening/closing RAV</t>
  </si>
  <si>
    <t>DPCR3 costs</t>
  </si>
  <si>
    <t>5 year movement in closing RAV</t>
  </si>
  <si>
    <t>Total revenue to share</t>
  </si>
  <si>
    <t>Total Opex</t>
  </si>
  <si>
    <t>Non-activity costs include Ofgem licence fee, Shetland Balancing Costs (SHEPD only), Scottish Electricity Settlements run-off (Scottish DNOs only) and proceeds of asset sales; and reconciling amounts, e.g. intra-group recharges treated as de minimis costs</t>
  </si>
  <si>
    <t>Excluded Services and Revenue Outside of Price Control</t>
  </si>
  <si>
    <t>Excluded Services</t>
  </si>
  <si>
    <t>Revenue Outside of Price Control</t>
  </si>
  <si>
    <t>MEAV  - LV, LV/HV, HV, EHV, 132kV split</t>
  </si>
  <si>
    <t>LV/HV</t>
  </si>
  <si>
    <t>FBPQ capex - see "Calc Net capex"</t>
  </si>
  <si>
    <t>FBPQ capex - see "Calc MEAV"</t>
  </si>
  <si>
    <t>Basic Meter Operation Revenue</t>
  </si>
  <si>
    <t>Net Movement on Revenue Provisions</t>
  </si>
  <si>
    <t>Over/Under Recovery</t>
  </si>
  <si>
    <t>Allowed Network Generation Revenue (AGt)</t>
  </si>
  <si>
    <t>Incentivised Generation (IGt)</t>
  </si>
  <si>
    <t>Registered Power Zones (RPZt)</t>
  </si>
  <si>
    <t>Correction Factor (KGt)</t>
  </si>
  <si>
    <t>Quality reward/Opex incentive &amp; Other Adjustments</t>
  </si>
  <si>
    <t>Not to be split</t>
  </si>
  <si>
    <t>PV of excluded service revenue</t>
  </si>
  <si>
    <t>Total Net Capex 2005/06 -2014/15 LV, LV/HV, HV, EHV, 132kV split</t>
  </si>
  <si>
    <t>EHV Sub Cable</t>
  </si>
  <si>
    <t>33 KV CB (ID)</t>
  </si>
  <si>
    <t>33 kV CB (OD)</t>
  </si>
  <si>
    <t>33 kV Switch (GM)</t>
  </si>
  <si>
    <t>33 kV Switch (PM)</t>
  </si>
  <si>
    <t>33 kV RMU</t>
  </si>
  <si>
    <t>33 kV Switchgear - Other</t>
  </si>
  <si>
    <t>66 KV CB (ID &amp; OD)</t>
  </si>
  <si>
    <t>66 KV Switchgear - Other</t>
  </si>
  <si>
    <t>33 kV Transformer (PM)</t>
  </si>
  <si>
    <t>33 kV Transformer (GM)</t>
  </si>
  <si>
    <t>33 kV AuxiliaryTransfomer</t>
  </si>
  <si>
    <t>(from FBPQ LR6)</t>
  </si>
  <si>
    <t>Replacement Capex 2005/06 -2014/15 (£m)</t>
  </si>
  <si>
    <t xml:space="preserve"> (from FBPQ NL1)</t>
  </si>
  <si>
    <t>% of Total</t>
  </si>
  <si>
    <t>Net Capex</t>
  </si>
  <si>
    <t>Opex only on p/kWh throughput</t>
  </si>
  <si>
    <t>HV/LV</t>
  </si>
  <si>
    <t>Cash typical costs (excluding disallowed related party margins)</t>
  </si>
  <si>
    <t>Memorandum Information - Scottish DNOs 132kV</t>
  </si>
  <si>
    <t>NET CAPEX SPLIT FROM "CALC -NET CAPEX" SHEET</t>
  </si>
  <si>
    <t>Electricity Distribution Industry Activity Costs - individual DNO input</t>
  </si>
  <si>
    <t>Pension deficit payments made by a related party and not charged in the regulatory accounts of the DNO</t>
  </si>
  <si>
    <t>Total Annual Operating &amp; Capital Expenditure per Regulatory Accounts has been adjusted, where appropriate, to include intangible fixed assets and customer contributions, the latter may be reported within Creditors as deferred income</t>
  </si>
  <si>
    <t>This information has not been audited.</t>
  </si>
  <si>
    <t>33kV UG Cable (Non Pressurised)</t>
  </si>
  <si>
    <t>33kV UG Cable (Oil)</t>
  </si>
  <si>
    <t>33kV UG Cable (Gas)</t>
  </si>
  <si>
    <t>Cost drivers - lookup from "Calc-Drivers"</t>
  </si>
  <si>
    <t>Proportion of cost allocated to each network tier</t>
  </si>
  <si>
    <t>LV only</t>
  </si>
  <si>
    <t>HV only</t>
  </si>
  <si>
    <t>Net (gross directs - customer contributions directs and indirects)</t>
  </si>
  <si>
    <t>Demand trends</t>
  </si>
  <si>
    <t>Estimated system maximum demand</t>
  </si>
  <si>
    <t>Insert name of cost driver</t>
  </si>
  <si>
    <t>Increase (reduction) in units distributed</t>
  </si>
  <si>
    <t>66kV UG Cable (Oil)</t>
  </si>
  <si>
    <t>66kV UG Cable (Gas)</t>
  </si>
  <si>
    <t>Estimated units distributed</t>
  </si>
  <si>
    <t>PV of allowed items</t>
  </si>
  <si>
    <t>Allocation of allowed revenue to:-</t>
  </si>
  <si>
    <t>TOTAL PV OVER 5 YEARS</t>
  </si>
  <si>
    <t>All LV Tariffs</t>
  </si>
  <si>
    <t>HV Tariffs</t>
  </si>
  <si>
    <t>EHV Tariffs</t>
  </si>
  <si>
    <t>Revenue index</t>
  </si>
  <si>
    <t>Discounted revenue index</t>
  </si>
  <si>
    <t>Price control revenue</t>
  </si>
  <si>
    <t>Depreciation</t>
  </si>
  <si>
    <t>132kV Fittings (Tower Line)</t>
  </si>
  <si>
    <t>Connections/disconnections volume</t>
  </si>
  <si>
    <t>Connections/Disconnections</t>
  </si>
  <si>
    <t>Direct cost %</t>
  </si>
  <si>
    <t>Is DNO Unit cost if avaliable, otherwise PB power unit cost</t>
  </si>
  <si>
    <t>(Profit) / Loss on Disposal</t>
  </si>
  <si>
    <t>Weighted Average</t>
  </si>
  <si>
    <t>Unallocated</t>
  </si>
  <si>
    <t>Incentive revenue</t>
  </si>
  <si>
    <t>Excluded</t>
  </si>
  <si>
    <t>I) DPCR3 type presentation</t>
  </si>
  <si>
    <t>ii) DPCR4 type presentation</t>
  </si>
  <si>
    <t>Total allowed income</t>
  </si>
  <si>
    <t>Customer contributions (directs) total</t>
  </si>
  <si>
    <t>Customer contributions (indirects)</t>
  </si>
  <si>
    <t>Customer contributions total</t>
  </si>
  <si>
    <t>Allowed pass through items</t>
  </si>
  <si>
    <t>MEAV (£)</t>
  </si>
  <si>
    <t>Units (kWh) flowing through each level, loss-adjusted to LV</t>
  </si>
  <si>
    <t>Drivers - LV, LV/HV, HV, EHV split</t>
  </si>
  <si>
    <t>No. of switchboards @ &gt;95% of F.L.</t>
  </si>
  <si>
    <t>LV Network</t>
  </si>
  <si>
    <t>LV Main (OHL)</t>
  </si>
  <si>
    <t>LV Service (OHL)</t>
  </si>
  <si>
    <t>Total capital</t>
  </si>
  <si>
    <t>Total capital ex depreciation</t>
  </si>
  <si>
    <t>Non-load new &amp; replacement assets (net of contributions)</t>
  </si>
  <si>
    <t>Non-operational capex</t>
  </si>
  <si>
    <t>Indirect activities</t>
  </si>
  <si>
    <t>Do not allocate</t>
  </si>
  <si>
    <t>CEO etc</t>
  </si>
  <si>
    <t>Atypical cash costs</t>
  </si>
  <si>
    <t>Pension deficit payments</t>
  </si>
  <si>
    <t>As at 31st March 2015</t>
  </si>
  <si>
    <t>Network Length</t>
  </si>
  <si>
    <t>Source</t>
  </si>
  <si>
    <t>RRP table 5.1</t>
  </si>
  <si>
    <t>Notes</t>
  </si>
  <si>
    <t>N/A</t>
  </si>
  <si>
    <t>Assumption</t>
  </si>
  <si>
    <t>MEAV</t>
  </si>
  <si>
    <t>C2 - Unit costs</t>
  </si>
  <si>
    <t>No. of schemes</t>
  </si>
  <si>
    <t>Switchboards</t>
  </si>
  <si>
    <t>Opex and transmission exit charges</t>
  </si>
  <si>
    <t>Total direct+other</t>
  </si>
  <si>
    <t>Total inc. exp on DSM to avoid customer spec investment (net of cust cont)</t>
  </si>
  <si>
    <t>Unapportioned part of shared LV</t>
  </si>
  <si>
    <t>LR6 - Fault levels</t>
  </si>
  <si>
    <t>Fault level system measures</t>
  </si>
  <si>
    <t>As at 31st March 2010</t>
  </si>
  <si>
    <t>Unapportioned part of shared EHV</t>
  </si>
  <si>
    <t>Unapportioned part of shared 132kV</t>
  </si>
  <si>
    <t>132 kV</t>
  </si>
  <si>
    <t>(from FBPQ LR4)</t>
  </si>
  <si>
    <t xml:space="preserve">Step 2. Allocate price control revenues to network tiers </t>
  </si>
  <si>
    <t>2007/08 allowed revenue source from page "summary allowed revenue"</t>
  </si>
  <si>
    <t>20 kV CB (GM)</t>
  </si>
  <si>
    <t>20 kV Switch (PM)</t>
  </si>
  <si>
    <t>20 kV Switch (GM)</t>
  </si>
  <si>
    <t>Year ended</t>
  </si>
  <si>
    <t>Health &amp; Safety &amp; Operational Training</t>
  </si>
  <si>
    <t>20 kV RMU</t>
  </si>
  <si>
    <t>31 March 2008</t>
  </si>
  <si>
    <t>Adjustments on T4.3</t>
  </si>
  <si>
    <t>31 March 2007</t>
  </si>
  <si>
    <t>31 March 2006</t>
  </si>
  <si>
    <t>20 kV Switchgear - Other (GM)</t>
  </si>
  <si>
    <t xml:space="preserve">Transformers  </t>
  </si>
  <si>
    <t>6.6/11 kV Transformer (PM)</t>
  </si>
  <si>
    <t>6.6/11 kV Transformer (GM)</t>
  </si>
  <si>
    <t>20 kV Transformer (PM)</t>
  </si>
  <si>
    <t>20 kV Transformer (GM)</t>
  </si>
  <si>
    <t>Opex</t>
  </si>
  <si>
    <t>Capex</t>
  </si>
  <si>
    <t>Estimated number demand connections/disconnections at LV</t>
  </si>
  <si>
    <t>IDNO connections</t>
  </si>
  <si>
    <t>#</t>
  </si>
  <si>
    <t>Connections (excluding IDNOs)</t>
  </si>
  <si>
    <t>THESE % ARE USED TO ALLOCATE PRICE CONTROL OPEX</t>
  </si>
  <si>
    <t>Pass through Items (PTt)</t>
  </si>
  <si>
    <t>Incentive Revenue (Ipt)</t>
  </si>
  <si>
    <t>Correction Factor (KDt)</t>
  </si>
  <si>
    <t>Allowed Demand Revenue (Adt)</t>
  </si>
  <si>
    <t>Regulated Demand Revenue (RDt)</t>
  </si>
  <si>
    <t>Base Demand Revenue  (BRt)</t>
  </si>
  <si>
    <t>EHV Network</t>
  </si>
  <si>
    <t>33kV OHL (Pole Line)</t>
  </si>
  <si>
    <t>33kV OHL (Tower Line)</t>
  </si>
  <si>
    <t>66kV OHL (Pole Line)</t>
  </si>
  <si>
    <t>66kV OHL (Tower Line)</t>
  </si>
  <si>
    <t>33kV Pole</t>
  </si>
  <si>
    <t>33kV Tower</t>
  </si>
  <si>
    <t>66kV Pole</t>
  </si>
  <si>
    <t>66kV Tower</t>
  </si>
  <si>
    <t>103. Units distributed (GWh) from RRP table 5.1</t>
  </si>
  <si>
    <t>Units distributed (GWh) from RRP table 5.1</t>
  </si>
  <si>
    <t>Units distributed at LV</t>
  </si>
  <si>
    <t>Units distributed at HV</t>
  </si>
  <si>
    <t>66kV UG Cable (Non Pressurised)</t>
  </si>
  <si>
    <t>Summary of Revenue</t>
  </si>
  <si>
    <t>Allowed Demand Revenue (ADt)</t>
  </si>
  <si>
    <t>Closing Balance DPCR4</t>
  </si>
  <si>
    <t>LRE</t>
  </si>
  <si>
    <t>NLRE</t>
  </si>
  <si>
    <t>General reinforcement outputs</t>
  </si>
  <si>
    <t>Changes in general utilisation due to projected expenditure levels</t>
  </si>
  <si>
    <t>At 31st March 2010</t>
  </si>
  <si>
    <t>At 31st March 2015</t>
  </si>
  <si>
    <t>132kV-EHV</t>
  </si>
  <si>
    <t>132kV - HV</t>
  </si>
  <si>
    <t>EHV - EHV</t>
  </si>
  <si>
    <t>EHV - HV</t>
  </si>
  <si>
    <t>Total number substations (operated by DNO)</t>
  </si>
  <si>
    <t>Σ substation maximum demands</t>
  </si>
  <si>
    <t xml:space="preserve">Σ substation firm capacities </t>
  </si>
  <si>
    <t xml:space="preserve">Σ substation maximum demands / Σ substation firm capacities </t>
  </si>
  <si>
    <t>Changes in utilisation of highly loaded substations due to projected expenditure levels</t>
  </si>
  <si>
    <t>Number of substations loaded &gt;=80% of firm capacity</t>
  </si>
  <si>
    <t>Σ substation maximum demands for substations loaded &gt;=80% of firm capacity</t>
  </si>
  <si>
    <t>Σ substation firm capacities for substations loaded &gt;=80% of firm capacity</t>
  </si>
  <si>
    <t xml:space="preserve">% Loading of substations which are operating at &gt;=80% of firm capacity  = Σ demand /Σ firm capacity </t>
  </si>
  <si>
    <t>Number of substations loaded above 100% of firm capacity</t>
  </si>
  <si>
    <t>Number of DNO substations requiring reinforcement within 5 yrs</t>
  </si>
  <si>
    <t>DPCR4 Expenditure</t>
  </si>
  <si>
    <t>DPCR5 Expenditure</t>
  </si>
  <si>
    <t>Utilisation</t>
  </si>
  <si>
    <t>(N-2) scheme?</t>
  </si>
  <si>
    <t>Primary Voltage</t>
  </si>
  <si>
    <t>Secondary Voltage</t>
  </si>
  <si>
    <t>Limiting 
Factor</t>
  </si>
  <si>
    <t>Forecast year in which substation demand will reach substation/group firm capacity</t>
  </si>
  <si>
    <t>Planned reinforcement Year</t>
  </si>
  <si>
    <t>Historic and forecast max demand (MVA)</t>
  </si>
  <si>
    <t>Substation/Group Total
Capability</t>
  </si>
  <si>
    <t>Substation/group firm capacity under single circuit outage conditions</t>
  </si>
  <si>
    <t>Substation/Group Maximum Demand</t>
  </si>
  <si>
    <t>Season of critical loading condition</t>
  </si>
  <si>
    <t>Season</t>
  </si>
  <si>
    <t>(Y/N)</t>
  </si>
  <si>
    <t>Overhead lines - Conductor</t>
  </si>
  <si>
    <t>Sum of direct and indriect replacement unit cost from FBPQ C2</t>
  </si>
  <si>
    <t>Incremental increase in max demand due to new connections</t>
  </si>
  <si>
    <t>Incremental reduction in max demand due to disconnections</t>
  </si>
  <si>
    <t>Total units distributed</t>
  </si>
  <si>
    <t>Increase (reduction) in max demand</t>
  </si>
  <si>
    <t>Net change in max demand (not due to connections/disconnections)</t>
  </si>
  <si>
    <t>Units distributed offset by DSM</t>
  </si>
  <si>
    <t xml:space="preserve">Price impact on units distributed </t>
  </si>
  <si>
    <t xml:space="preserve">Economic downturn effect on units distributed </t>
  </si>
  <si>
    <t>EHV (inc. 132kV)</t>
  </si>
  <si>
    <t>66 kV Transformer</t>
  </si>
  <si>
    <t>66 kV AuxiliaryTransfomer</t>
  </si>
  <si>
    <t>132kV Network</t>
  </si>
  <si>
    <t>132kV OHL Conductor (Pole Line)</t>
  </si>
  <si>
    <t>132kV OHL Conductor (Tower Line)</t>
  </si>
  <si>
    <t>132kV Pole</t>
  </si>
  <si>
    <t>132kV Tower</t>
  </si>
  <si>
    <t>Opening asset value</t>
  </si>
  <si>
    <t>Allowed revenue</t>
  </si>
  <si>
    <t>Total capex</t>
  </si>
  <si>
    <t>Customer contributions (directs) for connections at 132kV</t>
  </si>
  <si>
    <t>Total Net Non-load replacement (Direct Costs)</t>
  </si>
  <si>
    <t xml:space="preserve">          Non-operational </t>
  </si>
  <si>
    <t>Owned by DNO</t>
  </si>
  <si>
    <t>Owned by related party</t>
  </si>
  <si>
    <t>Plant &amp; Machinery</t>
  </si>
  <si>
    <t>Small Tools &amp; Equipment</t>
  </si>
  <si>
    <t>Office Equipment</t>
  </si>
  <si>
    <t>No. of switchboards having fault level 'operational restrictions'</t>
  </si>
  <si>
    <t>Number of fault level schemes</t>
  </si>
  <si>
    <t>Switchgear, Transformers, Substation</t>
  </si>
  <si>
    <t>Underground - Pressure assisted</t>
  </si>
  <si>
    <t>Underground - Non Pressure assisted</t>
  </si>
  <si>
    <t>Submarine cables - all voltages</t>
  </si>
  <si>
    <t>Check</t>
  </si>
  <si>
    <t>Total proactive condition based replacement (£m)</t>
  </si>
  <si>
    <t>Reactive condition-based replacement (fault)</t>
  </si>
  <si>
    <t>Total reactive condition based replacement (£m)</t>
  </si>
  <si>
    <t>Overhead line refurbishment / replacement</t>
  </si>
  <si>
    <t>2014/015</t>
  </si>
  <si>
    <t>LV Mains</t>
  </si>
  <si>
    <t>Refurbishment</t>
  </si>
  <si>
    <t>Full rebuild</t>
  </si>
  <si>
    <t>Undergrounding</t>
  </si>
  <si>
    <t>Covered Conductor</t>
  </si>
  <si>
    <t>Pole replacement only (i.e. D poles)</t>
  </si>
  <si>
    <t>Connections Capex 2005/06 -2014/15 (£m)</t>
  </si>
  <si>
    <t>132 kV Total</t>
  </si>
  <si>
    <t>Expenditure on DSM to avoid gen reinf.</t>
  </si>
  <si>
    <t>LV Main (UG Plastic)</t>
  </si>
  <si>
    <t>LV Main (UG Paper)</t>
  </si>
  <si>
    <t>LV Service (UG)</t>
  </si>
  <si>
    <t xml:space="preserve">Switchgear </t>
  </si>
  <si>
    <t>LV Pillar (ID)</t>
  </si>
  <si>
    <t>LV Pillar (OD)</t>
  </si>
  <si>
    <t>Load related new connections &amp; reinforcement (net of contributions)</t>
  </si>
  <si>
    <t>Asset categories</t>
  </si>
  <si>
    <t xml:space="preserve">New build </t>
  </si>
  <si>
    <t>Replacement</t>
  </si>
  <si>
    <t>Direct costs</t>
  </si>
  <si>
    <t>Transmission Exit Charges</t>
  </si>
  <si>
    <t>EHV only</t>
  </si>
  <si>
    <t>Pension deficit repair payments by related parties (note 2)</t>
  </si>
  <si>
    <t>Non activity costs and reconciling amounts (note 3)</t>
  </si>
  <si>
    <t>20 kV OHL (Covered)</t>
  </si>
  <si>
    <t>Hence DPCR4 revenue made up of</t>
  </si>
  <si>
    <t>Transformers</t>
  </si>
  <si>
    <t>Other</t>
  </si>
  <si>
    <t>Fault level reinforcement</t>
  </si>
  <si>
    <t>Cost including indirects (absorbed costs in T2A)</t>
  </si>
  <si>
    <t>(£k)</t>
  </si>
  <si>
    <t>Direct activities</t>
  </si>
  <si>
    <t>Total allowed items</t>
  </si>
  <si>
    <t>Income</t>
  </si>
  <si>
    <t>Total Annual Operating &amp; Capital Expenditure per Regulatory Accounts</t>
  </si>
  <si>
    <t>Direct activities - From RRP 2.2 Detailed Cost Matrix</t>
  </si>
  <si>
    <t>Step 1. Format price control allowed revenue data</t>
  </si>
  <si>
    <t>20 kV CB (PM)</t>
  </si>
  <si>
    <t>IT &amp; Telecoms</t>
  </si>
  <si>
    <t>Pension administration costs (reported in HR &amp; Non-op training)</t>
  </si>
  <si>
    <t>20 kV Switchgear - Other (PM)</t>
  </si>
  <si>
    <t>Net (gross directs - customer contributions directs)</t>
  </si>
  <si>
    <t>Increase in units distributed due to generic background demand growth</t>
  </si>
  <si>
    <t xml:space="preserve">Reduction in units distributed due to energy efficiency </t>
  </si>
  <si>
    <t>Units distributed offset by DG</t>
  </si>
  <si>
    <t>New Connections &amp; Customer Specific Reinforcement:</t>
  </si>
  <si>
    <t>Connections provided at LV</t>
  </si>
  <si>
    <t>Connections provided at HV</t>
  </si>
  <si>
    <t>132kV UG Cable (Gas)</t>
  </si>
  <si>
    <t>132 kV Sub Cable</t>
  </si>
  <si>
    <t>132 kV CB (ID &amp; OD)</t>
  </si>
  <si>
    <t>132 kV Switchgear (other)</t>
  </si>
  <si>
    <t>132 kV Transformer</t>
  </si>
  <si>
    <t>132 kV AuxiliaryTransfomer</t>
  </si>
  <si>
    <t>Total all network tiers</t>
  </si>
  <si>
    <t>Total by network tiers</t>
  </si>
  <si>
    <t xml:space="preserve">% </t>
  </si>
  <si>
    <t>Estimated number demand connections/disconnections at HV</t>
  </si>
  <si>
    <t>Tele-control / SCADA</t>
  </si>
  <si>
    <t>Primary substation</t>
  </si>
  <si>
    <t>132 kV/EHV RTU (PM)</t>
  </si>
  <si>
    <t>Allocation of "Unallocated" costs by cost driver to network tiers</t>
  </si>
  <si>
    <t>HV RTU (PM)</t>
  </si>
  <si>
    <t>HV RTU (GM)</t>
  </si>
  <si>
    <t>HV network switchgear</t>
  </si>
  <si>
    <t>Primary</t>
  </si>
  <si>
    <t>Distribution</t>
  </si>
  <si>
    <t>T4 - Volume Summary</t>
  </si>
  <si>
    <t>Total Asset Register Movement</t>
  </si>
  <si>
    <t>Opening Balance DCPR4</t>
  </si>
  <si>
    <t>Units distributed at EHV+</t>
  </si>
  <si>
    <t>104. Estimated line loss adjustment factors relative to LV</t>
  </si>
  <si>
    <t>LV services</t>
  </si>
  <si>
    <t>Assets Installed</t>
  </si>
  <si>
    <t>Closing Balance</t>
  </si>
  <si>
    <t>132kV total</t>
  </si>
  <si>
    <t>Expenditure on DSM to avoid customer spec investment</t>
  </si>
  <si>
    <t>Total inc. expenditure on DSM to avoid customer spec investment</t>
  </si>
  <si>
    <t>Closing DCPR asset Balance (units)</t>
  </si>
  <si>
    <t>Units (GWh) flowing through each level, loss-adjusted to LV</t>
  </si>
  <si>
    <t>Losses</t>
  </si>
  <si>
    <t>Incremental increase in units distributed attributable to new connections</t>
  </si>
  <si>
    <t>MWh</t>
  </si>
  <si>
    <t>Total increase in units distributed due to new connections</t>
  </si>
  <si>
    <t>132kV UG Cable (Oil)</t>
  </si>
  <si>
    <t>132kV UG Cable (Non Pressurised)</t>
  </si>
  <si>
    <t>Costs extracted from RRP Tables</t>
  </si>
  <si>
    <t>MEAV Calculation = Replacement unit cost*FBPQ closing asset balance</t>
  </si>
  <si>
    <t>Unit cost used in MEAV calculation (£)</t>
  </si>
  <si>
    <t>Customer contributions (directs) for connections at EHV</t>
  </si>
  <si>
    <t>Total Non-load related expenditure (direct costs)</t>
  </si>
  <si>
    <t>Non-operational property</t>
  </si>
  <si>
    <t>Total OHL expenditure (£m)</t>
  </si>
  <si>
    <t>EHV - Pole line</t>
  </si>
  <si>
    <t>EHV - Tower line</t>
  </si>
  <si>
    <t>Fittings only</t>
  </si>
  <si>
    <t>Reconductoring</t>
  </si>
  <si>
    <t>Tower Refurbishment</t>
  </si>
  <si>
    <t>EHV Total</t>
  </si>
  <si>
    <t>132kV - Pole Line</t>
  </si>
  <si>
    <t>132kV - Tower line</t>
  </si>
  <si>
    <t>No. of switchboards</t>
  </si>
  <si>
    <t>Vehicles</t>
  </si>
  <si>
    <t>OK</t>
  </si>
  <si>
    <t>Use of System Bad Debts</t>
  </si>
  <si>
    <t>previously allowed</t>
  </si>
  <si>
    <t>Costs incurred (excluding VAT)</t>
  </si>
  <si>
    <t>Receipts/(recoveries)</t>
  </si>
  <si>
    <t>Total Use of System Bad Debts</t>
  </si>
  <si>
    <t>Non-QoS Faults</t>
  </si>
  <si>
    <t>(£m)</t>
  </si>
  <si>
    <t>Fault level reinforcement:</t>
  </si>
  <si>
    <t xml:space="preserve">LV </t>
  </si>
  <si>
    <t xml:space="preserve">EHV </t>
  </si>
  <si>
    <t xml:space="preserve">132kV </t>
  </si>
  <si>
    <t>Total expenditure</t>
  </si>
  <si>
    <t>LR4 - General reinforcement</t>
  </si>
  <si>
    <t>General reinforcement expenditure</t>
  </si>
  <si>
    <t>General reinforcement:</t>
  </si>
  <si>
    <t>Each</t>
  </si>
  <si>
    <t>Overhead lines - Support</t>
  </si>
  <si>
    <t>LV Support</t>
  </si>
  <si>
    <t>Fault costs allocated to Opex and Capex</t>
  </si>
  <si>
    <t>Fault opex</t>
  </si>
  <si>
    <t>Fault capex</t>
  </si>
  <si>
    <t>Total Fault Costs</t>
  </si>
  <si>
    <t>Expenditure avoided due to DG</t>
  </si>
  <si>
    <t>Expenditure avoided due to DSM</t>
  </si>
  <si>
    <t>Load Related New Connections &amp; Reinforcement</t>
  </si>
  <si>
    <t>General reinforcement projects</t>
  </si>
  <si>
    <t>Scheme details</t>
  </si>
  <si>
    <t>Scheme description</t>
  </si>
  <si>
    <t>Named scheme</t>
  </si>
  <si>
    <t>LV Board (WM)</t>
  </si>
  <si>
    <t>LV UGB</t>
  </si>
  <si>
    <t>Relevant distributed generation (less contributions)</t>
  </si>
  <si>
    <t>Disallowed Related Party Margins</t>
  </si>
  <si>
    <t>Statutory Depreciation</t>
  </si>
  <si>
    <t>Network Rates</t>
  </si>
  <si>
    <t>MVA of additional firm capacity to be installed</t>
  </si>
  <si>
    <t>Total cost of project</t>
  </si>
  <si>
    <t>Total cost of project in DPCR5 period</t>
  </si>
  <si>
    <t>6.6/11 kV Support</t>
  </si>
  <si>
    <t>20 kV Support</t>
  </si>
  <si>
    <t>Underground cables (kms)</t>
  </si>
  <si>
    <t>6.6/11kV UG Cable</t>
  </si>
  <si>
    <t>20kV UG Cable</t>
  </si>
  <si>
    <t>Step 2.b. Divide cost by units flowing - effectively adjust the cost because of electricity lost as it flows thorugh the network meaning that there is more cost in the lower tiers</t>
  </si>
  <si>
    <t>LV Main (UG Consac)</t>
  </si>
  <si>
    <t>Metering</t>
  </si>
  <si>
    <t>Excluded services &amp; de minimis</t>
  </si>
  <si>
    <t>Total DPCR4</t>
  </si>
  <si>
    <t>Basis of allocation</t>
  </si>
  <si>
    <t>% used</t>
  </si>
  <si>
    <t>Operating costs</t>
  </si>
  <si>
    <t>Overall Opex split</t>
  </si>
  <si>
    <t>REVENUE</t>
  </si>
  <si>
    <t>6.6/11 kV RMU</t>
  </si>
  <si>
    <t>6.6/11 kV Switchgear - Other (PM)</t>
  </si>
  <si>
    <t>Property Mgt</t>
  </si>
  <si>
    <t>Vehicles &amp; Transport</t>
  </si>
  <si>
    <t>Non Relevant Distributed Generation</t>
  </si>
  <si>
    <t>132kV System</t>
  </si>
  <si>
    <t>Total Direct Costs excluding Reallocations</t>
  </si>
  <si>
    <t xml:space="preserve">Direct Cost Reallocation </t>
  </si>
  <si>
    <t>NL9 - Legal and safety</t>
  </si>
  <si>
    <t>Legal and Safety</t>
  </si>
  <si>
    <t>ESQCR 43-8 Clearance</t>
  </si>
  <si>
    <t>ESQCR tree continuity</t>
  </si>
  <si>
    <t>ESQCR Other</t>
  </si>
  <si>
    <t>CNI</t>
  </si>
  <si>
    <t>Black Start</t>
  </si>
  <si>
    <t>Emergency Batteries</t>
  </si>
  <si>
    <t>Critical National Infrastructure</t>
  </si>
  <si>
    <t>Site Security</t>
  </si>
  <si>
    <t>Asbestos clearance</t>
  </si>
  <si>
    <t>Safety climbing devices</t>
  </si>
  <si>
    <t>Rising mains and laterals</t>
  </si>
  <si>
    <t>Retrofit ABSD &amp; Earthing theft &amp; Replace 0.025 OH conductor</t>
  </si>
  <si>
    <t>Fire Prevention</t>
  </si>
  <si>
    <t>ESQCR 43-8 Safety Clearance Expenditure</t>
  </si>
  <si>
    <t>Horizontal</t>
  </si>
  <si>
    <t>Vertical</t>
  </si>
  <si>
    <t>Horizontal - Detailed Information</t>
  </si>
  <si>
    <t>Sites affected as at April 2005</t>
  </si>
  <si>
    <t>No of sites resolved 05/06 - 07/08</t>
  </si>
  <si>
    <t>Sites affected as at April 2008</t>
  </si>
  <si>
    <t>No of sites to be resolved 08/09 - 09/10</t>
  </si>
  <si>
    <t>No of sites to be resolved in DPCR5</t>
  </si>
  <si>
    <t>Sites affected as at April 2015</t>
  </si>
  <si>
    <t>05/06 - 07/08</t>
  </si>
  <si>
    <t>08/09-09/10</t>
  </si>
  <si>
    <t>No of sites resolved</t>
  </si>
  <si>
    <t>Actual Solutions (#)</t>
  </si>
  <si>
    <t>Forecast Solutions (#)</t>
  </si>
  <si>
    <t>Shrouding</t>
  </si>
  <si>
    <t>Diversions</t>
  </si>
  <si>
    <t>Under-grounding</t>
  </si>
  <si>
    <t>Covered conductors</t>
  </si>
  <si>
    <t>As part of other planned work</t>
  </si>
  <si>
    <t>No of spans changed</t>
  </si>
  <si>
    <t>Total Cost £m</t>
  </si>
  <si>
    <t>Expenditure £m</t>
  </si>
  <si>
    <t>Forecast Solutions (£m)</t>
  </si>
  <si>
    <t>Total unit Cost £k/per span</t>
  </si>
  <si>
    <t>Unit cost £k/span</t>
  </si>
  <si>
    <t>Forecast Unit cost £k/span</t>
  </si>
  <si>
    <t>Vertical - Detailed Information</t>
  </si>
  <si>
    <t>Rebuild</t>
  </si>
  <si>
    <t>Derogation</t>
  </si>
  <si>
    <t>ESQCR 2005/06 -2014/15 (£m)</t>
  </si>
  <si>
    <t>(from FBPQ NL9)</t>
  </si>
  <si>
    <t>Total Costs including Reallocations</t>
  </si>
  <si>
    <t>Customer Contributions (-ve)</t>
  </si>
  <si>
    <t>Total Costs less Capital Contributions</t>
  </si>
  <si>
    <t>Non-operational assets (-ve)</t>
  </si>
  <si>
    <t>Step 4.a. calculate proportion of cost classified as direct costs</t>
  </si>
  <si>
    <t>% direct+other</t>
  </si>
  <si>
    <t>HV System</t>
  </si>
  <si>
    <t>EHV System</t>
  </si>
  <si>
    <t>Connections provided at EHV</t>
  </si>
  <si>
    <t>Connections provided at 132kV</t>
  </si>
  <si>
    <t>General Reinforcement:</t>
  </si>
  <si>
    <t>LV System</t>
  </si>
  <si>
    <t>Estimated number demand connections/disconnections at EHV</t>
  </si>
  <si>
    <t>Disconnections</t>
  </si>
  <si>
    <t>Non-fault Related</t>
  </si>
  <si>
    <t>Estimated number demand connections/disconnections at 132kV</t>
  </si>
  <si>
    <t>Total number of demand connections</t>
  </si>
  <si>
    <t>132 kV/EHV RTU (GM)</t>
  </si>
  <si>
    <t>Secondary substation</t>
  </si>
  <si>
    <t>Total number of demand disconnections</t>
  </si>
  <si>
    <t>Customer specific demand investment</t>
  </si>
  <si>
    <t>Main Forecast Business Plan DPCR5</t>
  </si>
  <si>
    <t xml:space="preserve"> </t>
  </si>
  <si>
    <t>NL1 - Condition based expenditure</t>
  </si>
  <si>
    <t xml:space="preserve">Assets removed </t>
  </si>
  <si>
    <t>New connections &amp; customer specific reinforcement:</t>
  </si>
  <si>
    <t>Sole use</t>
  </si>
  <si>
    <t>Shared</t>
  </si>
  <si>
    <t>LV total</t>
  </si>
  <si>
    <t>HV total</t>
  </si>
  <si>
    <t>EHV total</t>
  </si>
  <si>
    <t xml:space="preserve">Transformers </t>
  </si>
  <si>
    <t>Substation</t>
  </si>
  <si>
    <t>Submarine Cables</t>
  </si>
  <si>
    <t>Total Non-load replacement</t>
  </si>
  <si>
    <t>Total Net Non-load replacement</t>
  </si>
  <si>
    <t>Non-load related (other)</t>
  </si>
  <si>
    <t>Quality of Service</t>
  </si>
  <si>
    <t>Safety</t>
  </si>
  <si>
    <t>DNO reported Unit Cost (£)</t>
  </si>
  <si>
    <t>Customer contributions (directs) for connections at HV</t>
  </si>
  <si>
    <t>Underground cables</t>
  </si>
  <si>
    <t>Submarine cables</t>
  </si>
  <si>
    <t>Total non-load replacement (£m)</t>
  </si>
  <si>
    <t>Base revenue</t>
  </si>
  <si>
    <t>Scottish Electricity Settlements run-off (Scottish DNOs only)</t>
  </si>
  <si>
    <t>Unit cost used in MEAV calculation*Closing DCPR asset Balance (units)</t>
  </si>
  <si>
    <t>Proactive condition based replacement (non fault)</t>
  </si>
  <si>
    <t>LV Service</t>
  </si>
  <si>
    <t>LR1 an LR1 (opt3) formula references</t>
  </si>
  <si>
    <t>LR1 variant</t>
  </si>
  <si>
    <t>LR1 (opt3) variant</t>
  </si>
  <si>
    <t>Cell Ref B36</t>
  </si>
  <si>
    <t>Cell Ref: B16</t>
  </si>
  <si>
    <t>LR1</t>
  </si>
  <si>
    <t>OVERALL OPEX SPLIT FROM "CALC DNO OPEX ALLOCATION" SHEET</t>
  </si>
  <si>
    <t>Connections spend minus customer contributions (from FBPQ LR1)</t>
  </si>
  <si>
    <t>Vlookup Values:</t>
  </si>
  <si>
    <t>Split of Tariffs</t>
  </si>
  <si>
    <t>'LR1 opt 3' is an extended version of LR1, which contains all information from LR1, but breaks down certain lines into more detail.</t>
  </si>
  <si>
    <t>Category</t>
  </si>
  <si>
    <t>Weighted Average (after incentive and pension deficit costs removed and weighted by units flowing)</t>
  </si>
  <si>
    <t>Opex (incl pensions after  57.7% capitalised)</t>
  </si>
  <si>
    <t>Under/over recovery</t>
  </si>
  <si>
    <t>Step 3. Remove incentive revenue and pension deficit payment from allocations</t>
  </si>
  <si>
    <t>Costs allocated to network tiers in RRP - from 2.3 and 2.4</t>
  </si>
  <si>
    <t>Step 2. Identify costs included in price control revenues to be allocated by MEAV</t>
  </si>
  <si>
    <t>Step 3.  Allocate costs not directly atttibutable to network tiers to network tiers using MEAV</t>
  </si>
  <si>
    <t>Step 4.  Sum directly attributed and allocated costs</t>
  </si>
  <si>
    <t>Sum of allocated and "unallocated" costs</t>
  </si>
  <si>
    <t>Step 5. Divide cost by units flowing - effectively adjust the cost because of electricity lost as it flows through the network meaning that there is more cost in the lower tiers</t>
  </si>
  <si>
    <t>Sum of allocated and "unallocated" costs expressed per unit throughput (p/kWh)</t>
  </si>
  <si>
    <t>Proportion of costs allocated to Opex and Capex</t>
  </si>
  <si>
    <t>Operating costs = sum of allocated and unallocated multiplied by 1 minus capitalised proprtion</t>
  </si>
  <si>
    <t>No. of Customers</t>
  </si>
  <si>
    <t>No. of Substations</t>
  </si>
  <si>
    <t>Closing asset balance from FBPQ V4</t>
  </si>
  <si>
    <t>Connection/Reinforcement/Replacement Capex LV, HV, EHV, 132kV split</t>
  </si>
  <si>
    <t>Fault reinforcement Capex 2005/06 -2014/15 (£m)</t>
  </si>
  <si>
    <t>General reinforcement Capex 2005/06 -2014/15 (£m)</t>
  </si>
  <si>
    <t>Connection/Reinforcement/Replacement Capex LV, LV/HV, HV, EHV, 132kV split</t>
  </si>
  <si>
    <t>De Minimis Revenue</t>
  </si>
  <si>
    <t>Non-load related replacement (Condition based)</t>
  </si>
  <si>
    <t>LV Control centre costs
(where it remotely controls LV network)</t>
  </si>
  <si>
    <t>Company, charging year, data version</t>
  </si>
  <si>
    <t>LV Split and HV Split</t>
  </si>
  <si>
    <t>Discount rate</t>
  </si>
  <si>
    <t>LR1 opt 3</t>
  </si>
  <si>
    <t>HV main usage value provided each year by the Nominated Calculation Agent</t>
  </si>
  <si>
    <t>Company</t>
  </si>
  <si>
    <t>Charging year</t>
  </si>
  <si>
    <t>Data version</t>
  </si>
  <si>
    <t>Choice of data source for connections-related capital expenditure</t>
  </si>
  <si>
    <t>Percentage</t>
  </si>
  <si>
    <t>Results (for table 1037 of the CDCM tariff model)</t>
  </si>
  <si>
    <t>Summary of revenue</t>
  </si>
  <si>
    <t>Allowed revenue -DPCR4</t>
  </si>
  <si>
    <t>FBPQ T4</t>
  </si>
  <si>
    <t>FBPQ LR1</t>
  </si>
  <si>
    <t>FBPQ LR1 - V5 opt3</t>
  </si>
  <si>
    <t>FBPQ LR4</t>
  </si>
  <si>
    <t>FBPQ LR6</t>
  </si>
  <si>
    <t>FBPQ NL1</t>
  </si>
  <si>
    <t>NL9 - Legal &amp; Safety</t>
  </si>
  <si>
    <t>FBPQ C2</t>
  </si>
  <si>
    <t>RRP 1.3</t>
  </si>
  <si>
    <t>RRP 2.3</t>
  </si>
  <si>
    <t>RRP 2.4</t>
  </si>
  <si>
    <t>RRP 2.6</t>
  </si>
  <si>
    <t>RRP 5.1</t>
  </si>
  <si>
    <t>Calc-MEAV</t>
  </si>
  <si>
    <t>Calc-Units</t>
  </si>
  <si>
    <t>Calc-Net capex</t>
  </si>
  <si>
    <t>Calc DNO Opex Allocation</t>
  </si>
  <si>
    <t>Calc-Drivers</t>
  </si>
  <si>
    <t>DNO Final Allocation</t>
  </si>
  <si>
    <t>Allocation Summary</t>
  </si>
  <si>
    <t>Discount rate used to convert between price control presentations</t>
  </si>
  <si>
    <t>Results</t>
  </si>
  <si>
    <t>Driver</t>
  </si>
  <si>
    <t>2007/08 EHV Revenue</t>
  </si>
  <si>
    <t>Data Source</t>
  </si>
  <si>
    <t xml:space="preserve">Allowed Demand Revenue RRP 2007/2008 as described in Electricity Distribution Price Control Revenue Reporting RIGs - Version 4 published in March 2008.  </t>
  </si>
  <si>
    <t>Formula</t>
  </si>
  <si>
    <t>Reporting Yr</t>
  </si>
  <si>
    <t>Notation</t>
  </si>
  <si>
    <t>Data Line Required from RRP 2007/2008</t>
  </si>
  <si>
    <t xml:space="preserve">RIGs Reporting Table </t>
  </si>
  <si>
    <t>Adjusted Base Revenue</t>
  </si>
  <si>
    <t>Table 2c</t>
  </si>
  <si>
    <t>RPI_X term</t>
  </si>
  <si>
    <t>Table 2d</t>
  </si>
  <si>
    <t>Merger Adjustment</t>
  </si>
  <si>
    <t>Table 2e</t>
  </si>
  <si>
    <t>GSP</t>
  </si>
  <si>
    <t>132kV circuits</t>
  </si>
  <si>
    <t>132kV/EHV</t>
  </si>
  <si>
    <t>EHV circuits</t>
  </si>
  <si>
    <t>EHV/HV</t>
  </si>
  <si>
    <t>132kV/HV</t>
  </si>
  <si>
    <t>HV circuits</t>
  </si>
  <si>
    <t>LV circuits</t>
  </si>
  <si>
    <t>LV customer</t>
  </si>
  <si>
    <t>HV customer</t>
  </si>
  <si>
    <t>Assets in CDCM model (£) (from CDCM table 2705 or 2706)</t>
  </si>
  <si>
    <t>Assets in CDCM model (£) (from CDCM table 2705 or 2706 or EDCM table 1131)</t>
  </si>
  <si>
    <t>All notional assets in EDCM (£)</t>
  </si>
  <si>
    <t>All notional assets in EDCM (£) (from EDCM table 4167, 4168, 4169 or 4170)</t>
  </si>
  <si>
    <r>
      <t>BR</t>
    </r>
    <r>
      <rPr>
        <vertAlign val="subscript"/>
        <sz val="10"/>
        <color indexed="8"/>
        <rFont val="Arial"/>
        <family val="2"/>
      </rPr>
      <t xml:space="preserve"> t =</t>
    </r>
    <r>
      <rPr>
        <sz val="10"/>
        <color indexed="8"/>
        <rFont val="Arial"/>
        <family val="2"/>
      </rPr>
      <t xml:space="preserve"> (PU x GR </t>
    </r>
    <r>
      <rPr>
        <vertAlign val="subscript"/>
        <sz val="10"/>
        <color indexed="8"/>
        <rFont val="Arial"/>
        <family val="2"/>
      </rPr>
      <t xml:space="preserve"> t</t>
    </r>
    <r>
      <rPr>
        <sz val="10"/>
        <color indexed="8"/>
        <rFont val="Arial"/>
        <family val="2"/>
      </rPr>
      <t xml:space="preserve"> + PE) x PIAD </t>
    </r>
    <r>
      <rPr>
        <vertAlign val="subscript"/>
        <sz val="10"/>
        <color indexed="8"/>
        <rFont val="Arial"/>
        <family val="2"/>
      </rPr>
      <t>t</t>
    </r>
    <r>
      <rPr>
        <sz val="10"/>
        <color indexed="8"/>
        <rFont val="Arial"/>
        <family val="2"/>
      </rPr>
      <t xml:space="preserve"> - MG</t>
    </r>
    <r>
      <rPr>
        <vertAlign val="subscript"/>
        <sz val="10"/>
        <color indexed="8"/>
        <rFont val="Arial"/>
        <family val="2"/>
      </rPr>
      <t xml:space="preserve"> t</t>
    </r>
  </si>
  <si>
    <r>
      <t xml:space="preserve">PU.GR </t>
    </r>
    <r>
      <rPr>
        <vertAlign val="subscript"/>
        <sz val="10"/>
        <color indexed="8"/>
        <rFont val="Arial"/>
        <family val="2"/>
      </rPr>
      <t xml:space="preserve"> t</t>
    </r>
    <r>
      <rPr>
        <sz val="10"/>
        <color indexed="8"/>
        <rFont val="Arial"/>
        <family val="2"/>
      </rPr>
      <t xml:space="preserve"> </t>
    </r>
  </si>
  <si>
    <r>
      <t xml:space="preserve">PIAD </t>
    </r>
    <r>
      <rPr>
        <vertAlign val="subscript"/>
        <sz val="10"/>
        <color indexed="8"/>
        <rFont val="Arial"/>
        <family val="2"/>
      </rPr>
      <t>t</t>
    </r>
  </si>
  <si>
    <r>
      <t>MG</t>
    </r>
    <r>
      <rPr>
        <vertAlign val="subscript"/>
        <sz val="10"/>
        <color indexed="8"/>
        <rFont val="Arial"/>
        <family val="2"/>
      </rPr>
      <t xml:space="preserve"> t</t>
    </r>
  </si>
  <si>
    <r>
      <t>EHV Connected Customers Component of BR</t>
    </r>
    <r>
      <rPr>
        <vertAlign val="subscript"/>
        <sz val="11"/>
        <color indexed="8"/>
        <rFont val="Arial"/>
        <family val="2"/>
      </rPr>
      <t xml:space="preserve">t </t>
    </r>
    <r>
      <rPr>
        <sz val="11"/>
        <color indexed="8"/>
        <rFont val="Arial"/>
        <family val="2"/>
      </rPr>
      <t>(PE in above Equn)</t>
    </r>
  </si>
  <si>
    <t>Less transmission exist charges</t>
  </si>
  <si>
    <t>Less incentive revenue</t>
  </si>
  <si>
    <t xml:space="preserve">Total Notional MEAV of EHV  &amp; 132kV assets from EDCM Model Table 4131 </t>
  </si>
  <si>
    <t xml:space="preserve">Total MEAV of EHV &amp; 132kV in the CDCM Model Table 2705 </t>
  </si>
  <si>
    <t xml:space="preserve">% of  Gross Asset Costs for EHV &amp; 132kV Assets allocated to CDCM Customers </t>
  </si>
  <si>
    <t xml:space="preserve">MEAV in £m of EHV Assets </t>
  </si>
  <si>
    <t xml:space="preserve">EDCM Table 4131 and CDCM Table 2705. This MEAV figures are the Gross Asset Cost of Assets deemed to be used by CDCM or EDCM customers scaled by load forecast at time of Simultaneous Maximum Demand </t>
  </si>
  <si>
    <t>Total revenue not to share</t>
  </si>
  <si>
    <t>£m EHV</t>
  </si>
  <si>
    <t>£m ex EHV</t>
  </si>
  <si>
    <t>Inputs</t>
  </si>
  <si>
    <t>Description / instructions</t>
  </si>
  <si>
    <t>Use copy-paste to replace the entire contents of this sheet with your input data</t>
  </si>
  <si>
    <t>Enter input data in blue shaded areas</t>
  </si>
  <si>
    <t>This workbook has been adapted by Reckon LLP on the instructions of the DCUSA Panel or one of its working groups.  Only the DCUSA Panel</t>
  </si>
  <si>
    <t>and its working groups have authority to approve this material as meeting their requirements.  Reckon LLP makes no representation about</t>
  </si>
  <si>
    <t>the suitability of this material for the purposes of complying with any licence conditions or furthering any relevant objective.</t>
  </si>
  <si>
    <t>UNLESS STATED OTHERWISE, THIS WORKBOOK IS ONLY A PROTOTYPE FOR TESTING PURPOSES AND ALL THE DATA IN THIS MODEL ARE FOR ILLUSTRATION ONLY.</t>
  </si>
  <si>
    <t>Do not change anything in this calculation sheet</t>
  </si>
  <si>
    <t>IP Appendix 6 Table 5 Reductions to EHV</t>
  </si>
  <si>
    <t>IP Appendix 7 Reductions to EHV</t>
  </si>
  <si>
    <t>Appendix 6 Table 5 EHV &amp; 132</t>
  </si>
  <si>
    <t>Appendix 7 Table 18</t>
  </si>
  <si>
    <t>Reductions to net capex</t>
  </si>
  <si>
    <t>Use copy-paste to replace the entire contents of this sheet with your input data (rows 61 to 63 were introduced by DCP 118)</t>
  </si>
  <si>
    <t>Data-MEAV</t>
  </si>
  <si>
    <t>Choice of LR1 data source</t>
  </si>
  <si>
    <t>Calculation sheet</t>
  </si>
  <si>
    <t>Input data sheet</t>
  </si>
  <si>
    <t>Do not change anything in this calculation sheet; use the results to populate table 1037 in the CDCM tariff model</t>
  </si>
  <si>
    <t>You can use the buttons below to select a LR1 data source.</t>
  </si>
  <si>
    <t>Alternatively, use the cell below to make your selection, using the following coding: 1 for LR1, or 2 for LR1 opt 3.</t>
  </si>
  <si>
    <t>Use copy-paste to replace the entire contents of this sheet with your input data if applicable (data were in Calc-Net capex before January 2014)</t>
  </si>
  <si>
    <t>WPD South Wales</t>
  </si>
  <si>
    <t>2015/16</t>
  </si>
  <si>
    <t>Index</t>
  </si>
  <si>
    <t>-</t>
  </si>
  <si>
    <t>0</t>
  </si>
  <si>
    <t>33/11</t>
  </si>
  <si>
    <t>a</t>
  </si>
  <si>
    <t>Change 33/11 transformer units to 12/24 and replace 11kV switchboard</t>
  </si>
  <si>
    <t>c</t>
  </si>
  <si>
    <t>Establish new 33kV circuit into Tregaron site.</t>
  </si>
  <si>
    <t>11kV load transfer to Waterton 132/11</t>
  </si>
  <si>
    <t>d</t>
  </si>
  <si>
    <t>Establish 3rd 33kV circuit (cable) to s/s and additional 12/24 transformer &amp; 11kV Swbd Change</t>
  </si>
  <si>
    <t>b</t>
  </si>
  <si>
    <t>Establish 33kV switchboard and 2nd transformer unit.</t>
  </si>
  <si>
    <t>Install 2nd transformer, and 33kV circuit (o/h)</t>
  </si>
  <si>
    <t>a/b</t>
  </si>
  <si>
    <t>Increase 11kV Interconnection between  3 Tx Group</t>
  </si>
  <si>
    <t>Overlay 33kV circuits and install 19/38 MVA 33/11 units</t>
  </si>
  <si>
    <t>Establish new 33kV circuit to Gas Yard, to remove load from  Gas Yard/Nelson 33kV ring.</t>
  </si>
  <si>
    <t>j</t>
  </si>
  <si>
    <t>Establish 66kV bar with bus-section breaker</t>
  </si>
  <si>
    <t>Reconductor front end of 66kV circuits Abergavenny to Crickhowell or apply higher operating Temp/increasing height</t>
  </si>
  <si>
    <t>Increase height to allow higher Op Temp, installation of 11kV Cap Bank Brawdy</t>
  </si>
  <si>
    <t>Install addition 33/11 Tx capacity 11kV interconnection between sites</t>
  </si>
  <si>
    <t>Additional Grid Tx at Rhos or 33 kV circuit uprating</t>
  </si>
  <si>
    <t>f</t>
  </si>
  <si>
    <t>New 33kV tranformer circuit and 33/11kV transformer</t>
  </si>
  <si>
    <t>Transformer change to 19/38 MVA units &amp; 33/11kV Swbd Change</t>
  </si>
  <si>
    <t>Typically smaller schemes. Unidentified larger scheme(s) 2014/15.</t>
  </si>
  <si>
    <t>132/11</t>
  </si>
  <si>
    <t>Establish 132/11kV susbstaion at Abergavenny</t>
  </si>
  <si>
    <t>Establish 132/11kV substation near Pentrebach to deload existing 33kV ccts</t>
  </si>
  <si>
    <t>132/33</t>
  </si>
  <si>
    <t>Establish a second 132/33 transformer</t>
  </si>
  <si>
    <t>Establish second 132/33kv unit and break parallel.</t>
  </si>
  <si>
    <t>Establish new 132/11kV site</t>
  </si>
  <si>
    <t>Unidentified</t>
  </si>
  <si>
    <t>CAUTION - THIS PACK DOES NOT BALANCE</t>
  </si>
  <si>
    <t>Redundant operational assets</t>
  </si>
  <si>
    <t>Sales of scrap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</si>
</sst>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4" formatCode="_-&quot;£&quot;* #,##0.00_-;\-&quot;£&quot;* #,##0.00_-;_-&quot;£&quot;* &quot;-&quot;??_-;_-@_-"/>
    <numFmt numFmtId="43" formatCode="_-* #,##0.00_-;\-* #,##0.00_-;_-* &quot;-&quot;??_-;_-@_-"/>
    <numFmt numFmtId="164" formatCode="0.0%"/>
    <numFmt numFmtId="165" formatCode="0.0000"/>
    <numFmt numFmtId="166" formatCode="0.000"/>
    <numFmt numFmtId="167" formatCode="0.0"/>
    <numFmt numFmtId="168" formatCode="#,##0_);[Red]\(#,##0\);\-"/>
    <numFmt numFmtId="169" formatCode="#,##0.000;[Red]\-#,##0.000;"/>
    <numFmt numFmtId="170" formatCode="#,##0.000;[Red]\-#,##0.000;\-"/>
    <numFmt numFmtId="171" formatCode="_(* #,##0_);_(* \(#,##0\);_(* &quot;-&quot;??_);_(@_)"/>
    <numFmt numFmtId="172" formatCode="#,##0;[Red]\-#,##0;\-"/>
    <numFmt numFmtId="173" formatCode="_-* #,##0.000_-;\-* #,##0.000_-;_-* &quot;-&quot;??_-;_-@_-"/>
    <numFmt numFmtId="174" formatCode="#,##0.0_);[Red]\(#,##0.0\);\-"/>
    <numFmt numFmtId="175" formatCode="0.00000%"/>
    <numFmt numFmtId="176" formatCode="0;\(0\)"/>
    <numFmt numFmtId="177" formatCode="0;[Red]\(0\);\-"/>
    <numFmt numFmtId="178" formatCode="_(* #,##0.0_);_(* \(#,##0.0\);_(* &quot;-&quot;?_);_(@_)"/>
    <numFmt numFmtId="179" formatCode="_(??0.0%_);[Red]\(??0.0%\);"/>
    <numFmt numFmtId="180" formatCode="_(??0.000%_);[Red]\(??0.000%\);_(???_%_)"/>
    <numFmt numFmtId="181" formatCode="_-* #,##0_-;\-* #,##0_-;_-* &quot;-&quot;??_-;_-@_-"/>
    <numFmt numFmtId="182" formatCode="\ _(???,???,??0_);[Red]\ \(???,???,??0\);;@"/>
    <numFmt numFmtId="183" formatCode="\ _(??0.0%_);[Red]\ \(??0.0%\);;@"/>
  </numFmts>
  <fonts count="80">
    <font>
      <sz val="10"/>
      <name val="Arial"/>
    </font>
    <font>
      <sz val="10"/>
      <name val="Arial"/>
      <family val="2"/>
    </font>
    <font>
      <sz val="8"/>
      <name val="Verdana"/>
      <family val="2"/>
    </font>
    <font>
      <sz val="10"/>
      <name val="Arial"/>
      <family val="2"/>
    </font>
    <font>
      <b/>
      <sz val="10"/>
      <name val="Arial"/>
      <family val="2"/>
    </font>
    <font>
      <sz val="10"/>
      <name val="Arial"/>
      <family val="2"/>
    </font>
    <font>
      <sz val="10"/>
      <color indexed="8"/>
      <name val="Verdana"/>
      <family val="2"/>
    </font>
    <font>
      <i/>
      <sz val="10"/>
      <name val="Arial"/>
      <family val="2"/>
    </font>
    <font>
      <sz val="11"/>
      <name val="CG Omega"/>
      <family val="2"/>
    </font>
    <font>
      <sz val="11"/>
      <name val="Arial"/>
      <family val="2"/>
    </font>
    <font>
      <b/>
      <sz val="11"/>
      <name val="CG Omega"/>
      <family val="2"/>
    </font>
    <font>
      <sz val="10"/>
      <name val="CG Omega"/>
      <family val="2"/>
    </font>
    <font>
      <b/>
      <sz val="10"/>
      <name val="CG Omega"/>
      <family val="2"/>
    </font>
    <font>
      <sz val="10"/>
      <color indexed="10"/>
      <name val="Arial"/>
      <family val="2"/>
    </font>
    <font>
      <b/>
      <sz val="12"/>
      <color indexed="40"/>
      <name val="Arial"/>
      <family val="2"/>
    </font>
    <font>
      <u/>
      <sz val="11"/>
      <color indexed="40"/>
      <name val="Arial"/>
      <family val="2"/>
    </font>
    <font>
      <sz val="11"/>
      <color indexed="12"/>
      <name val="CG Omega"/>
      <family val="2"/>
    </font>
    <font>
      <u/>
      <sz val="10"/>
      <color indexed="12"/>
      <name val="Arial"/>
      <family val="2"/>
    </font>
    <font>
      <b/>
      <sz val="10"/>
      <color indexed="8"/>
      <name val="Verdana"/>
      <family val="2"/>
    </font>
    <font>
      <sz val="10"/>
      <color indexed="10"/>
      <name val="Arial"/>
      <family val="2"/>
    </font>
    <font>
      <sz val="10"/>
      <color indexed="10"/>
      <name val="CG Omega"/>
      <family val="2"/>
    </font>
    <font>
      <sz val="10"/>
      <color indexed="9"/>
      <name val="Arial"/>
      <family val="2"/>
    </font>
    <font>
      <b/>
      <u/>
      <sz val="10"/>
      <name val="Arial"/>
      <family val="2"/>
    </font>
    <font>
      <sz val="10"/>
      <color indexed="12"/>
      <name val="CG Omega"/>
      <family val="2"/>
    </font>
    <font>
      <sz val="10"/>
      <color indexed="12"/>
      <name val="Arial"/>
      <family val="2"/>
    </font>
    <font>
      <sz val="8"/>
      <name val="CG Omega"/>
    </font>
    <font>
      <b/>
      <sz val="11"/>
      <name val="Arial"/>
      <family val="2"/>
    </font>
    <font>
      <sz val="10"/>
      <color indexed="8"/>
      <name val="Arial"/>
      <family val="2"/>
    </font>
    <font>
      <b/>
      <sz val="10"/>
      <color indexed="8"/>
      <name val="Arial"/>
      <family val="2"/>
    </font>
    <font>
      <b/>
      <sz val="14"/>
      <name val="CG Omega"/>
      <family val="2"/>
    </font>
    <font>
      <sz val="9"/>
      <name val="Arial"/>
      <family val="2"/>
    </font>
    <font>
      <sz val="9"/>
      <name val="CG Omega"/>
      <family val="2"/>
    </font>
    <font>
      <b/>
      <sz val="9"/>
      <name val="CG Omega"/>
      <family val="2"/>
    </font>
    <font>
      <sz val="10"/>
      <color indexed="8"/>
      <name val="CG Omega"/>
      <family val="2"/>
    </font>
    <font>
      <b/>
      <sz val="16"/>
      <name val="CG Omega"/>
      <family val="2"/>
    </font>
    <font>
      <b/>
      <sz val="12"/>
      <name val="CG Omega"/>
      <family val="2"/>
    </font>
    <font>
      <sz val="11"/>
      <color indexed="10"/>
      <name val="CG Omega"/>
      <family val="2"/>
    </font>
    <font>
      <b/>
      <sz val="11"/>
      <color indexed="12"/>
      <name val="CG Omega"/>
      <family val="2"/>
    </font>
    <font>
      <sz val="10"/>
      <color indexed="30"/>
      <name val="CG Omega"/>
      <family val="2"/>
    </font>
    <font>
      <b/>
      <sz val="10"/>
      <name val="Verdana"/>
      <family val="2"/>
    </font>
    <font>
      <sz val="10"/>
      <name val="Verdana"/>
      <family val="2"/>
    </font>
    <font>
      <b/>
      <sz val="10"/>
      <name val="Arial"/>
      <family val="2"/>
    </font>
    <font>
      <u/>
      <sz val="10"/>
      <color indexed="12"/>
      <name val="Arial"/>
      <family val="2"/>
    </font>
    <font>
      <sz val="8"/>
      <name val="Verdana"/>
      <family val="2"/>
    </font>
    <font>
      <sz val="10"/>
      <name val="Arial"/>
      <family val="2"/>
    </font>
    <font>
      <sz val="10"/>
      <name val="Verdana"/>
      <family val="2"/>
    </font>
    <font>
      <b/>
      <sz val="16"/>
      <name val="Arial"/>
      <family val="2"/>
    </font>
    <font>
      <b/>
      <sz val="20"/>
      <name val="CG Omega"/>
      <family val="2"/>
    </font>
    <font>
      <b/>
      <sz val="14"/>
      <name val="Arial"/>
      <family val="2"/>
    </font>
    <font>
      <sz val="16"/>
      <color indexed="8"/>
      <name val="Arial"/>
      <family val="2"/>
    </font>
    <font>
      <sz val="10"/>
      <color indexed="56"/>
      <name val="Arial"/>
      <family val="2"/>
    </font>
    <font>
      <b/>
      <sz val="20"/>
      <name val="Arial"/>
      <family val="2"/>
    </font>
    <font>
      <b/>
      <sz val="10"/>
      <color indexed="12"/>
      <name val="Arial"/>
      <family val="2"/>
    </font>
    <font>
      <sz val="11"/>
      <color indexed="30"/>
      <name val="CG Omega"/>
      <family val="2"/>
    </font>
    <font>
      <sz val="11"/>
      <color indexed="8"/>
      <name val="CG Omega"/>
      <family val="2"/>
    </font>
    <font>
      <sz val="14"/>
      <name val="Arial"/>
      <family val="2"/>
    </font>
    <font>
      <sz val="11"/>
      <name val="Calibri"/>
      <family val="2"/>
    </font>
    <font>
      <b/>
      <sz val="11"/>
      <name val="CG Omega"/>
    </font>
    <font>
      <u/>
      <sz val="10"/>
      <color theme="11"/>
      <name val="Arial"/>
      <family val="2"/>
    </font>
    <font>
      <sz val="10"/>
      <color rgb="FF000000"/>
      <name val="Geneva"/>
    </font>
    <font>
      <b/>
      <sz val="15"/>
      <name val="Calibri"/>
      <family val="2"/>
    </font>
    <font>
      <b/>
      <sz val="11"/>
      <name val="Calibri"/>
      <family val="2"/>
    </font>
    <font>
      <b/>
      <sz val="13"/>
      <name val="Calibri"/>
      <family val="2"/>
    </font>
    <font>
      <sz val="10"/>
      <name val="Calibri"/>
      <family val="2"/>
    </font>
    <font>
      <b/>
      <sz val="10"/>
      <name val="Calibri"/>
      <family val="2"/>
    </font>
    <font>
      <b/>
      <sz val="11"/>
      <color theme="1"/>
      <name val="Arial"/>
      <family val="2"/>
    </font>
    <font>
      <sz val="10"/>
      <color theme="1"/>
      <name val="Times New Roman"/>
      <family val="1"/>
    </font>
    <font>
      <sz val="10"/>
      <color theme="1"/>
      <name val="Arial"/>
      <family val="2"/>
    </font>
    <font>
      <b/>
      <sz val="10"/>
      <color theme="1"/>
      <name val="Arial"/>
      <family val="2"/>
    </font>
    <font>
      <sz val="11"/>
      <color theme="1"/>
      <name val="Arial"/>
      <family val="2"/>
    </font>
    <font>
      <sz val="10"/>
      <color rgb="FFFF0000"/>
      <name val="Times New Roman"/>
      <family val="1"/>
    </font>
    <font>
      <b/>
      <sz val="11"/>
      <color theme="1"/>
      <name val="Calibri"/>
      <family val="2"/>
      <scheme val="minor"/>
    </font>
    <font>
      <sz val="11"/>
      <color rgb="FF800080"/>
      <name val="Calibri"/>
      <family val="2"/>
      <scheme val="minor"/>
    </font>
    <font>
      <vertAlign val="subscript"/>
      <sz val="10"/>
      <color indexed="8"/>
      <name val="Arial"/>
      <family val="2"/>
    </font>
    <font>
      <vertAlign val="subscript"/>
      <sz val="11"/>
      <color indexed="8"/>
      <name val="Arial"/>
      <family val="2"/>
    </font>
    <font>
      <sz val="11"/>
      <color indexed="8"/>
      <name val="Arial"/>
      <family val="2"/>
    </font>
    <font>
      <b/>
      <sz val="10"/>
      <color rgb="FFFF0000"/>
      <name val="Arial"/>
      <family val="2"/>
    </font>
    <font>
      <sz val="11"/>
      <color rgb="FF000000"/>
      <name val="Calibri"/>
      <family val="2"/>
    </font>
    <font>
      <b/>
      <sz val="12"/>
      <name val="Arial"/>
      <family val="2"/>
    </font>
    <font>
      <b/>
      <sz val="11"/>
      <color indexed="8"/>
      <name val="CG Omega"/>
      <family val="2"/>
    </font>
  </fonts>
  <fills count="2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55"/>
        <bgColor indexed="64"/>
      </patternFill>
    </fill>
    <fill>
      <patternFill patternType="solid">
        <fgColor indexed="8"/>
        <bgColor indexed="64"/>
      </patternFill>
    </fill>
    <fill>
      <patternFill patternType="solid">
        <fgColor indexed="52"/>
        <bgColor indexed="64"/>
      </patternFill>
    </fill>
    <fill>
      <patternFill patternType="solid">
        <fgColor indexed="63"/>
        <bgColor indexed="64"/>
      </patternFill>
    </fill>
    <fill>
      <patternFill patternType="gray125">
        <bgColor indexed="22"/>
      </patternFill>
    </fill>
    <fill>
      <patternFill patternType="solid">
        <fgColor indexed="23"/>
        <bgColor indexed="64"/>
      </patternFill>
    </fill>
    <fill>
      <patternFill patternType="solid">
        <fgColor indexed="46"/>
        <bgColor indexed="64"/>
      </patternFill>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CC"/>
        <bgColor indexed="64"/>
      </patternFill>
    </fill>
    <fill>
      <patternFill patternType="solid">
        <fgColor rgb="FFCCFFFF"/>
        <bgColor indexed="64"/>
      </patternFill>
    </fill>
    <fill>
      <patternFill patternType="solid">
        <fgColor rgb="FF99CCFF"/>
        <bgColor indexed="64"/>
      </patternFill>
    </fill>
    <fill>
      <patternFill patternType="solid">
        <fgColor rgb="FFFFCC99"/>
        <bgColor indexed="64"/>
      </patternFill>
    </fill>
    <fill>
      <patternFill patternType="solid">
        <fgColor rgb="FFC5FFFF"/>
        <bgColor indexed="64"/>
      </patternFill>
    </fill>
    <fill>
      <patternFill patternType="solid">
        <fgColor theme="6" tint="0.59999389629810485"/>
        <bgColor indexed="64"/>
      </patternFill>
    </fill>
  </fills>
  <borders count="8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top style="thin">
        <color auto="1"/>
      </top>
      <bottom/>
      <diagonal/>
    </border>
    <border>
      <left/>
      <right/>
      <top style="thin">
        <color auto="1"/>
      </top>
      <bottom style="thin">
        <color auto="1"/>
      </bottom>
      <diagonal/>
    </border>
    <border>
      <left style="medium">
        <color auto="1"/>
      </left>
      <right/>
      <top/>
      <bottom/>
      <diagonal/>
    </border>
    <border>
      <left/>
      <right/>
      <top/>
      <bottom style="thin">
        <color auto="1"/>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style="medium">
        <color auto="1"/>
      </top>
      <bottom style="thin">
        <color auto="1"/>
      </bottom>
      <diagonal/>
    </border>
    <border>
      <left/>
      <right/>
      <top style="thin">
        <color auto="1"/>
      </top>
      <bottom style="medium">
        <color auto="1"/>
      </bottom>
      <diagonal/>
    </border>
    <border>
      <left/>
      <right style="thin">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top style="medium">
        <color auto="1"/>
      </top>
      <bottom style="thin">
        <color auto="1"/>
      </bottom>
      <diagonal/>
    </border>
    <border>
      <left style="medium">
        <color auto="1"/>
      </left>
      <right style="medium">
        <color auto="1"/>
      </right>
      <top style="thin">
        <color auto="1"/>
      </top>
      <bottom style="double">
        <color auto="1"/>
      </bottom>
      <diagonal/>
    </border>
    <border>
      <left/>
      <right style="thin">
        <color auto="1"/>
      </right>
      <top/>
      <bottom style="medium">
        <color auto="1"/>
      </bottom>
      <diagonal/>
    </border>
    <border>
      <left style="medium">
        <color auto="1"/>
      </left>
      <right/>
      <top/>
      <bottom style="double">
        <color auto="1"/>
      </bottom>
      <diagonal/>
    </border>
    <border>
      <left style="medium">
        <color auto="1"/>
      </left>
      <right style="medium">
        <color auto="1"/>
      </right>
      <top/>
      <bottom style="double">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right/>
      <top style="dashed">
        <color rgb="FF800080"/>
      </top>
      <bottom style="dashed">
        <color rgb="FF800080"/>
      </bottom>
      <diagonal/>
    </border>
    <border>
      <left/>
      <right style="medium">
        <color indexed="64"/>
      </right>
      <top style="thin">
        <color indexed="64"/>
      </top>
      <bottom style="double">
        <color indexed="64"/>
      </bottom>
      <diagonal/>
    </border>
  </borders>
  <cellStyleXfs count="177">
    <xf numFmtId="0" fontId="0" fillId="0" borderId="0"/>
    <xf numFmtId="0" fontId="8" fillId="0" borderId="0"/>
    <xf numFmtId="0" fontId="44" fillId="0" borderId="0"/>
    <xf numFmtId="0" fontId="44" fillId="0" borderId="0">
      <alignment vertical="center"/>
    </xf>
    <xf numFmtId="0" fontId="8" fillId="0" borderId="0"/>
    <xf numFmtId="0" fontId="44" fillId="0" borderId="0"/>
    <xf numFmtId="0" fontId="8" fillId="0" borderId="0">
      <alignment vertical="justify"/>
    </xf>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17" fillId="0" borderId="0" applyNumberFormat="0" applyFill="0" applyBorder="0" applyAlignment="0" applyProtection="0">
      <alignment vertical="top"/>
      <protection locked="0"/>
    </xf>
    <xf numFmtId="0" fontId="3" fillId="0" borderId="0"/>
    <xf numFmtId="0" fontId="8" fillId="0" borderId="0"/>
    <xf numFmtId="0" fontId="44" fillId="0" borderId="0"/>
    <xf numFmtId="0" fontId="44" fillId="0" borderId="0"/>
    <xf numFmtId="0" fontId="5" fillId="0" borderId="0"/>
    <xf numFmtId="0" fontId="44" fillId="0" borderId="0"/>
    <xf numFmtId="0" fontId="44" fillId="0" borderId="0"/>
    <xf numFmtId="0" fontId="44" fillId="0" borderId="0"/>
    <xf numFmtId="0" fontId="45" fillId="0" borderId="0"/>
    <xf numFmtId="0" fontId="44" fillId="0" borderId="0">
      <alignment vertical="center"/>
    </xf>
    <xf numFmtId="0" fontId="8" fillId="0" borderId="0">
      <alignment vertical="top"/>
    </xf>
    <xf numFmtId="0" fontId="8" fillId="0" borderId="0"/>
    <xf numFmtId="0" fontId="6" fillId="0" borderId="0"/>
    <xf numFmtId="0" fontId="8" fillId="0" borderId="0"/>
    <xf numFmtId="0" fontId="8" fillId="0" borderId="0"/>
    <xf numFmtId="0" fontId="8" fillId="0" borderId="0"/>
    <xf numFmtId="0" fontId="3" fillId="0" borderId="0"/>
    <xf numFmtId="0" fontId="44" fillId="0" borderId="0"/>
    <xf numFmtId="0" fontId="45" fillId="0" borderId="0"/>
    <xf numFmtId="0" fontId="6" fillId="0" borderId="0"/>
    <xf numFmtId="0" fontId="9" fillId="0" borderId="0"/>
    <xf numFmtId="9" fontId="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 fillId="0" borderId="0"/>
    <xf numFmtId="0" fontId="1" fillId="0" borderId="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cellStyleXfs>
  <cellXfs count="2259">
    <xf numFmtId="0" fontId="0" fillId="0" borderId="0" xfId="0"/>
    <xf numFmtId="0" fontId="0" fillId="2" borderId="0" xfId="0" applyFill="1"/>
    <xf numFmtId="0" fontId="0" fillId="3" borderId="0" xfId="0" applyFill="1"/>
    <xf numFmtId="0" fontId="0" fillId="0" borderId="1" xfId="0" applyBorder="1"/>
    <xf numFmtId="0" fontId="5" fillId="0" borderId="2" xfId="0" applyFont="1" applyBorder="1"/>
    <xf numFmtId="0" fontId="5" fillId="0" borderId="3" xfId="0" applyFont="1" applyBorder="1"/>
    <xf numFmtId="0" fontId="5" fillId="0" borderId="0" xfId="0" applyFont="1" applyBorder="1"/>
    <xf numFmtId="0" fontId="0" fillId="0" borderId="0" xfId="0" applyBorder="1"/>
    <xf numFmtId="0" fontId="4" fillId="2" borderId="0" xfId="0" applyFont="1" applyFill="1"/>
    <xf numFmtId="0" fontId="0" fillId="0" borderId="4" xfId="0" applyBorder="1"/>
    <xf numFmtId="0" fontId="5" fillId="0" borderId="5" xfId="0" applyFont="1" applyBorder="1"/>
    <xf numFmtId="2" fontId="0" fillId="0" borderId="1" xfId="0" applyNumberFormat="1" applyBorder="1"/>
    <xf numFmtId="2" fontId="0" fillId="0" borderId="2" xfId="0" applyNumberFormat="1" applyBorder="1"/>
    <xf numFmtId="2" fontId="0" fillId="0" borderId="3" xfId="0" applyNumberFormat="1" applyBorder="1"/>
    <xf numFmtId="0" fontId="0" fillId="0" borderId="6" xfId="0" applyBorder="1"/>
    <xf numFmtId="10" fontId="0" fillId="0" borderId="2" xfId="0" applyNumberFormat="1" applyBorder="1" applyAlignment="1">
      <alignment vertical="top"/>
    </xf>
    <xf numFmtId="10" fontId="0" fillId="0" borderId="2" xfId="33" applyNumberFormat="1" applyFont="1" applyBorder="1" applyAlignment="1">
      <alignment vertical="top"/>
    </xf>
    <xf numFmtId="0" fontId="5" fillId="0" borderId="0" xfId="0" applyFont="1"/>
    <xf numFmtId="0" fontId="0" fillId="0" borderId="0" xfId="0" applyAlignment="1">
      <alignment vertical="center"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3" xfId="0" applyBorder="1"/>
    <xf numFmtId="0" fontId="0" fillId="0" borderId="2" xfId="0" applyBorder="1"/>
    <xf numFmtId="0" fontId="5" fillId="0" borderId="1" xfId="0" applyFont="1" applyBorder="1"/>
    <xf numFmtId="0" fontId="7" fillId="0" borderId="1" xfId="0" applyFont="1" applyBorder="1" applyAlignment="1">
      <alignment vertical="top" wrapText="1"/>
    </xf>
    <xf numFmtId="0" fontId="0" fillId="4" borderId="4" xfId="0" applyFill="1" applyBorder="1" applyAlignment="1">
      <alignment vertical="center" wrapText="1"/>
    </xf>
    <xf numFmtId="0" fontId="5" fillId="0" borderId="10" xfId="0" applyFont="1" applyBorder="1"/>
    <xf numFmtId="0" fontId="5" fillId="0" borderId="12" xfId="0" applyFont="1" applyBorder="1"/>
    <xf numFmtId="0" fontId="0" fillId="0" borderId="0" xfId="0" applyFill="1" applyBorder="1"/>
    <xf numFmtId="2" fontId="0" fillId="0" borderId="0" xfId="0" applyNumberFormat="1" applyBorder="1"/>
    <xf numFmtId="9" fontId="0" fillId="0" borderId="0" xfId="33" applyFont="1" applyBorder="1"/>
    <xf numFmtId="0" fontId="5" fillId="0" borderId="4" xfId="0" applyFont="1" applyFill="1" applyBorder="1"/>
    <xf numFmtId="2" fontId="0" fillId="0" borderId="6" xfId="0" applyNumberFormat="1" applyBorder="1"/>
    <xf numFmtId="2" fontId="0" fillId="0" borderId="9" xfId="0" applyNumberFormat="1" applyBorder="1"/>
    <xf numFmtId="2" fontId="0" fillId="0" borderId="11" xfId="0" applyNumberFormat="1" applyBorder="1"/>
    <xf numFmtId="2" fontId="0" fillId="0" borderId="7" xfId="0" applyNumberFormat="1" applyBorder="1"/>
    <xf numFmtId="9" fontId="0" fillId="0" borderId="4" xfId="33" applyFont="1" applyBorder="1"/>
    <xf numFmtId="10" fontId="0" fillId="0" borderId="6" xfId="0" applyNumberFormat="1" applyBorder="1" applyAlignment="1">
      <alignment vertical="top"/>
    </xf>
    <xf numFmtId="10" fontId="0" fillId="0" borderId="9" xfId="33" applyNumberFormat="1" applyFont="1" applyBorder="1" applyAlignment="1">
      <alignment vertical="top"/>
    </xf>
    <xf numFmtId="0" fontId="7" fillId="0" borderId="2" xfId="0" applyFont="1" applyBorder="1" applyAlignment="1">
      <alignment vertical="top" wrapText="1"/>
    </xf>
    <xf numFmtId="0" fontId="0" fillId="0" borderId="0" xfId="0" applyAlignment="1"/>
    <xf numFmtId="0" fontId="0" fillId="0" borderId="0" xfId="0" applyBorder="1" applyAlignment="1"/>
    <xf numFmtId="164" fontId="11" fillId="0" borderId="9" xfId="33" applyNumberFormat="1" applyFont="1" applyBorder="1" applyAlignment="1" applyProtection="1">
      <alignment horizontal="center" vertical="center" wrapText="1"/>
    </xf>
    <xf numFmtId="167" fontId="11" fillId="0" borderId="0" xfId="32" applyNumberFormat="1" applyFont="1" applyBorder="1" applyAlignment="1" applyProtection="1">
      <alignment horizontal="center" vertical="center" wrapText="1"/>
    </xf>
    <xf numFmtId="167" fontId="11" fillId="0" borderId="10" xfId="32" applyNumberFormat="1" applyFont="1" applyBorder="1" applyAlignment="1" applyProtection="1">
      <alignment horizontal="center" vertical="center" wrapText="1"/>
    </xf>
    <xf numFmtId="9" fontId="0" fillId="0" borderId="0" xfId="33" applyFont="1" applyBorder="1" applyAlignment="1"/>
    <xf numFmtId="167" fontId="0" fillId="0" borderId="9" xfId="0" applyNumberFormat="1" applyBorder="1" applyAlignment="1"/>
    <xf numFmtId="167" fontId="0" fillId="0" borderId="0" xfId="0" applyNumberFormat="1" applyBorder="1" applyAlignment="1"/>
    <xf numFmtId="166" fontId="0" fillId="0" borderId="9" xfId="0" applyNumberFormat="1" applyBorder="1" applyAlignment="1"/>
    <xf numFmtId="166" fontId="0" fillId="0" borderId="0" xfId="0" applyNumberFormat="1" applyBorder="1" applyAlignment="1"/>
    <xf numFmtId="164" fontId="11" fillId="0" borderId="9" xfId="33" applyNumberFormat="1" applyFont="1" applyFill="1" applyBorder="1" applyAlignment="1" applyProtection="1">
      <alignment horizontal="center" vertical="center" wrapText="1"/>
    </xf>
    <xf numFmtId="167" fontId="11" fillId="0" borderId="0" xfId="32" applyNumberFormat="1" applyFont="1" applyFill="1" applyBorder="1" applyAlignment="1" applyProtection="1">
      <alignment horizontal="center" vertical="center" wrapText="1"/>
    </xf>
    <xf numFmtId="0" fontId="0" fillId="0" borderId="0" xfId="0" applyFill="1" applyBorder="1" applyAlignment="1"/>
    <xf numFmtId="167" fontId="0" fillId="0" borderId="0" xfId="0" applyNumberFormat="1" applyFill="1" applyBorder="1" applyAlignment="1"/>
    <xf numFmtId="166" fontId="0" fillId="0" borderId="0" xfId="0" applyNumberFormat="1" applyFill="1" applyBorder="1" applyAlignment="1"/>
    <xf numFmtId="0" fontId="0" fillId="0" borderId="0" xfId="0" applyFill="1" applyAlignment="1"/>
    <xf numFmtId="0" fontId="11" fillId="0" borderId="2" xfId="32" applyFont="1" applyBorder="1" applyAlignment="1">
      <alignment horizontal="left" vertical="center" wrapText="1"/>
    </xf>
    <xf numFmtId="164" fontId="11" fillId="0" borderId="9" xfId="33" applyNumberFormat="1" applyFont="1" applyBorder="1" applyAlignment="1">
      <alignment horizontal="center" vertical="center" wrapText="1"/>
    </xf>
    <xf numFmtId="0" fontId="11" fillId="0" borderId="1" xfId="32" applyFont="1" applyBorder="1" applyAlignment="1">
      <alignment horizontal="left" vertical="center" wrapText="1"/>
    </xf>
    <xf numFmtId="0" fontId="11" fillId="0" borderId="3" xfId="32" applyFont="1" applyBorder="1" applyAlignment="1">
      <alignment horizontal="left" vertical="center" wrapText="1"/>
    </xf>
    <xf numFmtId="0" fontId="19" fillId="0" borderId="0" xfId="0" applyFont="1" applyFill="1" applyBorder="1" applyAlignment="1"/>
    <xf numFmtId="0" fontId="19" fillId="0" borderId="0" xfId="0" applyFont="1" applyFill="1" applyBorder="1" applyAlignment="1">
      <alignment horizontal="center"/>
    </xf>
    <xf numFmtId="167" fontId="20" fillId="0" borderId="0" xfId="32" applyNumberFormat="1" applyFont="1" applyFill="1" applyBorder="1" applyAlignment="1" applyProtection="1">
      <alignment horizontal="left" vertical="center" wrapText="1"/>
    </xf>
    <xf numFmtId="164" fontId="20" fillId="0" borderId="0" xfId="33" applyNumberFormat="1" applyFont="1" applyFill="1" applyBorder="1" applyAlignment="1" applyProtection="1">
      <alignment horizontal="center" vertical="center" wrapText="1"/>
    </xf>
    <xf numFmtId="167" fontId="20" fillId="0" borderId="0" xfId="32" applyNumberFormat="1" applyFont="1" applyFill="1" applyBorder="1" applyAlignment="1" applyProtection="1">
      <alignment horizontal="center" vertical="center" wrapText="1"/>
    </xf>
    <xf numFmtId="167" fontId="19" fillId="0" borderId="0" xfId="0" applyNumberFormat="1" applyFont="1" applyFill="1" applyBorder="1" applyAlignment="1"/>
    <xf numFmtId="9" fontId="19" fillId="0" borderId="0" xfId="33" applyFont="1" applyFill="1" applyBorder="1" applyAlignment="1"/>
    <xf numFmtId="166" fontId="19" fillId="0" borderId="0" xfId="0" applyNumberFormat="1" applyFont="1" applyFill="1" applyBorder="1" applyAlignment="1"/>
    <xf numFmtId="1" fontId="19" fillId="0" borderId="0" xfId="0" applyNumberFormat="1" applyFont="1" applyFill="1" applyBorder="1" applyAlignment="1">
      <alignment horizontal="center"/>
    </xf>
    <xf numFmtId="0" fontId="19" fillId="0" borderId="0" xfId="0" applyFont="1" applyFill="1" applyBorder="1"/>
    <xf numFmtId="0" fontId="0" fillId="0" borderId="0" xfId="0" applyBorder="1" applyAlignment="1">
      <alignment vertical="top" wrapText="1"/>
    </xf>
    <xf numFmtId="0" fontId="0" fillId="0" borderId="0" xfId="0" applyBorder="1" applyAlignment="1">
      <alignment horizontal="center" vertical="top" wrapText="1"/>
    </xf>
    <xf numFmtId="0" fontId="0" fillId="0" borderId="0" xfId="0" applyAlignment="1">
      <alignment vertical="top" wrapText="1"/>
    </xf>
    <xf numFmtId="0" fontId="10" fillId="0" borderId="0" xfId="0" applyFont="1" applyFill="1" applyBorder="1" applyAlignment="1">
      <alignment horizontal="center" vertical="top" wrapText="1"/>
    </xf>
    <xf numFmtId="0" fontId="0" fillId="0" borderId="9" xfId="0" applyBorder="1" applyAlignment="1">
      <alignment wrapText="1"/>
    </xf>
    <xf numFmtId="0" fontId="11" fillId="0" borderId="6" xfId="32" applyFont="1" applyBorder="1" applyAlignment="1">
      <alignment horizontal="center" vertical="center" wrapText="1"/>
    </xf>
    <xf numFmtId="0" fontId="11" fillId="0" borderId="9" xfId="32" applyFont="1" applyBorder="1" applyAlignment="1">
      <alignment horizontal="center" vertical="center" wrapText="1"/>
    </xf>
    <xf numFmtId="167" fontId="11" fillId="0" borderId="1" xfId="32" applyNumberFormat="1" applyFont="1" applyBorder="1" applyAlignment="1" applyProtection="1">
      <alignment horizontal="left" vertical="center" wrapText="1"/>
    </xf>
    <xf numFmtId="167" fontId="11" fillId="0" borderId="2" xfId="32" applyNumberFormat="1" applyFont="1" applyBorder="1" applyAlignment="1" applyProtection="1">
      <alignment horizontal="left" vertical="center" wrapText="1"/>
    </xf>
    <xf numFmtId="167" fontId="11" fillId="0" borderId="2" xfId="32" applyNumberFormat="1" applyFont="1" applyFill="1" applyBorder="1" applyAlignment="1" applyProtection="1">
      <alignment horizontal="left" vertical="center" wrapText="1"/>
    </xf>
    <xf numFmtId="0" fontId="12" fillId="0" borderId="4" xfId="32" applyFont="1" applyBorder="1" applyAlignment="1">
      <alignment horizontal="left" vertical="center" wrapText="1"/>
    </xf>
    <xf numFmtId="167" fontId="11" fillId="0" borderId="2" xfId="32" applyNumberFormat="1" applyFont="1" applyBorder="1" applyAlignment="1" applyProtection="1">
      <alignment horizontal="center" vertical="center" wrapText="1"/>
    </xf>
    <xf numFmtId="167" fontId="11" fillId="0" borderId="1" xfId="32" applyNumberFormat="1" applyFont="1" applyBorder="1" applyAlignment="1" applyProtection="1">
      <alignment horizontal="center" vertical="center" wrapText="1"/>
    </xf>
    <xf numFmtId="167" fontId="11" fillId="0" borderId="2" xfId="32" applyNumberFormat="1" applyFont="1" applyFill="1" applyBorder="1" applyAlignment="1" applyProtection="1">
      <alignment horizontal="center" vertical="center" wrapText="1"/>
    </xf>
    <xf numFmtId="167" fontId="11" fillId="0" borderId="1" xfId="32" applyNumberFormat="1" applyFont="1" applyBorder="1" applyAlignment="1">
      <alignment horizontal="center" vertical="center" wrapText="1"/>
    </xf>
    <xf numFmtId="167" fontId="11" fillId="0" borderId="2" xfId="32" applyNumberFormat="1" applyFont="1" applyBorder="1" applyAlignment="1">
      <alignment horizontal="center" vertical="center" wrapText="1"/>
    </xf>
    <xf numFmtId="167" fontId="11" fillId="0" borderId="3" xfId="32" applyNumberFormat="1" applyFont="1" applyBorder="1" applyAlignment="1">
      <alignment horizontal="center" vertical="center" wrapText="1"/>
    </xf>
    <xf numFmtId="167" fontId="12" fillId="0" borderId="4" xfId="32" applyNumberFormat="1" applyFont="1" applyBorder="1" applyAlignment="1">
      <alignment horizontal="center" vertical="center" wrapText="1"/>
    </xf>
    <xf numFmtId="167" fontId="12" fillId="0" borderId="1" xfId="32" applyNumberFormat="1" applyFont="1" applyBorder="1" applyAlignment="1">
      <alignment horizontal="center" vertical="center" wrapText="1"/>
    </xf>
    <xf numFmtId="0" fontId="7" fillId="0" borderId="3" xfId="0" applyFont="1" applyBorder="1" applyAlignment="1">
      <alignment vertical="top"/>
    </xf>
    <xf numFmtId="167" fontId="11" fillId="0" borderId="0" xfId="32" applyNumberFormat="1" applyFont="1" applyBorder="1" applyAlignment="1">
      <alignment horizontal="center" vertical="center" wrapText="1"/>
    </xf>
    <xf numFmtId="167" fontId="11" fillId="0" borderId="3" xfId="32" applyNumberFormat="1" applyFont="1" applyBorder="1" applyAlignment="1" applyProtection="1">
      <alignment horizontal="center" vertical="center" wrapText="1"/>
    </xf>
    <xf numFmtId="167" fontId="0" fillId="0" borderId="18" xfId="0" applyNumberFormat="1" applyBorder="1" applyAlignment="1">
      <alignment horizontal="center" vertical="center"/>
    </xf>
    <xf numFmtId="9" fontId="11" fillId="0" borderId="2" xfId="33" applyFont="1" applyBorder="1" applyAlignment="1" applyProtection="1">
      <alignment horizontal="center" vertical="center" wrapText="1"/>
    </xf>
    <xf numFmtId="0" fontId="0" fillId="0" borderId="7" xfId="0" applyBorder="1" applyAlignment="1">
      <alignment vertical="top" wrapText="1"/>
    </xf>
    <xf numFmtId="0" fontId="0" fillId="0" borderId="16" xfId="0" applyBorder="1" applyAlignment="1">
      <alignment vertical="top" wrapText="1"/>
    </xf>
    <xf numFmtId="0" fontId="0" fillId="0" borderId="5" xfId="0" applyBorder="1" applyAlignment="1">
      <alignment vertical="top" wrapText="1"/>
    </xf>
    <xf numFmtId="167" fontId="0" fillId="0" borderId="1" xfId="0" applyNumberFormat="1" applyBorder="1" applyAlignment="1"/>
    <xf numFmtId="167" fontId="0" fillId="0" borderId="2" xfId="0" applyNumberFormat="1" applyBorder="1" applyAlignment="1"/>
    <xf numFmtId="167" fontId="0" fillId="0" borderId="3" xfId="0" applyNumberFormat="1" applyBorder="1" applyAlignment="1"/>
    <xf numFmtId="167" fontId="11" fillId="0" borderId="3" xfId="32" applyNumberFormat="1" applyFont="1" applyFill="1" applyBorder="1" applyAlignment="1" applyProtection="1">
      <alignment horizontal="center" vertical="center" wrapText="1"/>
    </xf>
    <xf numFmtId="167" fontId="0" fillId="0" borderId="6" xfId="0" applyNumberFormat="1" applyBorder="1" applyAlignment="1"/>
    <xf numFmtId="167" fontId="0" fillId="0" borderId="11" xfId="0" applyNumberFormat="1" applyBorder="1" applyAlignment="1"/>
    <xf numFmtId="0" fontId="12" fillId="0" borderId="0" xfId="32" applyFont="1" applyBorder="1" applyAlignment="1">
      <alignment horizontal="left" vertical="center" wrapText="1"/>
    </xf>
    <xf numFmtId="167" fontId="12" fillId="0" borderId="0" xfId="32" applyNumberFormat="1" applyFont="1" applyBorder="1" applyAlignment="1">
      <alignment horizontal="center" vertical="center" wrapText="1"/>
    </xf>
    <xf numFmtId="9" fontId="11" fillId="0" borderId="0" xfId="33" applyFont="1" applyBorder="1" applyAlignment="1" applyProtection="1">
      <alignment horizontal="center" vertical="center" wrapText="1"/>
    </xf>
    <xf numFmtId="9" fontId="4" fillId="0" borderId="4" xfId="33" applyFont="1" applyBorder="1" applyAlignment="1"/>
    <xf numFmtId="167" fontId="0" fillId="0" borderId="0" xfId="0" applyNumberFormat="1" applyBorder="1" applyAlignment="1">
      <alignment horizontal="center" vertical="center"/>
    </xf>
    <xf numFmtId="0" fontId="4" fillId="0" borderId="4" xfId="0" applyFont="1" applyBorder="1" applyAlignment="1"/>
    <xf numFmtId="0" fontId="14" fillId="0" borderId="0" xfId="0" applyFont="1"/>
    <xf numFmtId="169" fontId="4" fillId="7" borderId="0" xfId="0" applyNumberFormat="1" applyFont="1" applyFill="1" applyAlignment="1">
      <alignment vertical="center" wrapText="1"/>
    </xf>
    <xf numFmtId="0" fontId="9" fillId="3" borderId="0" xfId="0" applyFont="1" applyFill="1"/>
    <xf numFmtId="0" fontId="15" fillId="3" borderId="0" xfId="0" applyFont="1" applyFill="1"/>
    <xf numFmtId="171" fontId="0" fillId="0" borderId="0" xfId="0" applyNumberFormat="1" applyFill="1" applyAlignment="1"/>
    <xf numFmtId="3" fontId="0" fillId="0" borderId="0" xfId="0" applyNumberFormat="1" applyFill="1" applyAlignment="1"/>
    <xf numFmtId="167" fontId="12" fillId="0" borderId="2" xfId="32" applyNumberFormat="1" applyFont="1" applyBorder="1" applyAlignment="1" applyProtection="1">
      <alignment horizontal="center" vertical="center" wrapText="1"/>
    </xf>
    <xf numFmtId="2" fontId="4" fillId="0" borderId="0" xfId="0" applyNumberFormat="1" applyFont="1" applyBorder="1" applyAlignment="1">
      <alignment horizontal="center"/>
    </xf>
    <xf numFmtId="9" fontId="0" fillId="0" borderId="0" xfId="33" applyFont="1" applyAlignment="1"/>
    <xf numFmtId="0" fontId="0" fillId="8" borderId="13" xfId="0" applyFill="1" applyBorder="1" applyAlignment="1"/>
    <xf numFmtId="0" fontId="0" fillId="8" borderId="14" xfId="0" applyFill="1" applyBorder="1" applyAlignment="1"/>
    <xf numFmtId="9" fontId="0" fillId="8" borderId="19" xfId="33" applyFont="1" applyFill="1" applyBorder="1" applyAlignment="1"/>
    <xf numFmtId="0" fontId="0" fillId="8" borderId="17" xfId="0" applyFill="1" applyBorder="1" applyAlignment="1"/>
    <xf numFmtId="0" fontId="0" fillId="8" borderId="0" xfId="0" applyFill="1" applyBorder="1" applyAlignment="1"/>
    <xf numFmtId="0" fontId="0" fillId="8" borderId="20" xfId="0" applyFill="1" applyBorder="1" applyAlignment="1"/>
    <xf numFmtId="0" fontId="0" fillId="8" borderId="21" xfId="0" applyFill="1" applyBorder="1" applyAlignment="1"/>
    <xf numFmtId="0" fontId="5" fillId="8" borderId="0" xfId="0" applyFont="1" applyFill="1"/>
    <xf numFmtId="0" fontId="13" fillId="8" borderId="0" xfId="0" applyFont="1" applyFill="1"/>
    <xf numFmtId="167" fontId="13" fillId="8" borderId="0" xfId="0" applyNumberFormat="1" applyFont="1" applyFill="1"/>
    <xf numFmtId="167" fontId="5" fillId="8" borderId="0" xfId="0" applyNumberFormat="1" applyFont="1" applyFill="1"/>
    <xf numFmtId="164" fontId="0" fillId="0" borderId="0" xfId="33" applyNumberFormat="1" applyFont="1" applyAlignment="1"/>
    <xf numFmtId="10" fontId="13" fillId="8" borderId="0" xfId="0" applyNumberFormat="1" applyFont="1" applyFill="1"/>
    <xf numFmtId="1" fontId="5" fillId="8" borderId="0" xfId="0" applyNumberFormat="1" applyFont="1" applyFill="1"/>
    <xf numFmtId="0" fontId="0" fillId="9" borderId="13" xfId="0" applyFill="1" applyBorder="1" applyAlignment="1"/>
    <xf numFmtId="0" fontId="0" fillId="9" borderId="14" xfId="0" applyFill="1" applyBorder="1" applyAlignment="1"/>
    <xf numFmtId="0" fontId="0" fillId="9" borderId="17" xfId="0" applyFill="1" applyBorder="1" applyAlignment="1"/>
    <xf numFmtId="0" fontId="0" fillId="9" borderId="0" xfId="0" applyFill="1" applyBorder="1" applyAlignment="1"/>
    <xf numFmtId="0" fontId="0" fillId="9" borderId="22" xfId="0" applyFill="1" applyBorder="1" applyAlignment="1"/>
    <xf numFmtId="0" fontId="0" fillId="9" borderId="4" xfId="0" applyFill="1" applyBorder="1" applyAlignment="1"/>
    <xf numFmtId="0" fontId="0" fillId="9" borderId="4" xfId="0" applyFill="1" applyBorder="1" applyAlignment="1">
      <alignment horizontal="center"/>
    </xf>
    <xf numFmtId="10" fontId="5" fillId="8" borderId="0" xfId="0" applyNumberFormat="1" applyFont="1" applyFill="1"/>
    <xf numFmtId="165" fontId="5" fillId="8" borderId="0" xfId="0" applyNumberFormat="1" applyFont="1" applyFill="1"/>
    <xf numFmtId="167" fontId="0" fillId="9" borderId="17" xfId="0" applyNumberFormat="1" applyFill="1" applyBorder="1" applyAlignment="1"/>
    <xf numFmtId="167" fontId="0" fillId="9" borderId="0" xfId="0" applyNumberFormat="1" applyFill="1" applyBorder="1" applyAlignment="1"/>
    <xf numFmtId="43" fontId="0" fillId="9" borderId="22" xfId="0" applyNumberFormat="1" applyFill="1" applyBorder="1" applyAlignment="1"/>
    <xf numFmtId="9" fontId="0" fillId="9" borderId="0" xfId="33" applyFont="1" applyFill="1" applyBorder="1" applyAlignment="1">
      <alignment horizontal="center"/>
    </xf>
    <xf numFmtId="9" fontId="0" fillId="9" borderId="22" xfId="33" applyFont="1" applyFill="1" applyBorder="1" applyAlignment="1"/>
    <xf numFmtId="0" fontId="0" fillId="9" borderId="20" xfId="0" applyFill="1" applyBorder="1" applyAlignment="1"/>
    <xf numFmtId="0" fontId="0" fillId="9" borderId="21" xfId="0" applyFill="1" applyBorder="1" applyAlignment="1"/>
    <xf numFmtId="166" fontId="5" fillId="8" borderId="0" xfId="0" applyNumberFormat="1" applyFont="1" applyFill="1"/>
    <xf numFmtId="167" fontId="5" fillId="0" borderId="0" xfId="0" applyNumberFormat="1" applyFont="1"/>
    <xf numFmtId="0" fontId="5" fillId="9" borderId="6" xfId="0" applyFont="1" applyFill="1" applyBorder="1"/>
    <xf numFmtId="0" fontId="0" fillId="9" borderId="6" xfId="0" applyFill="1" applyBorder="1" applyAlignment="1">
      <alignment wrapText="1"/>
    </xf>
    <xf numFmtId="0" fontId="0" fillId="9" borderId="1" xfId="0" applyFill="1" applyBorder="1" applyAlignment="1">
      <alignment horizontal="center"/>
    </xf>
    <xf numFmtId="0" fontId="0" fillId="9" borderId="15" xfId="0" applyFill="1" applyBorder="1" applyAlignment="1"/>
    <xf numFmtId="0" fontId="5" fillId="9" borderId="9" xfId="0" applyFont="1" applyFill="1" applyBorder="1"/>
    <xf numFmtId="0" fontId="0" fillId="9" borderId="9" xfId="0" applyFill="1" applyBorder="1" applyAlignment="1"/>
    <xf numFmtId="0" fontId="0" fillId="9" borderId="2" xfId="0" applyFill="1" applyBorder="1" applyAlignment="1"/>
    <xf numFmtId="0" fontId="0" fillId="5" borderId="17" xfId="0" applyFill="1" applyBorder="1" applyAlignment="1"/>
    <xf numFmtId="167" fontId="0" fillId="9" borderId="10" xfId="0" applyNumberFormat="1" applyFill="1" applyBorder="1" applyAlignment="1">
      <alignment horizontal="center"/>
    </xf>
    <xf numFmtId="0" fontId="5" fillId="9" borderId="9" xfId="0" applyFont="1" applyFill="1" applyBorder="1" applyAlignment="1"/>
    <xf numFmtId="0" fontId="0" fillId="9" borderId="11" xfId="0" applyFill="1" applyBorder="1" applyAlignment="1"/>
    <xf numFmtId="0" fontId="0" fillId="9" borderId="18" xfId="0" applyFill="1" applyBorder="1" applyAlignment="1"/>
    <xf numFmtId="0" fontId="0" fillId="9" borderId="3" xfId="0" applyFill="1" applyBorder="1" applyAlignment="1"/>
    <xf numFmtId="9" fontId="0" fillId="9" borderId="18" xfId="33" applyFont="1" applyFill="1" applyBorder="1" applyAlignment="1"/>
    <xf numFmtId="167" fontId="0" fillId="0" borderId="0" xfId="0" applyNumberFormat="1"/>
    <xf numFmtId="167" fontId="11" fillId="0" borderId="3" xfId="32" applyNumberFormat="1" applyFont="1" applyBorder="1" applyAlignment="1" applyProtection="1">
      <alignment horizontal="left" vertical="center" wrapText="1"/>
    </xf>
    <xf numFmtId="9" fontId="11" fillId="0" borderId="1" xfId="33" applyFont="1" applyBorder="1" applyAlignment="1" applyProtection="1">
      <alignment horizontal="center" vertical="center" wrapText="1"/>
    </xf>
    <xf numFmtId="9" fontId="11" fillId="0" borderId="3" xfId="33" applyFont="1" applyBorder="1" applyAlignment="1" applyProtection="1">
      <alignment horizontal="center" vertical="center" wrapText="1"/>
    </xf>
    <xf numFmtId="166" fontId="0" fillId="0" borderId="2" xfId="0" applyNumberFormat="1" applyBorder="1" applyAlignment="1"/>
    <xf numFmtId="166" fontId="0" fillId="0" borderId="11" xfId="0" applyNumberFormat="1" applyBorder="1" applyAlignment="1"/>
    <xf numFmtId="166" fontId="0" fillId="0" borderId="3" xfId="0" applyNumberFormat="1" applyBorder="1" applyAlignment="1"/>
    <xf numFmtId="164" fontId="11" fillId="0" borderId="11" xfId="33" applyNumberFormat="1" applyFont="1" applyBorder="1" applyAlignment="1" applyProtection="1">
      <alignment horizontal="center" vertical="center" wrapText="1"/>
    </xf>
    <xf numFmtId="167" fontId="11" fillId="0" borderId="12" xfId="32" applyNumberFormat="1" applyFont="1" applyBorder="1" applyAlignment="1" applyProtection="1">
      <alignment horizontal="center" vertical="center" wrapText="1"/>
    </xf>
    <xf numFmtId="0" fontId="4" fillId="4" borderId="1" xfId="0" applyFont="1" applyFill="1" applyBorder="1" applyAlignment="1">
      <alignment vertical="top" wrapText="1"/>
    </xf>
    <xf numFmtId="9" fontId="0" fillId="0" borderId="8" xfId="33" applyFont="1" applyBorder="1"/>
    <xf numFmtId="9" fontId="0" fillId="0" borderId="10" xfId="33" applyFont="1" applyBorder="1"/>
    <xf numFmtId="9" fontId="0" fillId="0" borderId="12" xfId="33" applyFont="1" applyBorder="1"/>
    <xf numFmtId="0" fontId="4" fillId="4" borderId="3" xfId="0" applyFont="1" applyFill="1" applyBorder="1" applyAlignment="1">
      <alignment vertical="top" wrapText="1"/>
    </xf>
    <xf numFmtId="0" fontId="5" fillId="0" borderId="0" xfId="0" applyFont="1" applyBorder="1" applyAlignment="1">
      <alignment vertical="top" wrapText="1"/>
    </xf>
    <xf numFmtId="9" fontId="5" fillId="0" borderId="0" xfId="33" applyFont="1" applyBorder="1" applyAlignment="1">
      <alignment vertical="top" wrapText="1"/>
    </xf>
    <xf numFmtId="0" fontId="7" fillId="0" borderId="0" xfId="0" applyFont="1" applyBorder="1" applyAlignment="1">
      <alignment vertical="top"/>
    </xf>
    <xf numFmtId="9" fontId="0" fillId="0" borderId="0" xfId="33" applyFont="1" applyFill="1" applyBorder="1"/>
    <xf numFmtId="175" fontId="0" fillId="0" borderId="0" xfId="33" applyNumberFormat="1" applyFont="1" applyFill="1" applyBorder="1" applyAlignment="1">
      <alignment horizontal="center"/>
    </xf>
    <xf numFmtId="0" fontId="4" fillId="0" borderId="1" xfId="0" applyFont="1" applyFill="1" applyBorder="1" applyAlignment="1"/>
    <xf numFmtId="167" fontId="4" fillId="0" borderId="8" xfId="0" applyNumberFormat="1" applyFont="1" applyFill="1" applyBorder="1" applyAlignment="1"/>
    <xf numFmtId="0" fontId="4" fillId="0" borderId="2" xfId="0" applyFont="1" applyFill="1" applyBorder="1" applyAlignment="1"/>
    <xf numFmtId="167" fontId="4" fillId="0" borderId="10" xfId="0" applyNumberFormat="1" applyFont="1" applyFill="1" applyBorder="1" applyAlignment="1"/>
    <xf numFmtId="9" fontId="4" fillId="0" borderId="10" xfId="33" applyFont="1" applyFill="1" applyBorder="1" applyAlignment="1"/>
    <xf numFmtId="9" fontId="4" fillId="0" borderId="2" xfId="33" applyFont="1" applyFill="1" applyBorder="1" applyAlignment="1"/>
    <xf numFmtId="0" fontId="4" fillId="0" borderId="3" xfId="0" applyFont="1" applyFill="1" applyBorder="1" applyAlignment="1"/>
    <xf numFmtId="9" fontId="4" fillId="0" borderId="12" xfId="33" applyFont="1" applyFill="1" applyBorder="1" applyAlignment="1"/>
    <xf numFmtId="9" fontId="4" fillId="0" borderId="3" xfId="33" applyFont="1" applyFill="1" applyBorder="1" applyAlignment="1"/>
    <xf numFmtId="167" fontId="11" fillId="0" borderId="8" xfId="32" applyNumberFormat="1" applyFont="1" applyBorder="1" applyAlignment="1" applyProtection="1">
      <alignment horizontal="center" vertical="center" wrapText="1"/>
    </xf>
    <xf numFmtId="0" fontId="18" fillId="0" borderId="0" xfId="0" applyFont="1" applyBorder="1" applyAlignment="1">
      <alignment vertical="top" wrapText="1"/>
    </xf>
    <xf numFmtId="0" fontId="12" fillId="0" borderId="1" xfId="32" applyFont="1" applyBorder="1" applyAlignment="1">
      <alignment horizontal="left" vertical="center" wrapText="1"/>
    </xf>
    <xf numFmtId="166" fontId="0" fillId="0" borderId="6" xfId="0" applyNumberFormat="1" applyBorder="1" applyAlignment="1"/>
    <xf numFmtId="166" fontId="0" fillId="0" borderId="1" xfId="0" applyNumberFormat="1" applyBorder="1" applyAlignment="1"/>
    <xf numFmtId="164" fontId="11" fillId="0" borderId="6" xfId="33" applyNumberFormat="1" applyFont="1" applyFill="1" applyBorder="1" applyAlignment="1" applyProtection="1">
      <alignment horizontal="center" vertical="center" wrapText="1"/>
    </xf>
    <xf numFmtId="164" fontId="11" fillId="0" borderId="11" xfId="33" applyNumberFormat="1" applyFont="1" applyFill="1" applyBorder="1" applyAlignment="1" applyProtection="1">
      <alignment horizontal="center" vertical="center" wrapText="1"/>
    </xf>
    <xf numFmtId="164" fontId="4" fillId="0" borderId="7" xfId="0" applyNumberFormat="1" applyFont="1" applyBorder="1" applyAlignment="1">
      <alignment horizontal="center" vertical="center"/>
    </xf>
    <xf numFmtId="164" fontId="0" fillId="0" borderId="6" xfId="0" applyNumberFormat="1" applyBorder="1" applyAlignment="1">
      <alignment horizontal="center"/>
    </xf>
    <xf numFmtId="164" fontId="0" fillId="0" borderId="9" xfId="0" applyNumberFormat="1" applyBorder="1" applyAlignment="1">
      <alignment horizontal="center"/>
    </xf>
    <xf numFmtId="164" fontId="0" fillId="0" borderId="11" xfId="0" applyNumberFormat="1" applyBorder="1" applyAlignment="1">
      <alignment horizontal="center"/>
    </xf>
    <xf numFmtId="164" fontId="4" fillId="0" borderId="6" xfId="0" applyNumberFormat="1" applyFont="1" applyBorder="1" applyAlignment="1">
      <alignment horizontal="center"/>
    </xf>
    <xf numFmtId="0" fontId="19" fillId="0" borderId="0" xfId="0" applyFont="1" applyFill="1" applyBorder="1" applyAlignment="1">
      <alignment vertical="top" wrapText="1"/>
    </xf>
    <xf numFmtId="0" fontId="4" fillId="10" borderId="0" xfId="0" applyFont="1" applyFill="1"/>
    <xf numFmtId="0" fontId="21" fillId="0" borderId="0" xfId="0" applyFont="1" applyFill="1" applyAlignment="1"/>
    <xf numFmtId="0" fontId="21" fillId="0" borderId="0" xfId="0" applyFont="1" applyFill="1"/>
    <xf numFmtId="167" fontId="21" fillId="0" borderId="0" xfId="0" applyNumberFormat="1" applyFont="1" applyFill="1"/>
    <xf numFmtId="0" fontId="21" fillId="10" borderId="0" xfId="0" applyFont="1" applyFill="1" applyAlignment="1"/>
    <xf numFmtId="0" fontId="21" fillId="10" borderId="0" xfId="0" applyFont="1" applyFill="1"/>
    <xf numFmtId="167" fontId="21" fillId="10" borderId="0" xfId="0" applyNumberFormat="1" applyFont="1" applyFill="1"/>
    <xf numFmtId="9" fontId="19" fillId="9" borderId="22" xfId="33" applyFont="1" applyFill="1" applyBorder="1" applyAlignment="1"/>
    <xf numFmtId="0" fontId="3" fillId="5" borderId="17" xfId="0" applyFont="1" applyFill="1" applyBorder="1" applyAlignment="1"/>
    <xf numFmtId="0" fontId="19" fillId="0" borderId="0" xfId="0" applyFont="1" applyAlignment="1"/>
    <xf numFmtId="0" fontId="13" fillId="0" borderId="0" xfId="0" applyFont="1" applyFill="1" applyBorder="1" applyAlignment="1"/>
    <xf numFmtId="167" fontId="13" fillId="0" borderId="0" xfId="0" applyNumberFormat="1" applyFont="1" applyFill="1" applyBorder="1" applyAlignment="1"/>
    <xf numFmtId="9" fontId="4" fillId="0" borderId="2" xfId="33" applyNumberFormat="1" applyFont="1" applyFill="1" applyBorder="1" applyAlignment="1"/>
    <xf numFmtId="9" fontId="4" fillId="0" borderId="7" xfId="33" applyFont="1" applyBorder="1" applyAlignment="1">
      <alignment horizontal="center"/>
    </xf>
    <xf numFmtId="0" fontId="1" fillId="0" borderId="9" xfId="0" applyFont="1" applyBorder="1"/>
    <xf numFmtId="0" fontId="13" fillId="0" borderId="0" xfId="0" applyFont="1" applyAlignment="1">
      <alignment vertical="top" wrapText="1"/>
    </xf>
    <xf numFmtId="0" fontId="1" fillId="0" borderId="2" xfId="0" applyFont="1" applyBorder="1"/>
    <xf numFmtId="0" fontId="1" fillId="0" borderId="11" xfId="0" applyFont="1" applyBorder="1"/>
    <xf numFmtId="0" fontId="1" fillId="0" borderId="3" xfId="0" applyFont="1" applyBorder="1"/>
    <xf numFmtId="0" fontId="13" fillId="0" borderId="0" xfId="0" applyFont="1"/>
    <xf numFmtId="164" fontId="0" fillId="0" borderId="0" xfId="33" applyNumberFormat="1" applyFont="1"/>
    <xf numFmtId="0" fontId="22" fillId="0" borderId="0" xfId="0" applyFont="1"/>
    <xf numFmtId="0" fontId="17" fillId="0" borderId="0" xfId="11" applyAlignment="1" applyProtection="1"/>
    <xf numFmtId="0" fontId="5" fillId="0" borderId="0" xfId="16" applyProtection="1"/>
    <xf numFmtId="167" fontId="5" fillId="10" borderId="27" xfId="16" applyNumberFormat="1" applyFill="1" applyBorder="1" applyAlignment="1" applyProtection="1">
      <alignment horizontal="center" vertical="center"/>
    </xf>
    <xf numFmtId="167" fontId="5" fillId="10" borderId="4" xfId="16" applyNumberFormat="1" applyFill="1" applyBorder="1" applyAlignment="1" applyProtection="1">
      <alignment horizontal="center" vertical="center"/>
    </xf>
    <xf numFmtId="167" fontId="5" fillId="10" borderId="28" xfId="16" applyNumberFormat="1" applyFill="1" applyBorder="1" applyAlignment="1" applyProtection="1">
      <alignment horizontal="center" vertical="center"/>
    </xf>
    <xf numFmtId="0" fontId="0" fillId="0" borderId="0" xfId="0" applyProtection="1"/>
    <xf numFmtId="167" fontId="5" fillId="10" borderId="29" xfId="16" applyNumberFormat="1" applyFill="1" applyBorder="1" applyAlignment="1" applyProtection="1">
      <alignment horizontal="center" vertical="center"/>
    </xf>
    <xf numFmtId="167" fontId="5" fillId="10" borderId="30" xfId="16" applyNumberFormat="1" applyFill="1" applyBorder="1" applyAlignment="1" applyProtection="1">
      <alignment horizontal="center" vertical="center"/>
    </xf>
    <xf numFmtId="167" fontId="5" fillId="10" borderId="31" xfId="16" applyNumberFormat="1" applyFill="1" applyBorder="1" applyAlignment="1" applyProtection="1">
      <alignment horizontal="center" vertical="center"/>
    </xf>
    <xf numFmtId="1" fontId="12" fillId="0" borderId="20" xfId="25" applyNumberFormat="1" applyFont="1" applyBorder="1" applyProtection="1"/>
    <xf numFmtId="1" fontId="12" fillId="0" borderId="21" xfId="25" applyNumberFormat="1" applyFont="1" applyBorder="1" applyProtection="1"/>
    <xf numFmtId="1" fontId="11" fillId="0" borderId="17" xfId="25" applyNumberFormat="1" applyFont="1" applyFill="1" applyBorder="1" applyProtection="1"/>
    <xf numFmtId="0" fontId="12" fillId="0" borderId="0" xfId="25" applyFont="1" applyBorder="1" applyAlignment="1" applyProtection="1"/>
    <xf numFmtId="0" fontId="11" fillId="0" borderId="0" xfId="25" applyFont="1" applyBorder="1" applyProtection="1"/>
    <xf numFmtId="1" fontId="11" fillId="0" borderId="32" xfId="25" applyNumberFormat="1" applyFont="1" applyFill="1" applyBorder="1" applyAlignment="1" applyProtection="1">
      <alignment horizontal="center"/>
    </xf>
    <xf numFmtId="1" fontId="11" fillId="0" borderId="34" xfId="25" applyNumberFormat="1" applyFont="1" applyFill="1" applyBorder="1" applyAlignment="1" applyProtection="1">
      <alignment horizontal="center"/>
    </xf>
    <xf numFmtId="1" fontId="11" fillId="0" borderId="35" xfId="25" applyNumberFormat="1" applyFont="1" applyFill="1" applyBorder="1" applyAlignment="1" applyProtection="1">
      <alignment horizontal="center"/>
    </xf>
    <xf numFmtId="1" fontId="11" fillId="0" borderId="36" xfId="25" applyNumberFormat="1" applyFont="1" applyFill="1" applyBorder="1" applyAlignment="1" applyProtection="1">
      <alignment horizontal="center"/>
    </xf>
    <xf numFmtId="0" fontId="12" fillId="0" borderId="0" xfId="25" applyFont="1" applyBorder="1" applyProtection="1"/>
    <xf numFmtId="1" fontId="11" fillId="0" borderId="33" xfId="25" applyNumberFormat="1" applyFont="1" applyFill="1" applyBorder="1" applyAlignment="1" applyProtection="1">
      <alignment horizontal="center"/>
    </xf>
    <xf numFmtId="1" fontId="11" fillId="0" borderId="37" xfId="25" applyNumberFormat="1" applyFont="1" applyFill="1" applyBorder="1" applyAlignment="1" applyProtection="1">
      <alignment horizontal="center"/>
    </xf>
    <xf numFmtId="1" fontId="11" fillId="0" borderId="2" xfId="25" applyNumberFormat="1" applyFont="1" applyFill="1" applyBorder="1" applyAlignment="1" applyProtection="1">
      <alignment horizontal="center"/>
    </xf>
    <xf numFmtId="1" fontId="11" fillId="0" borderId="9" xfId="25" applyNumberFormat="1" applyFont="1" applyFill="1" applyBorder="1" applyAlignment="1" applyProtection="1">
      <alignment horizontal="center"/>
    </xf>
    <xf numFmtId="167" fontId="11" fillId="0" borderId="33" xfId="25" applyNumberFormat="1" applyFont="1" applyFill="1" applyBorder="1" applyAlignment="1" applyProtection="1">
      <alignment horizontal="center"/>
    </xf>
    <xf numFmtId="0" fontId="11" fillId="0" borderId="17" xfId="25" applyFont="1" applyBorder="1" applyProtection="1"/>
    <xf numFmtId="168" fontId="12" fillId="10" borderId="38" xfId="25" applyNumberFormat="1" applyFont="1" applyFill="1" applyBorder="1" applyAlignment="1" applyProtection="1">
      <alignment horizontal="center"/>
    </xf>
    <xf numFmtId="168" fontId="11" fillId="0" borderId="27" xfId="25" applyNumberFormat="1" applyFont="1" applyFill="1" applyBorder="1" applyAlignment="1" applyProtection="1">
      <alignment horizontal="center"/>
    </xf>
    <xf numFmtId="168" fontId="11" fillId="0" borderId="4" xfId="25" applyNumberFormat="1" applyFont="1" applyFill="1" applyBorder="1" applyAlignment="1" applyProtection="1">
      <alignment horizontal="center"/>
    </xf>
    <xf numFmtId="167" fontId="23" fillId="9" borderId="38" xfId="25" applyNumberFormat="1" applyFont="1" applyFill="1" applyBorder="1" applyAlignment="1" applyProtection="1">
      <alignment horizontal="center"/>
      <protection locked="0"/>
    </xf>
    <xf numFmtId="168" fontId="11" fillId="0" borderId="7" xfId="25" applyNumberFormat="1" applyFont="1" applyFill="1" applyBorder="1" applyAlignment="1" applyProtection="1">
      <alignment horizontal="center"/>
    </xf>
    <xf numFmtId="168" fontId="12" fillId="0" borderId="33" xfId="25" applyNumberFormat="1" applyFont="1" applyFill="1" applyBorder="1" applyAlignment="1" applyProtection="1">
      <alignment horizontal="center"/>
    </xf>
    <xf numFmtId="168" fontId="11" fillId="0" borderId="37" xfId="25" applyNumberFormat="1" applyFont="1" applyFill="1" applyBorder="1" applyAlignment="1" applyProtection="1">
      <alignment horizontal="center"/>
    </xf>
    <xf numFmtId="168" fontId="11" fillId="0" borderId="2" xfId="25" applyNumberFormat="1" applyFont="1" applyFill="1" applyBorder="1" applyAlignment="1" applyProtection="1">
      <alignment horizontal="center"/>
    </xf>
    <xf numFmtId="168" fontId="11" fillId="0" borderId="9" xfId="25" applyNumberFormat="1" applyFont="1" applyFill="1" applyBorder="1" applyAlignment="1" applyProtection="1">
      <alignment horizontal="center"/>
    </xf>
    <xf numFmtId="167" fontId="11" fillId="0" borderId="33" xfId="25" applyNumberFormat="1" applyFont="1" applyFill="1" applyBorder="1" applyAlignment="1" applyProtection="1">
      <alignment horizontal="center"/>
      <protection locked="0"/>
    </xf>
    <xf numFmtId="168" fontId="23" fillId="0" borderId="39" xfId="25" applyNumberFormat="1" applyFont="1" applyFill="1" applyBorder="1" applyAlignment="1" applyProtection="1">
      <alignment horizontal="center"/>
    </xf>
    <xf numFmtId="168" fontId="11" fillId="0" borderId="40" xfId="25" applyNumberFormat="1" applyFont="1" applyFill="1" applyBorder="1" applyAlignment="1" applyProtection="1">
      <alignment horizontal="center"/>
    </xf>
    <xf numFmtId="168" fontId="11" fillId="0" borderId="41" xfId="25" applyNumberFormat="1" applyFont="1" applyFill="1" applyBorder="1" applyAlignment="1" applyProtection="1">
      <alignment horizontal="center"/>
    </xf>
    <xf numFmtId="168" fontId="11" fillId="0" borderId="42" xfId="25" applyNumberFormat="1" applyFont="1" applyFill="1" applyBorder="1" applyAlignment="1" applyProtection="1">
      <alignment horizontal="center"/>
    </xf>
    <xf numFmtId="168" fontId="11" fillId="0" borderId="39" xfId="25" applyNumberFormat="1" applyFont="1" applyFill="1" applyBorder="1" applyAlignment="1" applyProtection="1">
      <alignment horizontal="center"/>
    </xf>
    <xf numFmtId="167" fontId="23" fillId="0" borderId="39" xfId="25" applyNumberFormat="1" applyFont="1" applyFill="1" applyBorder="1" applyAlignment="1" applyProtection="1">
      <alignment horizontal="center"/>
      <protection locked="0"/>
    </xf>
    <xf numFmtId="0" fontId="11" fillId="0" borderId="13" xfId="25" applyFont="1" applyBorder="1" applyProtection="1"/>
    <xf numFmtId="0" fontId="12" fillId="0" borderId="14" xfId="25" applyFont="1" applyBorder="1" applyAlignment="1" applyProtection="1"/>
    <xf numFmtId="0" fontId="11" fillId="0" borderId="0" xfId="22" applyFont="1" applyAlignment="1" applyProtection="1"/>
    <xf numFmtId="168" fontId="12" fillId="0" borderId="32" xfId="25" applyNumberFormat="1" applyFont="1" applyFill="1" applyBorder="1" applyAlignment="1" applyProtection="1">
      <alignment horizontal="center"/>
    </xf>
    <xf numFmtId="168" fontId="11" fillId="0" borderId="34" xfId="25" applyNumberFormat="1" applyFont="1" applyFill="1" applyBorder="1" applyAlignment="1" applyProtection="1">
      <alignment horizontal="center"/>
    </xf>
    <xf numFmtId="168" fontId="11" fillId="0" borderId="35" xfId="25" applyNumberFormat="1" applyFont="1" applyFill="1" applyBorder="1" applyAlignment="1" applyProtection="1">
      <alignment horizontal="center"/>
    </xf>
    <xf numFmtId="168" fontId="11" fillId="0" borderId="36" xfId="25" applyNumberFormat="1" applyFont="1" applyFill="1" applyBorder="1" applyAlignment="1" applyProtection="1">
      <alignment horizontal="center"/>
    </xf>
    <xf numFmtId="167" fontId="11" fillId="0" borderId="32" xfId="25" applyNumberFormat="1" applyFont="1" applyFill="1" applyBorder="1" applyAlignment="1" applyProtection="1">
      <alignment horizontal="center"/>
      <protection locked="0"/>
    </xf>
    <xf numFmtId="167" fontId="23" fillId="0" borderId="39" xfId="25" applyNumberFormat="1" applyFont="1" applyFill="1" applyBorder="1" applyAlignment="1" applyProtection="1">
      <alignment horizontal="center"/>
    </xf>
    <xf numFmtId="167" fontId="24" fillId="9" borderId="27" xfId="16" applyNumberFormat="1" applyFont="1" applyFill="1" applyBorder="1" applyAlignment="1" applyProtection="1">
      <alignment horizontal="center" vertical="center"/>
      <protection locked="0"/>
    </xf>
    <xf numFmtId="167" fontId="24" fillId="9" borderId="5" xfId="16" applyNumberFormat="1" applyFont="1" applyFill="1" applyBorder="1" applyAlignment="1" applyProtection="1">
      <alignment horizontal="center" vertical="center"/>
      <protection locked="0"/>
    </xf>
    <xf numFmtId="167" fontId="24" fillId="9" borderId="28" xfId="16" applyNumberFormat="1" applyFont="1" applyFill="1" applyBorder="1" applyAlignment="1" applyProtection="1">
      <alignment horizontal="center" vertical="center"/>
      <protection locked="0"/>
    </xf>
    <xf numFmtId="167" fontId="24" fillId="9" borderId="4" xfId="16" applyNumberFormat="1" applyFont="1" applyFill="1" applyBorder="1" applyAlignment="1" applyProtection="1">
      <alignment horizontal="center" vertical="center"/>
      <protection locked="0"/>
    </xf>
    <xf numFmtId="167" fontId="24" fillId="11" borderId="27" xfId="16" applyNumberFormat="1" applyFont="1" applyFill="1" applyBorder="1" applyAlignment="1" applyProtection="1">
      <alignment horizontal="center" vertical="center"/>
    </xf>
    <xf numFmtId="167" fontId="24" fillId="11" borderId="5" xfId="16" applyNumberFormat="1" applyFont="1" applyFill="1" applyBorder="1" applyAlignment="1" applyProtection="1">
      <alignment horizontal="center" vertical="center"/>
    </xf>
    <xf numFmtId="167" fontId="24" fillId="11" borderId="29" xfId="16" applyNumberFormat="1" applyFont="1" applyFill="1" applyBorder="1" applyAlignment="1" applyProtection="1">
      <alignment horizontal="center" vertical="center"/>
    </xf>
    <xf numFmtId="167" fontId="24" fillId="11" borderId="45" xfId="16" applyNumberFormat="1" applyFont="1" applyFill="1" applyBorder="1" applyAlignment="1" applyProtection="1">
      <alignment horizontal="center" vertical="center"/>
    </xf>
    <xf numFmtId="167" fontId="24" fillId="9" borderId="45" xfId="16" applyNumberFormat="1" applyFont="1" applyFill="1" applyBorder="1" applyAlignment="1" applyProtection="1">
      <alignment horizontal="center" vertical="center"/>
      <protection locked="0"/>
    </xf>
    <xf numFmtId="167" fontId="24" fillId="9" borderId="31" xfId="16" applyNumberFormat="1" applyFont="1" applyFill="1" applyBorder="1" applyAlignment="1" applyProtection="1">
      <alignment horizontal="center" vertical="center"/>
      <protection locked="0"/>
    </xf>
    <xf numFmtId="167" fontId="24" fillId="9" borderId="30" xfId="16" applyNumberFormat="1" applyFont="1" applyFill="1" applyBorder="1" applyAlignment="1" applyProtection="1">
      <alignment horizontal="center" vertical="center"/>
      <protection locked="0"/>
    </xf>
    <xf numFmtId="0" fontId="5" fillId="0" borderId="0" xfId="16" applyAlignment="1" applyProtection="1">
      <alignment horizontal="center"/>
    </xf>
    <xf numFmtId="0" fontId="5" fillId="0" borderId="47" xfId="16" applyBorder="1" applyAlignment="1" applyProtection="1">
      <alignment horizontal="centerContinuous" vertical="center"/>
    </xf>
    <xf numFmtId="0" fontId="5" fillId="0" borderId="48" xfId="16" applyBorder="1" applyAlignment="1" applyProtection="1">
      <alignment horizontal="centerContinuous" vertical="center"/>
    </xf>
    <xf numFmtId="0" fontId="5" fillId="0" borderId="17" xfId="16" applyBorder="1" applyProtection="1"/>
    <xf numFmtId="0" fontId="5" fillId="0" borderId="0" xfId="16" applyAlignment="1" applyProtection="1">
      <alignment horizontal="center" vertical="center"/>
    </xf>
    <xf numFmtId="0" fontId="5" fillId="0" borderId="50" xfId="16" applyFill="1" applyBorder="1" applyAlignment="1" applyProtection="1">
      <alignment horizontal="center"/>
    </xf>
    <xf numFmtId="0" fontId="5" fillId="0" borderId="50" xfId="16" applyNumberFormat="1" applyBorder="1" applyAlignment="1" applyProtection="1">
      <alignment horizontal="center"/>
    </xf>
    <xf numFmtId="0" fontId="5" fillId="0" borderId="0" xfId="16" applyBorder="1" applyAlignment="1" applyProtection="1">
      <alignment horizontal="center" vertical="center"/>
    </xf>
    <xf numFmtId="0" fontId="5" fillId="0" borderId="22" xfId="16" applyBorder="1" applyAlignment="1" applyProtection="1">
      <alignment horizontal="center" vertical="center"/>
    </xf>
    <xf numFmtId="0" fontId="5" fillId="0" borderId="51" xfId="16" applyBorder="1" applyProtection="1"/>
    <xf numFmtId="0" fontId="0" fillId="0" borderId="0" xfId="0" applyBorder="1" applyProtection="1"/>
    <xf numFmtId="0" fontId="0" fillId="0" borderId="0" xfId="0" applyAlignment="1" applyProtection="1">
      <alignment horizontal="center"/>
    </xf>
    <xf numFmtId="0" fontId="5" fillId="0" borderId="13" xfId="16" applyBorder="1" applyProtection="1"/>
    <xf numFmtId="0" fontId="5" fillId="0" borderId="9" xfId="16" applyFill="1" applyBorder="1" applyAlignment="1" applyProtection="1">
      <alignment horizontal="center"/>
    </xf>
    <xf numFmtId="0" fontId="5" fillId="0" borderId="9" xfId="16" applyNumberFormat="1" applyBorder="1" applyAlignment="1" applyProtection="1">
      <alignment horizontal="center"/>
    </xf>
    <xf numFmtId="0" fontId="5" fillId="0" borderId="0" xfId="16" applyBorder="1" applyProtection="1"/>
    <xf numFmtId="0" fontId="5" fillId="0" borderId="0" xfId="16" applyBorder="1" applyAlignment="1" applyProtection="1">
      <alignment horizontal="center"/>
    </xf>
    <xf numFmtId="0" fontId="10" fillId="0" borderId="0" xfId="0" applyFont="1"/>
    <xf numFmtId="0" fontId="25" fillId="0" borderId="0" xfId="0" applyFont="1" applyFill="1" applyBorder="1"/>
    <xf numFmtId="0" fontId="9" fillId="0" borderId="0" xfId="0" applyFont="1"/>
    <xf numFmtId="0" fontId="26" fillId="0" borderId="0" xfId="0" applyFont="1" applyBorder="1" applyAlignment="1">
      <alignment horizontal="center"/>
    </xf>
    <xf numFmtId="0" fontId="5" fillId="0" borderId="17" xfId="16" applyFill="1" applyBorder="1" applyAlignment="1" applyProtection="1">
      <alignment horizontal="center" vertical="center"/>
    </xf>
    <xf numFmtId="0" fontId="5" fillId="0" borderId="0" xfId="16" applyFill="1" applyBorder="1" applyAlignment="1" applyProtection="1">
      <alignment horizontal="center" vertical="center"/>
    </xf>
    <xf numFmtId="0" fontId="5" fillId="0" borderId="22" xfId="16" applyFill="1" applyBorder="1" applyAlignment="1" applyProtection="1">
      <alignment horizontal="center" vertical="center"/>
    </xf>
    <xf numFmtId="167" fontId="0" fillId="0" borderId="0" xfId="0" applyNumberFormat="1" applyBorder="1" applyProtection="1"/>
    <xf numFmtId="167" fontId="0" fillId="0" borderId="0" xfId="0" applyNumberFormat="1" applyProtection="1"/>
    <xf numFmtId="167" fontId="18" fillId="0" borderId="0" xfId="0" applyNumberFormat="1" applyFont="1" applyProtection="1"/>
    <xf numFmtId="167" fontId="5" fillId="0" borderId="17" xfId="16" applyNumberFormat="1" applyFill="1" applyBorder="1" applyAlignment="1" applyProtection="1">
      <alignment horizontal="center" vertical="center"/>
    </xf>
    <xf numFmtId="167" fontId="5" fillId="0" borderId="0" xfId="16" applyNumberFormat="1" applyFill="1" applyBorder="1" applyAlignment="1" applyProtection="1">
      <alignment horizontal="center" vertical="center"/>
    </xf>
    <xf numFmtId="167" fontId="5" fillId="0" borderId="22" xfId="16" applyNumberFormat="1" applyFill="1" applyBorder="1" applyAlignment="1" applyProtection="1">
      <alignment horizontal="center" vertical="center"/>
    </xf>
    <xf numFmtId="167" fontId="5" fillId="0" borderId="0" xfId="16" applyNumberFormat="1" applyBorder="1" applyAlignment="1" applyProtection="1">
      <alignment horizontal="center" vertical="center"/>
    </xf>
    <xf numFmtId="167" fontId="5" fillId="0" borderId="22" xfId="16" applyNumberFormat="1" applyBorder="1" applyAlignment="1" applyProtection="1">
      <alignment horizontal="center" vertical="center"/>
    </xf>
    <xf numFmtId="0" fontId="5" fillId="0" borderId="0" xfId="16" applyProtection="1">
      <protection locked="0"/>
    </xf>
    <xf numFmtId="0" fontId="24" fillId="9" borderId="4" xfId="16" applyFont="1" applyFill="1" applyBorder="1" applyAlignment="1" applyProtection="1">
      <alignment horizontal="center" vertical="center"/>
      <protection locked="0"/>
    </xf>
    <xf numFmtId="0" fontId="24" fillId="9" borderId="7" xfId="16" applyFont="1" applyFill="1" applyBorder="1" applyAlignment="1" applyProtection="1">
      <alignment horizontal="center" vertical="center"/>
      <protection locked="0"/>
    </xf>
    <xf numFmtId="166" fontId="24" fillId="9" borderId="27" xfId="16" applyNumberFormat="1" applyFont="1" applyFill="1" applyBorder="1" applyAlignment="1" applyProtection="1">
      <alignment horizontal="center" vertical="center"/>
      <protection locked="0"/>
    </xf>
    <xf numFmtId="166" fontId="24" fillId="9" borderId="5" xfId="16" applyNumberFormat="1" applyFont="1" applyFill="1" applyBorder="1" applyAlignment="1" applyProtection="1">
      <alignment horizontal="center" vertical="center"/>
      <protection locked="0"/>
    </xf>
    <xf numFmtId="166" fontId="24" fillId="9" borderId="28" xfId="16" applyNumberFormat="1" applyFont="1" applyFill="1" applyBorder="1" applyAlignment="1" applyProtection="1">
      <alignment horizontal="center" vertical="center"/>
      <protection locked="0"/>
    </xf>
    <xf numFmtId="166" fontId="24" fillId="9" borderId="4" xfId="16" applyNumberFormat="1" applyFont="1" applyFill="1" applyBorder="1" applyAlignment="1" applyProtection="1">
      <alignment horizontal="center" vertical="center"/>
      <protection locked="0"/>
    </xf>
    <xf numFmtId="0" fontId="24" fillId="9" borderId="1" xfId="16" applyFont="1" applyFill="1" applyBorder="1" applyAlignment="1" applyProtection="1">
      <alignment horizontal="center" vertical="center"/>
      <protection locked="0"/>
    </xf>
    <xf numFmtId="0" fontId="24" fillId="9" borderId="6" xfId="16" applyFont="1" applyFill="1" applyBorder="1" applyAlignment="1" applyProtection="1">
      <alignment horizontal="center" vertical="center"/>
      <protection locked="0"/>
    </xf>
    <xf numFmtId="166" fontId="24" fillId="9" borderId="8" xfId="16" applyNumberFormat="1" applyFont="1" applyFill="1" applyBorder="1" applyAlignment="1" applyProtection="1">
      <alignment horizontal="center" vertical="center"/>
      <protection locked="0"/>
    </xf>
    <xf numFmtId="166" fontId="24" fillId="9" borderId="56" xfId="16" applyNumberFormat="1" applyFont="1" applyFill="1" applyBorder="1" applyAlignment="1" applyProtection="1">
      <alignment horizontal="center" vertical="center"/>
      <protection locked="0"/>
    </xf>
    <xf numFmtId="166" fontId="24" fillId="9" borderId="1" xfId="16" applyNumberFormat="1" applyFont="1" applyFill="1" applyBorder="1" applyAlignment="1" applyProtection="1">
      <alignment horizontal="center" vertical="center"/>
      <protection locked="0"/>
    </xf>
    <xf numFmtId="0" fontId="5" fillId="10" borderId="59" xfId="16" applyFill="1" applyBorder="1" applyProtection="1">
      <protection locked="0"/>
    </xf>
    <xf numFmtId="0" fontId="5" fillId="11" borderId="30" xfId="16" applyFill="1" applyBorder="1" applyAlignment="1" applyProtection="1">
      <alignment horizontal="center" vertical="center"/>
      <protection locked="0"/>
    </xf>
    <xf numFmtId="167" fontId="5" fillId="10" borderId="30" xfId="16" applyNumberFormat="1" applyFill="1" applyBorder="1" applyAlignment="1" applyProtection="1">
      <alignment horizontal="center" vertical="center"/>
      <protection locked="0"/>
    </xf>
    <xf numFmtId="2" fontId="5" fillId="10" borderId="30" xfId="16" applyNumberFormat="1" applyFill="1" applyBorder="1" applyAlignment="1" applyProtection="1">
      <alignment horizontal="center" vertical="center"/>
      <protection locked="0"/>
    </xf>
    <xf numFmtId="2" fontId="5" fillId="10" borderId="60" xfId="16" applyNumberFormat="1" applyFill="1" applyBorder="1" applyAlignment="1" applyProtection="1">
      <alignment horizontal="center" vertical="center"/>
      <protection locked="0"/>
    </xf>
    <xf numFmtId="2" fontId="5" fillId="10" borderId="59" xfId="16" applyNumberFormat="1" applyFill="1" applyBorder="1" applyAlignment="1" applyProtection="1">
      <alignment horizontal="center" vertical="center"/>
      <protection locked="0"/>
    </xf>
    <xf numFmtId="1" fontId="24" fillId="9" borderId="49" xfId="13" applyNumberFormat="1" applyFont="1" applyFill="1" applyBorder="1" applyAlignment="1" applyProtection="1">
      <alignment horizontal="center"/>
      <protection locked="0"/>
    </xf>
    <xf numFmtId="1" fontId="24" fillId="9" borderId="12" xfId="13" applyNumberFormat="1" applyFont="1" applyFill="1" applyBorder="1" applyAlignment="1" applyProtection="1">
      <alignment horizontal="center"/>
      <protection locked="0"/>
    </xf>
    <xf numFmtId="1" fontId="24" fillId="9" borderId="57" xfId="13" applyNumberFormat="1" applyFont="1" applyFill="1" applyBorder="1" applyAlignment="1" applyProtection="1">
      <alignment horizontal="center"/>
      <protection locked="0"/>
    </xf>
    <xf numFmtId="1" fontId="24" fillId="9" borderId="27" xfId="13" applyNumberFormat="1" applyFont="1" applyFill="1" applyBorder="1" applyAlignment="1" applyProtection="1">
      <alignment horizontal="center"/>
      <protection locked="0"/>
    </xf>
    <xf numFmtId="1" fontId="24" fillId="9" borderId="5" xfId="13" applyNumberFormat="1" applyFont="1" applyFill="1" applyBorder="1" applyAlignment="1" applyProtection="1">
      <alignment horizontal="center"/>
      <protection locked="0"/>
    </xf>
    <xf numFmtId="1" fontId="24" fillId="9" borderId="44" xfId="13" applyNumberFormat="1" applyFont="1" applyFill="1" applyBorder="1" applyAlignment="1" applyProtection="1">
      <alignment horizontal="center"/>
      <protection locked="0"/>
    </xf>
    <xf numFmtId="1" fontId="24" fillId="9" borderId="29" xfId="13" applyNumberFormat="1" applyFont="1" applyFill="1" applyBorder="1" applyAlignment="1" applyProtection="1">
      <alignment horizontal="center"/>
      <protection locked="0"/>
    </xf>
    <xf numFmtId="1" fontId="24" fillId="9" borderId="31" xfId="13" applyNumberFormat="1" applyFont="1" applyFill="1" applyBorder="1" applyAlignment="1" applyProtection="1">
      <alignment horizontal="center"/>
      <protection locked="0"/>
    </xf>
    <xf numFmtId="1" fontId="24" fillId="9" borderId="28" xfId="13" applyNumberFormat="1" applyFont="1" applyFill="1" applyBorder="1" applyAlignment="1" applyProtection="1">
      <alignment horizontal="center"/>
      <protection locked="0"/>
    </xf>
    <xf numFmtId="1" fontId="24" fillId="9" borderId="45" xfId="13" applyNumberFormat="1" applyFont="1" applyFill="1" applyBorder="1" applyAlignment="1" applyProtection="1">
      <alignment horizontal="center"/>
      <protection locked="0"/>
    </xf>
    <xf numFmtId="0" fontId="27" fillId="0" borderId="0" xfId="0" applyFont="1" applyProtection="1"/>
    <xf numFmtId="0" fontId="27" fillId="0" borderId="0" xfId="0" applyFont="1" applyBorder="1" applyProtection="1"/>
    <xf numFmtId="0" fontId="28" fillId="0" borderId="0" xfId="0" applyFont="1" applyProtection="1"/>
    <xf numFmtId="0" fontId="8" fillId="0" borderId="0" xfId="28" applyFont="1" applyFill="1" applyBorder="1" applyAlignment="1" applyProtection="1">
      <alignment horizontal="left" vertical="center"/>
    </xf>
    <xf numFmtId="0" fontId="27" fillId="0" borderId="47" xfId="0" applyFont="1" applyBorder="1" applyAlignment="1" applyProtection="1">
      <alignment horizontal="centerContinuous"/>
    </xf>
    <xf numFmtId="2" fontId="24" fillId="9" borderId="37" xfId="0" applyNumberFormat="1" applyFont="1" applyFill="1" applyBorder="1" applyAlignment="1" applyProtection="1">
      <alignment horizontal="center" vertical="center"/>
      <protection locked="0"/>
    </xf>
    <xf numFmtId="2" fontId="24" fillId="9" borderId="50" xfId="0" applyNumberFormat="1" applyFont="1" applyFill="1" applyBorder="1" applyAlignment="1" applyProtection="1">
      <alignment horizontal="center" vertical="center"/>
      <protection locked="0"/>
    </xf>
    <xf numFmtId="168" fontId="24" fillId="0" borderId="58" xfId="26" applyNumberFormat="1" applyFont="1" applyFill="1" applyBorder="1" applyProtection="1"/>
    <xf numFmtId="2" fontId="24" fillId="0" borderId="37" xfId="0" applyNumberFormat="1" applyFont="1" applyFill="1" applyBorder="1" applyAlignment="1" applyProtection="1">
      <alignment horizontal="center" vertical="center"/>
    </xf>
    <xf numFmtId="2" fontId="24" fillId="0" borderId="50" xfId="0" applyNumberFormat="1" applyFont="1" applyFill="1" applyBorder="1" applyAlignment="1" applyProtection="1">
      <alignment horizontal="center" vertical="center"/>
    </xf>
    <xf numFmtId="2" fontId="24" fillId="9" borderId="40" xfId="0" applyNumberFormat="1" applyFont="1" applyFill="1" applyBorder="1" applyAlignment="1" applyProtection="1">
      <alignment horizontal="center" vertical="center"/>
      <protection locked="0"/>
    </xf>
    <xf numFmtId="2" fontId="24" fillId="9" borderId="58" xfId="0" applyNumberFormat="1" applyFont="1" applyFill="1" applyBorder="1" applyAlignment="1" applyProtection="1">
      <alignment horizontal="center" vertical="center"/>
      <protection locked="0"/>
    </xf>
    <xf numFmtId="0" fontId="12" fillId="0" borderId="15" xfId="32" applyFont="1" applyBorder="1"/>
    <xf numFmtId="0" fontId="11" fillId="0" borderId="15" xfId="32" applyFont="1" applyBorder="1"/>
    <xf numFmtId="0" fontId="11" fillId="0" borderId="8" xfId="32" applyFont="1" applyBorder="1"/>
    <xf numFmtId="0" fontId="12" fillId="0" borderId="0" xfId="32" applyFont="1" applyBorder="1"/>
    <xf numFmtId="0" fontId="11" fillId="0" borderId="0" xfId="32" applyFont="1" applyBorder="1"/>
    <xf numFmtId="0" fontId="11" fillId="0" borderId="10" xfId="32" applyFont="1" applyBorder="1"/>
    <xf numFmtId="0" fontId="12" fillId="0" borderId="10" xfId="32" applyFont="1" applyBorder="1" applyAlignment="1">
      <alignment horizontal="center" textRotation="90" wrapText="1"/>
    </xf>
    <xf numFmtId="0" fontId="11" fillId="0" borderId="4" xfId="32" applyFont="1" applyBorder="1"/>
    <xf numFmtId="0" fontId="11" fillId="0" borderId="4" xfId="32" applyFont="1" applyBorder="1" applyAlignment="1">
      <alignment horizontal="center"/>
    </xf>
    <xf numFmtId="0" fontId="11" fillId="0" borderId="1" xfId="32" applyFont="1" applyBorder="1"/>
    <xf numFmtId="0" fontId="11" fillId="0" borderId="1" xfId="32" applyFont="1" applyBorder="1" applyAlignment="1">
      <alignment horizontal="center"/>
    </xf>
    <xf numFmtId="0" fontId="11" fillId="0" borderId="2" xfId="32" applyFont="1" applyBorder="1"/>
    <xf numFmtId="176" fontId="11" fillId="0" borderId="2" xfId="32" applyNumberFormat="1" applyFont="1" applyBorder="1"/>
    <xf numFmtId="37" fontId="11" fillId="0" borderId="10" xfId="32" applyNumberFormat="1" applyFont="1" applyBorder="1"/>
    <xf numFmtId="177" fontId="11" fillId="12" borderId="3" xfId="32" applyNumberFormat="1" applyFont="1" applyFill="1" applyBorder="1"/>
    <xf numFmtId="177" fontId="11" fillId="0" borderId="3" xfId="32" applyNumberFormat="1" applyFont="1" applyBorder="1"/>
    <xf numFmtId="176" fontId="11" fillId="0" borderId="10" xfId="32" applyNumberFormat="1" applyFont="1" applyBorder="1"/>
    <xf numFmtId="0" fontId="11" fillId="0" borderId="3" xfId="32" applyFont="1" applyBorder="1"/>
    <xf numFmtId="176" fontId="11" fillId="0" borderId="3" xfId="32" applyNumberFormat="1" applyFont="1" applyBorder="1"/>
    <xf numFmtId="176" fontId="11" fillId="0" borderId="0" xfId="32" applyNumberFormat="1" applyFont="1" applyBorder="1"/>
    <xf numFmtId="0" fontId="11" fillId="0" borderId="0" xfId="0" applyFont="1" applyBorder="1" applyAlignment="1" applyProtection="1"/>
    <xf numFmtId="0" fontId="12" fillId="0" borderId="0" xfId="0" applyFont="1" applyBorder="1" applyAlignment="1">
      <alignment horizontal="right"/>
    </xf>
    <xf numFmtId="37" fontId="12" fillId="0" borderId="0" xfId="0" applyNumberFormat="1" applyFont="1" applyFill="1" applyBorder="1" applyAlignment="1"/>
    <xf numFmtId="0" fontId="20" fillId="0" borderId="0" xfId="0" applyFont="1" applyBorder="1" applyAlignment="1" applyProtection="1">
      <alignment horizontal="center"/>
    </xf>
    <xf numFmtId="0" fontId="11" fillId="0" borderId="18" xfId="32" applyFont="1" applyBorder="1"/>
    <xf numFmtId="176" fontId="11" fillId="0" borderId="18" xfId="32" applyNumberFormat="1" applyFont="1" applyBorder="1"/>
    <xf numFmtId="37" fontId="11" fillId="0" borderId="12" xfId="32" applyNumberFormat="1" applyFont="1" applyBorder="1"/>
    <xf numFmtId="0" fontId="30" fillId="0" borderId="0" xfId="0" applyFont="1"/>
    <xf numFmtId="0" fontId="31" fillId="0" borderId="4" xfId="32" applyFont="1" applyBorder="1" applyAlignment="1">
      <alignment wrapText="1"/>
    </xf>
    <xf numFmtId="167" fontId="31" fillId="0" borderId="4" xfId="32" applyNumberFormat="1" applyFont="1" applyBorder="1" applyAlignment="1" applyProtection="1">
      <alignment horizontal="center" textRotation="90" wrapText="1"/>
    </xf>
    <xf numFmtId="167" fontId="31" fillId="0" borderId="3" xfId="32" applyNumberFormat="1" applyFont="1" applyBorder="1" applyAlignment="1" applyProtection="1">
      <alignment horizontal="center" textRotation="90" wrapText="1"/>
    </xf>
    <xf numFmtId="0" fontId="32" fillId="0" borderId="10" xfId="32" applyFont="1" applyBorder="1" applyAlignment="1">
      <alignment horizontal="center" textRotation="90" wrapText="1"/>
    </xf>
    <xf numFmtId="0" fontId="34" fillId="0" borderId="0" xfId="0" applyFont="1" applyAlignment="1" applyProtection="1"/>
    <xf numFmtId="0" fontId="0" fillId="0" borderId="0" xfId="0" applyAlignment="1" applyProtection="1"/>
    <xf numFmtId="0" fontId="0" fillId="0" borderId="0" xfId="0" applyBorder="1" applyAlignment="1" applyProtection="1"/>
    <xf numFmtId="0" fontId="8" fillId="0" borderId="0" xfId="0" applyFont="1" applyAlignment="1" applyProtection="1"/>
    <xf numFmtId="0" fontId="35" fillId="0" borderId="0" xfId="0" applyFont="1" applyBorder="1" applyAlignment="1">
      <alignment horizontal="left" vertical="center"/>
    </xf>
    <xf numFmtId="0" fontId="10" fillId="0" borderId="61" xfId="0" applyFont="1" applyBorder="1" applyAlignment="1">
      <alignment horizontal="center"/>
    </xf>
    <xf numFmtId="0" fontId="8" fillId="0" borderId="28"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xf>
    <xf numFmtId="0" fontId="10" fillId="0" borderId="0" xfId="0" applyFont="1" applyBorder="1" applyAlignment="1" applyProtection="1">
      <alignment horizontal="left" vertical="center" wrapText="1"/>
    </xf>
    <xf numFmtId="0" fontId="10" fillId="0" borderId="0" xfId="0" applyFont="1" applyAlignment="1" applyProtection="1"/>
    <xf numFmtId="0" fontId="8" fillId="0" borderId="0" xfId="0" applyFont="1" applyFill="1" applyBorder="1" applyAlignment="1"/>
    <xf numFmtId="0" fontId="0" fillId="0" borderId="0" xfId="0" applyFill="1" applyBorder="1" applyAlignment="1" applyProtection="1"/>
    <xf numFmtId="0" fontId="8" fillId="5" borderId="25" xfId="0" applyFont="1" applyFill="1" applyBorder="1" applyAlignment="1">
      <alignment horizontal="centerContinuous" vertical="center"/>
    </xf>
    <xf numFmtId="0" fontId="8" fillId="5" borderId="26" xfId="0" applyFont="1" applyFill="1" applyBorder="1" applyAlignment="1">
      <alignment horizontal="centerContinuous" vertical="center"/>
    </xf>
    <xf numFmtId="0" fontId="8" fillId="5" borderId="71" xfId="0" applyFont="1" applyFill="1" applyBorder="1" applyAlignment="1" applyProtection="1">
      <alignment horizontal="center" textRotation="90" wrapText="1"/>
    </xf>
    <xf numFmtId="0" fontId="10" fillId="5" borderId="61" xfId="0" applyFont="1" applyFill="1" applyBorder="1" applyAlignment="1" applyProtection="1">
      <alignment horizontal="center" textRotation="90"/>
    </xf>
    <xf numFmtId="0" fontId="10" fillId="0" borderId="71" xfId="0" applyFont="1" applyBorder="1" applyAlignment="1">
      <alignment horizontal="center"/>
    </xf>
    <xf numFmtId="0" fontId="10" fillId="0" borderId="35" xfId="0" applyFont="1" applyBorder="1" applyAlignment="1">
      <alignment horizontal="center"/>
    </xf>
    <xf numFmtId="0" fontId="10" fillId="0" borderId="14" xfId="0" applyFont="1" applyBorder="1" applyAlignment="1">
      <alignment horizontal="center"/>
    </xf>
    <xf numFmtId="0" fontId="10" fillId="0" borderId="32" xfId="0" applyFont="1" applyBorder="1" applyAlignment="1">
      <alignment horizontal="center"/>
    </xf>
    <xf numFmtId="0" fontId="10" fillId="11" borderId="10" xfId="0" applyFont="1" applyFill="1" applyBorder="1" applyAlignment="1">
      <alignment horizontal="center"/>
    </xf>
    <xf numFmtId="0" fontId="10" fillId="11" borderId="2" xfId="0" applyFont="1" applyFill="1" applyBorder="1" applyAlignment="1">
      <alignment horizontal="center"/>
    </xf>
    <xf numFmtId="0" fontId="10" fillId="11" borderId="0" xfId="0" applyFont="1" applyFill="1" applyBorder="1" applyAlignment="1">
      <alignment horizontal="center"/>
    </xf>
    <xf numFmtId="0" fontId="8" fillId="11" borderId="38" xfId="0" applyFont="1" applyFill="1" applyBorder="1" applyAlignment="1"/>
    <xf numFmtId="174" fontId="16" fillId="11" borderId="4" xfId="0" applyNumberFormat="1" applyFont="1" applyFill="1" applyBorder="1" applyAlignment="1" applyProtection="1"/>
    <xf numFmtId="174" fontId="16" fillId="11" borderId="7" xfId="0" applyNumberFormat="1" applyFont="1" applyFill="1" applyBorder="1" applyAlignment="1" applyProtection="1"/>
    <xf numFmtId="174" fontId="16" fillId="11" borderId="7" xfId="0" applyNumberFormat="1" applyFont="1" applyFill="1" applyBorder="1" applyAlignment="1"/>
    <xf numFmtId="174" fontId="8" fillId="2" borderId="38" xfId="0" applyNumberFormat="1" applyFont="1" applyFill="1" applyBorder="1" applyAlignment="1"/>
    <xf numFmtId="174" fontId="10" fillId="11" borderId="10" xfId="0" applyNumberFormat="1" applyFont="1" applyFill="1" applyBorder="1" applyAlignment="1">
      <alignment horizontal="center"/>
    </xf>
    <xf numFmtId="174" fontId="10" fillId="11" borderId="2" xfId="0" applyNumberFormat="1" applyFont="1" applyFill="1" applyBorder="1" applyAlignment="1">
      <alignment horizontal="center"/>
    </xf>
    <xf numFmtId="174" fontId="8" fillId="11" borderId="38" xfId="0" applyNumberFormat="1" applyFont="1" applyFill="1" applyBorder="1" applyAlignment="1"/>
    <xf numFmtId="174" fontId="16" fillId="11" borderId="5" xfId="0" applyNumberFormat="1" applyFont="1" applyFill="1" applyBorder="1" applyAlignment="1" applyProtection="1"/>
    <xf numFmtId="174" fontId="16" fillId="11" borderId="5" xfId="0" applyNumberFormat="1" applyFont="1" applyFill="1" applyBorder="1" applyAlignment="1"/>
    <xf numFmtId="174" fontId="16" fillId="11" borderId="4" xfId="0" applyNumberFormat="1" applyFont="1" applyFill="1" applyBorder="1" applyAlignment="1"/>
    <xf numFmtId="174" fontId="10" fillId="2" borderId="5" xfId="0" applyNumberFormat="1" applyFont="1" applyFill="1" applyBorder="1" applyAlignment="1"/>
    <xf numFmtId="174" fontId="10" fillId="2" borderId="16" xfId="0" applyNumberFormat="1" applyFont="1" applyFill="1" applyBorder="1" applyAlignment="1"/>
    <xf numFmtId="174" fontId="10" fillId="2" borderId="38" xfId="0" applyNumberFormat="1" applyFont="1" applyFill="1" applyBorder="1" applyAlignment="1"/>
    <xf numFmtId="0" fontId="36" fillId="0" borderId="0" xfId="0" quotePrefix="1" applyFont="1" applyAlignment="1" applyProtection="1"/>
    <xf numFmtId="174" fontId="10" fillId="2" borderId="4" xfId="0" applyNumberFormat="1" applyFont="1" applyFill="1" applyBorder="1" applyAlignment="1"/>
    <xf numFmtId="174" fontId="10" fillId="2" borderId="7" xfId="0" applyNumberFormat="1" applyFont="1" applyFill="1" applyBorder="1" applyAlignment="1"/>
    <xf numFmtId="0" fontId="8" fillId="0" borderId="0" xfId="0" quotePrefix="1" applyFont="1" applyAlignment="1" applyProtection="1"/>
    <xf numFmtId="174" fontId="16" fillId="11" borderId="1" xfId="0" applyNumberFormat="1" applyFont="1" applyFill="1" applyBorder="1" applyAlignment="1"/>
    <xf numFmtId="174" fontId="8" fillId="11" borderId="1" xfId="0" applyNumberFormat="1" applyFont="1" applyFill="1" applyBorder="1" applyAlignment="1"/>
    <xf numFmtId="174" fontId="10" fillId="2" borderId="66" xfId="0" applyNumberFormat="1" applyFont="1" applyFill="1" applyBorder="1" applyAlignment="1"/>
    <xf numFmtId="0" fontId="36" fillId="0" borderId="0" xfId="0" applyFont="1" applyAlignment="1" applyProtection="1"/>
    <xf numFmtId="174" fontId="10" fillId="2" borderId="74" xfId="0" applyNumberFormat="1" applyFont="1" applyFill="1" applyBorder="1" applyAlignment="1"/>
    <xf numFmtId="174" fontId="10" fillId="2" borderId="72" xfId="0" applyNumberFormat="1" applyFont="1" applyFill="1" applyBorder="1" applyAlignment="1"/>
    <xf numFmtId="174" fontId="10" fillId="2" borderId="75" xfId="0" applyNumberFormat="1" applyFont="1" applyFill="1" applyBorder="1" applyAlignment="1"/>
    <xf numFmtId="174" fontId="10" fillId="2" borderId="61" xfId="0" applyNumberFormat="1" applyFont="1" applyFill="1" applyBorder="1" applyAlignment="1"/>
    <xf numFmtId="0" fontId="10" fillId="0" borderId="0" xfId="0" applyFont="1" applyBorder="1" applyAlignment="1">
      <alignment horizontal="center" vertical="center"/>
    </xf>
    <xf numFmtId="0" fontId="16" fillId="0" borderId="0" xfId="0" applyFont="1" applyFill="1" applyBorder="1" applyAlignment="1"/>
    <xf numFmtId="0" fontId="36" fillId="0" borderId="0" xfId="0" applyFont="1" applyBorder="1" applyAlignment="1">
      <alignment horizontal="center"/>
    </xf>
    <xf numFmtId="0" fontId="10" fillId="8" borderId="25" xfId="0" applyFont="1" applyFill="1" applyBorder="1" applyAlignment="1" applyProtection="1">
      <alignment vertical="center" wrapText="1"/>
    </xf>
    <xf numFmtId="0" fontId="10" fillId="8" borderId="26" xfId="0" applyFont="1" applyFill="1" applyBorder="1" applyAlignment="1" applyProtection="1">
      <alignment horizontal="center" vertical="center" wrapText="1"/>
    </xf>
    <xf numFmtId="0" fontId="10" fillId="8" borderId="33" xfId="0" applyFont="1" applyFill="1" applyBorder="1" applyAlignment="1" applyProtection="1">
      <alignment horizontal="center" vertical="center" wrapText="1"/>
    </xf>
    <xf numFmtId="0" fontId="10" fillId="0" borderId="0" xfId="0" applyFont="1" applyFill="1" applyBorder="1" applyAlignment="1">
      <alignment vertical="center"/>
    </xf>
    <xf numFmtId="0" fontId="8" fillId="0" borderId="65" xfId="0" applyFont="1" applyBorder="1" applyAlignment="1" applyProtection="1">
      <alignment vertical="center"/>
    </xf>
    <xf numFmtId="0" fontId="8" fillId="0" borderId="76" xfId="0" applyFont="1" applyFill="1" applyBorder="1" applyAlignment="1" applyProtection="1">
      <alignment vertical="center"/>
    </xf>
    <xf numFmtId="0" fontId="8" fillId="0" borderId="7" xfId="0" applyFont="1" applyBorder="1" applyAlignment="1" applyProtection="1">
      <alignment vertical="center"/>
    </xf>
    <xf numFmtId="0" fontId="29" fillId="6" borderId="13" xfId="0" applyFont="1" applyFill="1" applyBorder="1" applyAlignment="1">
      <alignment vertical="center"/>
    </xf>
    <xf numFmtId="0" fontId="10" fillId="6" borderId="14" xfId="0" applyFont="1" applyFill="1" applyBorder="1" applyAlignment="1">
      <alignment vertical="center"/>
    </xf>
    <xf numFmtId="1" fontId="8" fillId="0" borderId="0" xfId="12" applyNumberFormat="1" applyFont="1" applyProtection="1"/>
    <xf numFmtId="1" fontId="8" fillId="0" borderId="0" xfId="12" applyNumberFormat="1" applyFont="1" applyAlignment="1" applyProtection="1">
      <alignment horizontal="center"/>
    </xf>
    <xf numFmtId="0" fontId="8" fillId="0" borderId="0" xfId="25" applyFont="1" applyProtection="1"/>
    <xf numFmtId="0" fontId="8" fillId="0" borderId="0" xfId="28" applyFont="1" applyFill="1" applyBorder="1" applyAlignment="1" applyProtection="1">
      <alignment horizontal="center" vertical="center"/>
    </xf>
    <xf numFmtId="0" fontId="8" fillId="0" borderId="13" xfId="28" applyFont="1" applyFill="1" applyBorder="1" applyAlignment="1" applyProtection="1">
      <alignment horizontal="left" vertical="center"/>
    </xf>
    <xf numFmtId="0" fontId="10" fillId="0" borderId="13" xfId="28" applyFont="1" applyFill="1" applyBorder="1" applyAlignment="1" applyProtection="1">
      <alignment horizontal="center" vertical="center"/>
    </xf>
    <xf numFmtId="0" fontId="10" fillId="0" borderId="13" xfId="28" applyFont="1" applyFill="1" applyBorder="1" applyAlignment="1" applyProtection="1">
      <alignment horizontal="left" vertical="center"/>
    </xf>
    <xf numFmtId="1" fontId="8" fillId="0" borderId="32" xfId="25" applyNumberFormat="1" applyFont="1" applyFill="1" applyBorder="1" applyAlignment="1" applyProtection="1">
      <alignment horizontal="center"/>
    </xf>
    <xf numFmtId="0" fontId="8" fillId="0" borderId="33" xfId="28" applyFont="1" applyFill="1" applyBorder="1" applyAlignment="1" applyProtection="1">
      <alignment horizontal="left" vertical="center" indent="1"/>
    </xf>
    <xf numFmtId="0" fontId="0" fillId="0" borderId="33" xfId="0" applyBorder="1" applyAlignment="1">
      <alignment horizontal="center"/>
    </xf>
    <xf numFmtId="0" fontId="8" fillId="7" borderId="27" xfId="28" applyFont="1" applyFill="1" applyBorder="1" applyAlignment="1" applyProtection="1">
      <alignment horizontal="center" vertical="center"/>
    </xf>
    <xf numFmtId="0" fontId="8" fillId="7" borderId="4" xfId="28" applyFont="1" applyFill="1" applyBorder="1" applyAlignment="1" applyProtection="1">
      <alignment horizontal="center" vertical="center"/>
    </xf>
    <xf numFmtId="0" fontId="16" fillId="9" borderId="4" xfId="28" applyFont="1" applyFill="1" applyBorder="1" applyAlignment="1" applyProtection="1">
      <alignment horizontal="center" vertical="center"/>
      <protection locked="0"/>
    </xf>
    <xf numFmtId="168" fontId="16" fillId="0" borderId="39" xfId="25" applyNumberFormat="1" applyFont="1" applyFill="1" applyBorder="1" applyProtection="1"/>
    <xf numFmtId="1" fontId="10" fillId="0" borderId="20" xfId="25" applyNumberFormat="1" applyFont="1" applyBorder="1" applyProtection="1"/>
    <xf numFmtId="1" fontId="10" fillId="0" borderId="21" xfId="25" applyNumberFormat="1" applyFont="1" applyBorder="1" applyProtection="1"/>
    <xf numFmtId="0" fontId="10" fillId="0" borderId="32" xfId="28" applyFont="1" applyFill="1" applyBorder="1" applyAlignment="1" applyProtection="1">
      <alignment horizontal="left" vertical="center"/>
    </xf>
    <xf numFmtId="0" fontId="8" fillId="0" borderId="17" xfId="28" applyFont="1" applyFill="1" applyBorder="1" applyAlignment="1" applyProtection="1">
      <alignment horizontal="center" vertical="center"/>
    </xf>
    <xf numFmtId="0" fontId="0" fillId="0" borderId="33" xfId="0" applyBorder="1" applyAlignment="1"/>
    <xf numFmtId="0" fontId="12" fillId="0" borderId="17" xfId="0" applyFont="1" applyFill="1" applyBorder="1" applyAlignment="1" applyProtection="1"/>
    <xf numFmtId="168" fontId="11" fillId="2" borderId="74" xfId="0" applyNumberFormat="1" applyFont="1" applyFill="1" applyBorder="1" applyAlignment="1" applyProtection="1">
      <alignment horizontal="right"/>
    </xf>
    <xf numFmtId="164" fontId="8" fillId="0" borderId="4" xfId="28" applyNumberFormat="1" applyFont="1" applyFill="1" applyBorder="1" applyAlignment="1" applyProtection="1">
      <alignment horizontal="right" vertical="center"/>
    </xf>
    <xf numFmtId="0" fontId="0" fillId="0" borderId="4" xfId="0" applyBorder="1" applyAlignment="1"/>
    <xf numFmtId="0" fontId="39" fillId="0" borderId="0" xfId="0" applyFont="1" applyBorder="1"/>
    <xf numFmtId="0" fontId="40" fillId="0" borderId="0" xfId="0" applyFont="1" applyBorder="1"/>
    <xf numFmtId="0" fontId="39" fillId="0" borderId="0" xfId="0" applyFont="1" applyFill="1" applyBorder="1" applyAlignment="1">
      <alignment vertical="top" wrapText="1"/>
    </xf>
    <xf numFmtId="0" fontId="40" fillId="0" borderId="0" xfId="0" applyFont="1" applyFill="1" applyBorder="1" applyAlignment="1">
      <alignment vertical="top" wrapText="1"/>
    </xf>
    <xf numFmtId="164" fontId="4" fillId="0" borderId="1" xfId="0" applyNumberFormat="1" applyFont="1" applyBorder="1" applyAlignment="1">
      <alignment horizontal="center"/>
    </xf>
    <xf numFmtId="0" fontId="41" fillId="0" borderId="0" xfId="0" applyFont="1"/>
    <xf numFmtId="0" fontId="1" fillId="0" borderId="0" xfId="0" applyFont="1"/>
    <xf numFmtId="0" fontId="42" fillId="0" borderId="0" xfId="11" applyFont="1" applyAlignment="1" applyProtection="1"/>
    <xf numFmtId="0" fontId="1" fillId="0" borderId="50" xfId="16" applyNumberFormat="1" applyFont="1" applyBorder="1" applyAlignment="1" applyProtection="1">
      <alignment horizontal="center" wrapText="1"/>
    </xf>
    <xf numFmtId="0" fontId="1" fillId="0" borderId="58" xfId="16" applyNumberFormat="1" applyFont="1" applyBorder="1" applyAlignment="1" applyProtection="1">
      <alignment horizontal="center" wrapText="1"/>
    </xf>
    <xf numFmtId="0" fontId="1" fillId="0" borderId="9" xfId="16" applyNumberFormat="1" applyFont="1" applyBorder="1" applyAlignment="1" applyProtection="1">
      <alignment horizontal="center" wrapText="1"/>
    </xf>
    <xf numFmtId="0" fontId="1" fillId="0" borderId="42" xfId="16" applyNumberFormat="1" applyFont="1" applyBorder="1" applyAlignment="1" applyProtection="1">
      <alignment horizontal="center" wrapText="1"/>
    </xf>
    <xf numFmtId="0" fontId="1" fillId="0" borderId="0" xfId="16" applyNumberFormat="1" applyFont="1" applyAlignment="1" applyProtection="1">
      <alignment horizontal="center" wrapText="1"/>
    </xf>
    <xf numFmtId="0" fontId="1" fillId="0" borderId="0" xfId="16" applyFont="1" applyBorder="1" applyProtection="1"/>
    <xf numFmtId="9" fontId="1" fillId="0" borderId="22" xfId="33" applyFont="1" applyBorder="1" applyAlignment="1" applyProtection="1">
      <alignment horizontal="center" vertical="center"/>
    </xf>
    <xf numFmtId="0" fontId="1" fillId="0" borderId="0" xfId="16" applyFont="1" applyProtection="1"/>
    <xf numFmtId="0" fontId="1" fillId="0" borderId="67" xfId="13" applyFont="1" applyBorder="1" applyAlignment="1" applyProtection="1">
      <alignment horizontal="centerContinuous" vertical="center"/>
    </xf>
    <xf numFmtId="0" fontId="1" fillId="0" borderId="81" xfId="13" applyFont="1" applyBorder="1" applyAlignment="1" applyProtection="1">
      <alignment horizontal="centerContinuous" vertical="center"/>
    </xf>
    <xf numFmtId="0" fontId="1" fillId="0" borderId="82" xfId="13" applyFont="1" applyBorder="1" applyAlignment="1" applyProtection="1">
      <alignment horizontal="centerContinuous" vertical="center"/>
    </xf>
    <xf numFmtId="0" fontId="1" fillId="0" borderId="4" xfId="13" applyFont="1" applyBorder="1" applyAlignment="1" applyProtection="1">
      <alignment horizontal="center"/>
    </xf>
    <xf numFmtId="0" fontId="1" fillId="0" borderId="47" xfId="16" applyFont="1" applyBorder="1" applyAlignment="1" applyProtection="1">
      <alignment horizontal="centerContinuous" vertical="center"/>
    </xf>
    <xf numFmtId="0" fontId="1" fillId="0" borderId="48" xfId="16" applyFont="1" applyBorder="1" applyAlignment="1" applyProtection="1">
      <alignment horizontal="centerContinuous" vertical="center"/>
    </xf>
    <xf numFmtId="0" fontId="1" fillId="0" borderId="17" xfId="16" applyFont="1" applyFill="1" applyBorder="1" applyAlignment="1" applyProtection="1">
      <alignment horizontal="center" vertical="center"/>
    </xf>
    <xf numFmtId="0" fontId="1" fillId="0" borderId="0" xfId="16" applyFont="1" applyFill="1" applyBorder="1" applyAlignment="1" applyProtection="1">
      <alignment horizontal="center" vertical="center"/>
    </xf>
    <xf numFmtId="0" fontId="1" fillId="0" borderId="22" xfId="16" applyFont="1" applyFill="1" applyBorder="1" applyAlignment="1" applyProtection="1">
      <alignment horizontal="center" vertical="center"/>
    </xf>
    <xf numFmtId="0" fontId="1" fillId="0" borderId="0" xfId="16" applyFont="1" applyBorder="1" applyAlignment="1" applyProtection="1">
      <alignment horizontal="center" vertical="center"/>
    </xf>
    <xf numFmtId="0" fontId="1" fillId="0" borderId="22" xfId="16" applyFont="1" applyBorder="1" applyAlignment="1" applyProtection="1">
      <alignment horizontal="center" vertical="center"/>
    </xf>
    <xf numFmtId="167" fontId="1" fillId="10" borderId="27" xfId="16" applyNumberFormat="1" applyFont="1" applyFill="1" applyBorder="1" applyAlignment="1" applyProtection="1">
      <alignment horizontal="center" vertical="center"/>
    </xf>
    <xf numFmtId="167" fontId="1" fillId="10" borderId="4"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xf>
    <xf numFmtId="1" fontId="1" fillId="0" borderId="17" xfId="25" applyNumberFormat="1" applyFont="1" applyFill="1" applyBorder="1" applyProtection="1"/>
    <xf numFmtId="0" fontId="1" fillId="0" borderId="0" xfId="25" applyFont="1" applyBorder="1" applyProtection="1"/>
    <xf numFmtId="1" fontId="1" fillId="0" borderId="46" xfId="26" applyNumberFormat="1" applyFont="1" applyFill="1" applyBorder="1" applyAlignment="1" applyProtection="1">
      <alignment horizontal="center"/>
    </xf>
    <xf numFmtId="0" fontId="1" fillId="0" borderId="34" xfId="0" applyFont="1" applyBorder="1" applyAlignment="1" applyProtection="1"/>
    <xf numFmtId="0" fontId="1" fillId="0" borderId="46" xfId="0" applyFont="1" applyBorder="1" applyAlignment="1" applyProtection="1"/>
    <xf numFmtId="1" fontId="1" fillId="0" borderId="50" xfId="26" applyNumberFormat="1" applyFont="1" applyBorder="1" applyProtection="1"/>
    <xf numFmtId="0" fontId="1" fillId="0" borderId="37" xfId="0" applyFont="1" applyBorder="1" applyAlignment="1" applyProtection="1"/>
    <xf numFmtId="0" fontId="1" fillId="0" borderId="50" xfId="0" applyFont="1" applyBorder="1" applyAlignment="1" applyProtection="1"/>
    <xf numFmtId="0" fontId="1" fillId="0" borderId="17" xfId="25" applyFont="1" applyBorder="1" applyProtection="1"/>
    <xf numFmtId="0" fontId="1" fillId="0" borderId="50" xfId="26" applyFont="1" applyBorder="1" applyAlignment="1" applyProtection="1">
      <alignment horizontal="center"/>
    </xf>
    <xf numFmtId="2" fontId="1" fillId="0" borderId="37" xfId="0" applyNumberFormat="1" applyFont="1" applyBorder="1" applyAlignment="1" applyProtection="1">
      <alignment horizontal="center" vertical="center"/>
    </xf>
    <xf numFmtId="2" fontId="1" fillId="0" borderId="50" xfId="0" applyNumberFormat="1" applyFont="1" applyBorder="1" applyAlignment="1" applyProtection="1">
      <alignment horizontal="center" vertical="center"/>
    </xf>
    <xf numFmtId="2" fontId="1" fillId="11" borderId="27" xfId="27" applyNumberFormat="1" applyFont="1" applyFill="1" applyBorder="1" applyAlignment="1" applyProtection="1">
      <alignment horizontal="center" vertical="center"/>
    </xf>
    <xf numFmtId="2" fontId="1" fillId="11" borderId="28" xfId="27" applyNumberFormat="1" applyFont="1" applyFill="1" applyBorder="1" applyAlignment="1" applyProtection="1">
      <alignment horizontal="center" vertical="center"/>
    </xf>
    <xf numFmtId="2" fontId="1" fillId="0" borderId="40" xfId="0" applyNumberFormat="1" applyFont="1" applyBorder="1" applyAlignment="1" applyProtection="1">
      <alignment horizontal="center" vertical="center"/>
    </xf>
    <xf numFmtId="2" fontId="1" fillId="0" borderId="58" xfId="0" applyNumberFormat="1" applyFont="1" applyBorder="1" applyAlignment="1" applyProtection="1">
      <alignment horizontal="center" vertical="center"/>
    </xf>
    <xf numFmtId="0" fontId="1" fillId="0" borderId="13" xfId="25" applyFont="1" applyBorder="1" applyProtection="1"/>
    <xf numFmtId="0" fontId="1" fillId="0" borderId="0" xfId="22" applyFont="1" applyAlignment="1" applyProtection="1"/>
    <xf numFmtId="0" fontId="1" fillId="0" borderId="50" xfId="26" applyFont="1" applyFill="1" applyBorder="1" applyAlignment="1" applyProtection="1">
      <alignment horizontal="center"/>
    </xf>
    <xf numFmtId="2" fontId="1" fillId="0" borderId="29" xfId="0" applyNumberFormat="1" applyFont="1" applyBorder="1" applyAlignment="1" applyProtection="1">
      <alignment horizontal="center" vertical="center"/>
    </xf>
    <xf numFmtId="2" fontId="1" fillId="0" borderId="31" xfId="0" applyNumberFormat="1" applyFont="1" applyBorder="1" applyAlignment="1" applyProtection="1">
      <alignment horizontal="center" vertical="center"/>
    </xf>
    <xf numFmtId="0" fontId="1" fillId="0" borderId="29" xfId="0" applyFont="1" applyBorder="1" applyAlignment="1" applyProtection="1"/>
    <xf numFmtId="0" fontId="1" fillId="0" borderId="31" xfId="0" applyFont="1" applyBorder="1" applyAlignment="1" applyProtection="1"/>
    <xf numFmtId="1" fontId="1" fillId="0" borderId="13" xfId="25" applyNumberFormat="1" applyFont="1" applyFill="1" applyBorder="1" applyProtection="1"/>
    <xf numFmtId="0" fontId="1" fillId="0" borderId="14" xfId="25" applyFont="1" applyBorder="1" applyProtection="1"/>
    <xf numFmtId="0" fontId="1" fillId="0" borderId="46" xfId="26" applyFont="1" applyBorder="1" applyAlignment="1" applyProtection="1">
      <alignment horizontal="center"/>
    </xf>
    <xf numFmtId="2" fontId="1" fillId="0" borderId="34" xfId="0" applyNumberFormat="1" applyFont="1" applyBorder="1" applyAlignment="1" applyProtection="1">
      <alignment horizontal="center" vertical="center"/>
    </xf>
    <xf numFmtId="2" fontId="1" fillId="0" borderId="46" xfId="0" applyNumberFormat="1" applyFont="1" applyBorder="1" applyAlignment="1" applyProtection="1">
      <alignment horizontal="center" vertical="center"/>
    </xf>
    <xf numFmtId="0" fontId="1" fillId="0" borderId="0" xfId="25" applyFont="1" applyBorder="1" applyAlignment="1" applyProtection="1">
      <alignment horizontal="left" indent="1"/>
    </xf>
    <xf numFmtId="0" fontId="1" fillId="0" borderId="20" xfId="25" applyFont="1" applyBorder="1" applyProtection="1"/>
    <xf numFmtId="0" fontId="1" fillId="0" borderId="21" xfId="25" applyFont="1" applyBorder="1" applyProtection="1"/>
    <xf numFmtId="0" fontId="1" fillId="0" borderId="21" xfId="25" applyFont="1" applyBorder="1" applyAlignment="1" applyProtection="1">
      <alignment horizontal="left" indent="1"/>
    </xf>
    <xf numFmtId="0" fontId="1" fillId="0" borderId="58" xfId="26" applyFont="1" applyBorder="1" applyAlignment="1" applyProtection="1">
      <alignment horizontal="center"/>
    </xf>
    <xf numFmtId="0" fontId="46" fillId="12" borderId="0" xfId="31" applyFont="1" applyFill="1" applyBorder="1" applyAlignment="1" applyProtection="1"/>
    <xf numFmtId="0" fontId="8" fillId="12" borderId="0" xfId="19" applyFont="1" applyFill="1" applyBorder="1" applyAlignment="1" applyProtection="1"/>
    <xf numFmtId="0" fontId="8" fillId="12" borderId="0" xfId="19" applyFont="1" applyFill="1" applyBorder="1" applyAlignment="1" applyProtection="1">
      <alignment horizontal="center"/>
    </xf>
    <xf numFmtId="0" fontId="8" fillId="12" borderId="0" xfId="19" applyFont="1" applyFill="1" applyBorder="1" applyAlignment="1" applyProtection="1">
      <alignment horizontal="center" vertical="center"/>
    </xf>
    <xf numFmtId="0" fontId="44" fillId="12" borderId="0" xfId="19" applyFill="1" applyBorder="1" applyAlignment="1" applyProtection="1">
      <alignment horizontal="center" vertical="center"/>
    </xf>
    <xf numFmtId="0" fontId="47" fillId="12" borderId="0" xfId="19" applyFont="1" applyFill="1" applyBorder="1" applyAlignment="1" applyProtection="1">
      <alignment horizontal="center" vertical="center"/>
    </xf>
    <xf numFmtId="0" fontId="44" fillId="12" borderId="0" xfId="19" applyFill="1" applyBorder="1" applyAlignment="1" applyProtection="1"/>
    <xf numFmtId="0" fontId="6" fillId="12" borderId="0" xfId="31" applyFill="1" applyBorder="1" applyProtection="1"/>
    <xf numFmtId="0" fontId="48" fillId="12" borderId="0" xfId="19" applyFont="1" applyFill="1" applyBorder="1" applyAlignment="1" applyProtection="1">
      <alignment horizontal="left"/>
    </xf>
    <xf numFmtId="0" fontId="44" fillId="12" borderId="0" xfId="19" applyFill="1" applyBorder="1" applyAlignment="1" applyProtection="1">
      <alignment horizontal="center"/>
    </xf>
    <xf numFmtId="0" fontId="48" fillId="12" borderId="21" xfId="19" applyFont="1" applyFill="1" applyBorder="1" applyAlignment="1" applyProtection="1">
      <alignment horizontal="left"/>
    </xf>
    <xf numFmtId="0" fontId="44" fillId="12" borderId="21" xfId="19" applyFill="1" applyBorder="1" applyAlignment="1" applyProtection="1"/>
    <xf numFmtId="0" fontId="44" fillId="12" borderId="21" xfId="19" applyFill="1" applyBorder="1" applyAlignment="1" applyProtection="1">
      <alignment horizontal="center"/>
    </xf>
    <xf numFmtId="0" fontId="44" fillId="12" borderId="21" xfId="19" applyFill="1" applyBorder="1" applyAlignment="1" applyProtection="1">
      <alignment horizontal="center" vertical="center"/>
    </xf>
    <xf numFmtId="0" fontId="6" fillId="12" borderId="21" xfId="31" applyFill="1" applyBorder="1" applyProtection="1"/>
    <xf numFmtId="0" fontId="44" fillId="0" borderId="0" xfId="19" applyProtection="1"/>
    <xf numFmtId="0" fontId="44" fillId="0" borderId="0" xfId="19" applyAlignment="1" applyProtection="1">
      <alignment horizontal="center"/>
    </xf>
    <xf numFmtId="0" fontId="44" fillId="0" borderId="0" xfId="19" applyAlignment="1" applyProtection="1">
      <alignment horizontal="center" vertical="center"/>
    </xf>
    <xf numFmtId="0" fontId="6" fillId="0" borderId="0" xfId="31" applyProtection="1"/>
    <xf numFmtId="0" fontId="44" fillId="0" borderId="47" xfId="19" applyBorder="1" applyAlignment="1" applyProtection="1">
      <alignment horizontal="centerContinuous" vertical="center"/>
    </xf>
    <xf numFmtId="0" fontId="44" fillId="0" borderId="48" xfId="19" applyBorder="1" applyAlignment="1" applyProtection="1">
      <alignment horizontal="centerContinuous" vertical="center"/>
    </xf>
    <xf numFmtId="0" fontId="44" fillId="0" borderId="49" xfId="19" applyBorder="1" applyProtection="1"/>
    <xf numFmtId="0" fontId="44" fillId="0" borderId="17" xfId="19" applyBorder="1" applyProtection="1"/>
    <xf numFmtId="167" fontId="44" fillId="10" borderId="27" xfId="19" applyNumberFormat="1" applyFill="1" applyBorder="1" applyAlignment="1" applyProtection="1">
      <alignment horizontal="center" vertical="center"/>
    </xf>
    <xf numFmtId="167" fontId="44" fillId="10" borderId="4" xfId="19" applyNumberFormat="1" applyFill="1" applyBorder="1" applyAlignment="1" applyProtection="1">
      <alignment horizontal="center" vertical="center"/>
    </xf>
    <xf numFmtId="167" fontId="44" fillId="10" borderId="28" xfId="19" applyNumberFormat="1" applyFill="1" applyBorder="1" applyAlignment="1" applyProtection="1">
      <alignment horizontal="center" vertical="center"/>
    </xf>
    <xf numFmtId="0" fontId="44" fillId="0" borderId="17" xfId="19" applyFill="1" applyBorder="1" applyProtection="1"/>
    <xf numFmtId="167" fontId="24" fillId="9" borderId="27" xfId="19" applyNumberFormat="1" applyFont="1" applyFill="1" applyBorder="1" applyAlignment="1" applyProtection="1">
      <alignment horizontal="center" vertical="center"/>
      <protection locked="0"/>
    </xf>
    <xf numFmtId="0" fontId="44" fillId="0" borderId="20" xfId="19" applyBorder="1" applyProtection="1"/>
    <xf numFmtId="167" fontId="44" fillId="11" borderId="27" xfId="19" applyNumberFormat="1" applyFill="1" applyBorder="1" applyAlignment="1" applyProtection="1">
      <alignment horizontal="center" vertical="center"/>
    </xf>
    <xf numFmtId="167" fontId="44" fillId="11" borderId="4" xfId="19" applyNumberFormat="1" applyFill="1" applyBorder="1" applyAlignment="1" applyProtection="1">
      <alignment horizontal="center" vertical="center"/>
    </xf>
    <xf numFmtId="167" fontId="44" fillId="11" borderId="28" xfId="19" applyNumberFormat="1" applyFill="1" applyBorder="1" applyAlignment="1" applyProtection="1">
      <alignment horizontal="center" vertical="center"/>
    </xf>
    <xf numFmtId="167" fontId="24" fillId="9" borderId="5" xfId="19" applyNumberFormat="1" applyFont="1" applyFill="1" applyBorder="1" applyAlignment="1" applyProtection="1">
      <alignment horizontal="center" vertical="center"/>
      <protection locked="0"/>
    </xf>
    <xf numFmtId="167" fontId="24" fillId="9" borderId="28" xfId="19" applyNumberFormat="1" applyFont="1" applyFill="1" applyBorder="1" applyAlignment="1" applyProtection="1">
      <alignment horizontal="center" vertical="center"/>
      <protection locked="0"/>
    </xf>
    <xf numFmtId="167" fontId="24" fillId="9" borderId="4" xfId="19" applyNumberFormat="1" applyFont="1" applyFill="1" applyBorder="1" applyAlignment="1" applyProtection="1">
      <alignment horizontal="center" vertical="center"/>
      <protection locked="0"/>
    </xf>
    <xf numFmtId="167" fontId="44" fillId="10" borderId="29" xfId="19" applyNumberFormat="1" applyFill="1" applyBorder="1" applyAlignment="1" applyProtection="1">
      <alignment horizontal="center" vertical="center"/>
    </xf>
    <xf numFmtId="167" fontId="44" fillId="10" borderId="30" xfId="19" applyNumberFormat="1" applyFill="1" applyBorder="1" applyAlignment="1" applyProtection="1">
      <alignment horizontal="center" vertical="center"/>
    </xf>
    <xf numFmtId="167" fontId="44" fillId="10" borderId="31" xfId="19" applyNumberFormat="1" applyFill="1" applyBorder="1" applyAlignment="1" applyProtection="1">
      <alignment horizontal="center" vertical="center"/>
    </xf>
    <xf numFmtId="0" fontId="44" fillId="0" borderId="0" xfId="19" applyFill="1" applyAlignment="1" applyProtection="1">
      <alignment horizontal="center" vertical="center"/>
    </xf>
    <xf numFmtId="0" fontId="44" fillId="0" borderId="9" xfId="19" applyFill="1" applyBorder="1" applyAlignment="1" applyProtection="1">
      <alignment horizontal="center"/>
    </xf>
    <xf numFmtId="0" fontId="44" fillId="0" borderId="51" xfId="19" applyFill="1" applyBorder="1" applyAlignment="1" applyProtection="1">
      <alignment horizontal="center" vertical="center"/>
    </xf>
    <xf numFmtId="0" fontId="44" fillId="0" borderId="18" xfId="19" applyFill="1" applyBorder="1" applyAlignment="1" applyProtection="1">
      <alignment horizontal="center" vertical="center"/>
    </xf>
    <xf numFmtId="0" fontId="44" fillId="0" borderId="52" xfId="19" applyFill="1" applyBorder="1" applyAlignment="1" applyProtection="1">
      <alignment horizontal="center" vertical="center"/>
    </xf>
    <xf numFmtId="0" fontId="44" fillId="0" borderId="51" xfId="19" applyBorder="1" applyAlignment="1" applyProtection="1">
      <alignment horizontal="center" vertical="center"/>
    </xf>
    <xf numFmtId="0" fontId="44" fillId="0" borderId="18" xfId="19" applyBorder="1" applyAlignment="1" applyProtection="1">
      <alignment horizontal="center" vertical="center"/>
    </xf>
    <xf numFmtId="0" fontId="44" fillId="0" borderId="52" xfId="19" applyBorder="1" applyAlignment="1" applyProtection="1">
      <alignment horizontal="center" vertical="center"/>
    </xf>
    <xf numFmtId="0" fontId="44" fillId="0" borderId="17" xfId="19" applyFill="1" applyBorder="1" applyAlignment="1" applyProtection="1">
      <alignment horizontal="left" wrapText="1" indent="2"/>
    </xf>
    <xf numFmtId="167" fontId="44" fillId="10" borderId="5" xfId="19" applyNumberFormat="1" applyFill="1" applyBorder="1" applyAlignment="1" applyProtection="1">
      <alignment horizontal="center" vertical="center"/>
    </xf>
    <xf numFmtId="0" fontId="44" fillId="0" borderId="9" xfId="19" applyNumberFormat="1" applyBorder="1" applyAlignment="1" applyProtection="1">
      <alignment horizontal="center"/>
    </xf>
    <xf numFmtId="0" fontId="44" fillId="0" borderId="43" xfId="19" applyBorder="1" applyAlignment="1" applyProtection="1">
      <alignment horizontal="center" vertical="center"/>
    </xf>
    <xf numFmtId="0" fontId="44" fillId="0" borderId="16" xfId="19" applyBorder="1" applyAlignment="1" applyProtection="1">
      <alignment horizontal="center" vertical="center"/>
    </xf>
    <xf numFmtId="0" fontId="44" fillId="0" borderId="44" xfId="19" applyBorder="1" applyAlignment="1" applyProtection="1">
      <alignment horizontal="center" vertical="center"/>
    </xf>
    <xf numFmtId="0" fontId="44" fillId="0" borderId="43" xfId="19" applyFill="1" applyBorder="1" applyAlignment="1" applyProtection="1">
      <alignment horizontal="center" vertical="center"/>
    </xf>
    <xf numFmtId="167" fontId="44" fillId="10" borderId="45" xfId="19" applyNumberFormat="1" applyFill="1" applyBorder="1" applyAlignment="1" applyProtection="1">
      <alignment horizontal="center" vertical="center"/>
    </xf>
    <xf numFmtId="0" fontId="44" fillId="0" borderId="53" xfId="19" applyBorder="1" applyAlignment="1" applyProtection="1">
      <alignment horizontal="center" vertical="center"/>
    </xf>
    <xf numFmtId="0" fontId="44" fillId="0" borderId="15" xfId="19" applyBorder="1" applyAlignment="1" applyProtection="1">
      <alignment horizontal="center" vertical="center"/>
    </xf>
    <xf numFmtId="0" fontId="44" fillId="0" borderId="54" xfId="19" applyBorder="1" applyAlignment="1" applyProtection="1">
      <alignment horizontal="center" vertical="center"/>
    </xf>
    <xf numFmtId="0" fontId="6" fillId="0" borderId="0" xfId="31" applyBorder="1" applyProtection="1"/>
    <xf numFmtId="0" fontId="44" fillId="0" borderId="17" xfId="19" applyBorder="1" applyAlignment="1" applyProtection="1">
      <alignment horizontal="center" vertical="center"/>
    </xf>
    <xf numFmtId="0" fontId="44" fillId="0" borderId="0" xfId="19" applyBorder="1" applyAlignment="1" applyProtection="1">
      <alignment horizontal="center" vertical="center"/>
    </xf>
    <xf numFmtId="0" fontId="44" fillId="0" borderId="22" xfId="19" applyBorder="1" applyAlignment="1" applyProtection="1">
      <alignment horizontal="center" vertical="center"/>
    </xf>
    <xf numFmtId="1" fontId="24" fillId="11" borderId="27" xfId="19" applyNumberFormat="1" applyFont="1" applyFill="1" applyBorder="1" applyAlignment="1" applyProtection="1">
      <alignment horizontal="center" vertical="center"/>
      <protection locked="0"/>
    </xf>
    <xf numFmtId="1" fontId="24" fillId="11" borderId="5" xfId="19" applyNumberFormat="1" applyFont="1" applyFill="1" applyBorder="1" applyAlignment="1" applyProtection="1">
      <alignment horizontal="center" vertical="center"/>
      <protection locked="0"/>
    </xf>
    <xf numFmtId="1" fontId="24" fillId="11" borderId="28" xfId="19" applyNumberFormat="1" applyFont="1" applyFill="1" applyBorder="1" applyAlignment="1" applyProtection="1">
      <alignment horizontal="center" vertical="center"/>
      <protection locked="0"/>
    </xf>
    <xf numFmtId="1" fontId="44" fillId="0" borderId="17" xfId="19" applyNumberFormat="1" applyBorder="1" applyAlignment="1" applyProtection="1">
      <alignment horizontal="center" vertical="center"/>
    </xf>
    <xf numFmtId="1" fontId="44" fillId="0" borderId="0" xfId="19" applyNumberFormat="1" applyBorder="1" applyAlignment="1" applyProtection="1">
      <alignment horizontal="center" vertical="center"/>
    </xf>
    <xf numFmtId="1" fontId="44" fillId="0" borderId="22" xfId="19" applyNumberFormat="1" applyBorder="1" applyAlignment="1" applyProtection="1">
      <alignment horizontal="center" vertical="center"/>
    </xf>
    <xf numFmtId="0" fontId="18" fillId="0" borderId="0" xfId="31" applyFont="1" applyBorder="1" applyProtection="1"/>
    <xf numFmtId="0" fontId="6" fillId="0" borderId="0" xfId="31" applyAlignment="1" applyProtection="1">
      <alignment horizontal="center"/>
    </xf>
    <xf numFmtId="0" fontId="44" fillId="0" borderId="0" xfId="19" applyFill="1" applyProtection="1"/>
    <xf numFmtId="0" fontId="44" fillId="0" borderId="8" xfId="19" applyBorder="1" applyAlignment="1" applyProtection="1">
      <alignment horizontal="center" vertical="center"/>
    </xf>
    <xf numFmtId="0" fontId="44" fillId="0" borderId="10" xfId="19" applyBorder="1" applyAlignment="1" applyProtection="1">
      <alignment horizontal="center" vertical="center"/>
    </xf>
    <xf numFmtId="1" fontId="24" fillId="9" borderId="27" xfId="19" applyNumberFormat="1" applyFont="1" applyFill="1" applyBorder="1" applyAlignment="1" applyProtection="1">
      <alignment horizontal="center" vertical="center"/>
      <protection locked="0"/>
    </xf>
    <xf numFmtId="1" fontId="24" fillId="9" borderId="5" xfId="19" applyNumberFormat="1" applyFont="1" applyFill="1" applyBorder="1" applyAlignment="1" applyProtection="1">
      <alignment horizontal="center" vertical="center"/>
      <protection locked="0"/>
    </xf>
    <xf numFmtId="1" fontId="24" fillId="9" borderId="28" xfId="19" applyNumberFormat="1" applyFont="1" applyFill="1" applyBorder="1" applyAlignment="1" applyProtection="1">
      <alignment horizontal="center" vertical="center"/>
      <protection locked="0"/>
    </xf>
    <xf numFmtId="1" fontId="24" fillId="9" borderId="4" xfId="19" applyNumberFormat="1" applyFont="1" applyFill="1" applyBorder="1" applyAlignment="1" applyProtection="1">
      <alignment horizontal="center" vertical="center"/>
      <protection locked="0"/>
    </xf>
    <xf numFmtId="1" fontId="24" fillId="9" borderId="44" xfId="19" applyNumberFormat="1" applyFont="1" applyFill="1" applyBorder="1" applyAlignment="1" applyProtection="1">
      <alignment horizontal="center" vertical="center"/>
      <protection locked="0"/>
    </xf>
    <xf numFmtId="1" fontId="44" fillId="0" borderId="10" xfId="19" applyNumberFormat="1" applyBorder="1" applyAlignment="1" applyProtection="1">
      <alignment horizontal="center" vertical="center"/>
    </xf>
    <xf numFmtId="1" fontId="24" fillId="9" borderId="55" xfId="19" applyNumberFormat="1" applyFont="1" applyFill="1" applyBorder="1" applyAlignment="1" applyProtection="1">
      <alignment horizontal="center" vertical="center"/>
      <protection locked="0"/>
    </xf>
    <xf numFmtId="1" fontId="24" fillId="9" borderId="8" xfId="19" applyNumberFormat="1" applyFont="1" applyFill="1" applyBorder="1" applyAlignment="1" applyProtection="1">
      <alignment horizontal="center" vertical="center"/>
      <protection locked="0"/>
    </xf>
    <xf numFmtId="1" fontId="24" fillId="9" borderId="56" xfId="19" applyNumberFormat="1" applyFont="1" applyFill="1" applyBorder="1" applyAlignment="1" applyProtection="1">
      <alignment horizontal="center" vertical="center"/>
      <protection locked="0"/>
    </xf>
    <xf numFmtId="1" fontId="24" fillId="9" borderId="1" xfId="19" applyNumberFormat="1" applyFont="1" applyFill="1" applyBorder="1" applyAlignment="1" applyProtection="1">
      <alignment horizontal="center" vertical="center"/>
      <protection locked="0"/>
    </xf>
    <xf numFmtId="1" fontId="24" fillId="9" borderId="54" xfId="19" applyNumberFormat="1" applyFont="1" applyFill="1" applyBorder="1" applyAlignment="1" applyProtection="1">
      <alignment horizontal="center" vertical="center"/>
      <protection locked="0"/>
    </xf>
    <xf numFmtId="1" fontId="24" fillId="11" borderId="55" xfId="19" applyNumberFormat="1" applyFont="1" applyFill="1" applyBorder="1" applyAlignment="1" applyProtection="1">
      <alignment horizontal="center" vertical="center"/>
      <protection locked="0"/>
    </xf>
    <xf numFmtId="1" fontId="24" fillId="11" borderId="8" xfId="19" applyNumberFormat="1" applyFont="1" applyFill="1" applyBorder="1" applyAlignment="1" applyProtection="1">
      <alignment horizontal="center" vertical="center"/>
      <protection locked="0"/>
    </xf>
    <xf numFmtId="1" fontId="24" fillId="11" borderId="56" xfId="19" applyNumberFormat="1" applyFont="1" applyFill="1" applyBorder="1" applyAlignment="1" applyProtection="1">
      <alignment horizontal="center" vertical="center"/>
      <protection locked="0"/>
    </xf>
    <xf numFmtId="167" fontId="24" fillId="11" borderId="27" xfId="19" applyNumberFormat="1" applyFont="1" applyFill="1" applyBorder="1" applyAlignment="1" applyProtection="1">
      <alignment horizontal="center" vertical="center"/>
      <protection locked="0"/>
    </xf>
    <xf numFmtId="167" fontId="24" fillId="11" borderId="5" xfId="19" applyNumberFormat="1" applyFont="1" applyFill="1" applyBorder="1" applyAlignment="1" applyProtection="1">
      <alignment horizontal="center" vertical="center"/>
      <protection locked="0"/>
    </xf>
    <xf numFmtId="167" fontId="24" fillId="11" borderId="28" xfId="19" applyNumberFormat="1" applyFont="1" applyFill="1" applyBorder="1" applyAlignment="1" applyProtection="1">
      <alignment horizontal="center" vertical="center"/>
      <protection locked="0"/>
    </xf>
    <xf numFmtId="9" fontId="24" fillId="11" borderId="27" xfId="33" applyFont="1" applyFill="1" applyBorder="1" applyAlignment="1" applyProtection="1">
      <alignment horizontal="center" vertical="center"/>
      <protection locked="0"/>
    </xf>
    <xf numFmtId="9" fontId="24" fillId="11" borderId="5" xfId="33" applyFont="1" applyFill="1" applyBorder="1" applyAlignment="1" applyProtection="1">
      <alignment horizontal="center" vertical="center"/>
      <protection locked="0"/>
    </xf>
    <xf numFmtId="9" fontId="24" fillId="11" borderId="28" xfId="33" applyFont="1" applyFill="1" applyBorder="1" applyAlignment="1" applyProtection="1">
      <alignment horizontal="center" vertical="center"/>
      <protection locked="0"/>
    </xf>
    <xf numFmtId="9" fontId="24" fillId="9" borderId="5" xfId="33" applyFont="1" applyFill="1" applyBorder="1" applyAlignment="1" applyProtection="1">
      <alignment horizontal="center" vertical="center"/>
      <protection locked="0"/>
    </xf>
    <xf numFmtId="9" fontId="24" fillId="9" borderId="4" xfId="33" applyFont="1" applyFill="1" applyBorder="1" applyAlignment="1" applyProtection="1">
      <alignment horizontal="center" vertical="center"/>
      <protection locked="0"/>
    </xf>
    <xf numFmtId="9" fontId="24" fillId="9" borderId="28" xfId="33" applyFont="1" applyFill="1" applyBorder="1" applyAlignment="1" applyProtection="1">
      <alignment horizontal="center" vertical="center"/>
      <protection locked="0"/>
    </xf>
    <xf numFmtId="9" fontId="24" fillId="15" borderId="5" xfId="33" applyFont="1" applyFill="1" applyBorder="1" applyAlignment="1" applyProtection="1">
      <alignment horizontal="center" vertical="center"/>
      <protection locked="0"/>
    </xf>
    <xf numFmtId="9" fontId="24" fillId="15" borderId="4" xfId="33" applyFont="1" applyFill="1" applyBorder="1" applyAlignment="1" applyProtection="1">
      <alignment horizontal="center" vertical="center"/>
      <protection locked="0"/>
    </xf>
    <xf numFmtId="9" fontId="24" fillId="15" borderId="28" xfId="33" applyFont="1" applyFill="1" applyBorder="1" applyAlignment="1" applyProtection="1">
      <alignment horizontal="center" vertical="center"/>
      <protection locked="0"/>
    </xf>
    <xf numFmtId="167" fontId="24" fillId="11" borderId="27" xfId="33" applyNumberFormat="1" applyFont="1" applyFill="1" applyBorder="1" applyAlignment="1" applyProtection="1">
      <alignment horizontal="center" vertical="center"/>
      <protection locked="0"/>
    </xf>
    <xf numFmtId="167" fontId="24" fillId="11" borderId="5" xfId="33" applyNumberFormat="1" applyFont="1" applyFill="1" applyBorder="1" applyAlignment="1" applyProtection="1">
      <alignment horizontal="center" vertical="center"/>
      <protection locked="0"/>
    </xf>
    <xf numFmtId="167" fontId="24" fillId="11" borderId="28" xfId="33" applyNumberFormat="1" applyFont="1" applyFill="1" applyBorder="1" applyAlignment="1" applyProtection="1">
      <alignment horizontal="center" vertical="center"/>
      <protection locked="0"/>
    </xf>
    <xf numFmtId="167" fontId="24" fillId="9" borderId="5" xfId="33" applyNumberFormat="1" applyFont="1" applyFill="1" applyBorder="1" applyAlignment="1" applyProtection="1">
      <alignment horizontal="center" vertical="center"/>
      <protection locked="0"/>
    </xf>
    <xf numFmtId="167" fontId="24" fillId="9" borderId="4" xfId="33" applyNumberFormat="1" applyFont="1" applyFill="1" applyBorder="1" applyAlignment="1" applyProtection="1">
      <alignment horizontal="center" vertical="center"/>
      <protection locked="0"/>
    </xf>
    <xf numFmtId="167" fontId="24" fillId="9" borderId="28" xfId="33" applyNumberFormat="1" applyFont="1" applyFill="1" applyBorder="1" applyAlignment="1" applyProtection="1">
      <alignment horizontal="center" vertical="center"/>
      <protection locked="0"/>
    </xf>
    <xf numFmtId="167" fontId="24" fillId="9" borderId="55" xfId="19" applyNumberFormat="1" applyFont="1" applyFill="1" applyBorder="1" applyAlignment="1" applyProtection="1">
      <alignment horizontal="center" vertical="center"/>
      <protection locked="0"/>
    </xf>
    <xf numFmtId="167" fontId="24" fillId="9" borderId="8" xfId="19" applyNumberFormat="1" applyFont="1" applyFill="1" applyBorder="1" applyAlignment="1" applyProtection="1">
      <alignment horizontal="center" vertical="center"/>
      <protection locked="0"/>
    </xf>
    <xf numFmtId="167" fontId="24" fillId="9" borderId="56" xfId="19" applyNumberFormat="1" applyFont="1" applyFill="1" applyBorder="1" applyAlignment="1" applyProtection="1">
      <alignment horizontal="center" vertical="center"/>
      <protection locked="0"/>
    </xf>
    <xf numFmtId="167" fontId="44" fillId="10" borderId="8" xfId="19" applyNumberFormat="1" applyFill="1" applyBorder="1" applyAlignment="1" applyProtection="1">
      <alignment horizontal="center" vertical="center"/>
    </xf>
    <xf numFmtId="167" fontId="44" fillId="10" borderId="1" xfId="19" applyNumberFormat="1" applyFill="1" applyBorder="1" applyAlignment="1" applyProtection="1">
      <alignment horizontal="center" vertical="center"/>
    </xf>
    <xf numFmtId="167" fontId="44" fillId="10" borderId="56" xfId="19" applyNumberFormat="1" applyFill="1" applyBorder="1" applyAlignment="1" applyProtection="1">
      <alignment horizontal="center" vertical="center"/>
    </xf>
    <xf numFmtId="167" fontId="44" fillId="10" borderId="20" xfId="19" applyNumberFormat="1" applyFill="1" applyBorder="1" applyAlignment="1" applyProtection="1">
      <alignment horizontal="center" vertical="center"/>
    </xf>
    <xf numFmtId="0" fontId="44" fillId="0" borderId="27" xfId="19" applyBorder="1" applyAlignment="1" applyProtection="1">
      <alignment horizontal="center" vertical="center"/>
    </xf>
    <xf numFmtId="0" fontId="44" fillId="0" borderId="4" xfId="19" applyBorder="1" applyAlignment="1" applyProtection="1">
      <alignment horizontal="center" vertical="center"/>
    </xf>
    <xf numFmtId="0" fontId="44" fillId="0" borderId="28" xfId="19" applyBorder="1" applyAlignment="1" applyProtection="1">
      <alignment horizontal="center" vertical="center"/>
    </xf>
    <xf numFmtId="0" fontId="44" fillId="0" borderId="27" xfId="19" applyFill="1" applyBorder="1" applyAlignment="1" applyProtection="1">
      <alignment horizontal="center" vertical="center"/>
    </xf>
    <xf numFmtId="0" fontId="44" fillId="0" borderId="28" xfId="19" applyFill="1" applyBorder="1" applyAlignment="1" applyProtection="1">
      <alignment horizontal="center" vertical="center"/>
    </xf>
    <xf numFmtId="0" fontId="44" fillId="0" borderId="0" xfId="19" applyBorder="1" applyProtection="1"/>
    <xf numFmtId="0" fontId="44" fillId="0" borderId="0" xfId="19" applyBorder="1" applyAlignment="1" applyProtection="1">
      <alignment horizontal="center"/>
    </xf>
    <xf numFmtId="167" fontId="44" fillId="0" borderId="0" xfId="18" applyNumberFormat="1" applyAlignment="1" applyProtection="1">
      <alignment horizontal="center" vertical="center"/>
    </xf>
    <xf numFmtId="0" fontId="46" fillId="12" borderId="0" xfId="0" applyFont="1" applyFill="1" applyBorder="1" applyAlignment="1" applyProtection="1"/>
    <xf numFmtId="0" fontId="49" fillId="12" borderId="0" xfId="0" applyFont="1" applyFill="1" applyBorder="1" applyAlignment="1" applyProtection="1"/>
    <xf numFmtId="0" fontId="48" fillId="12" borderId="0" xfId="0" applyFont="1" applyFill="1" applyBorder="1" applyAlignment="1" applyProtection="1"/>
    <xf numFmtId="0" fontId="48" fillId="12" borderId="21" xfId="0" applyFont="1" applyFill="1" applyBorder="1" applyAlignment="1" applyProtection="1">
      <alignment horizontal="left"/>
    </xf>
    <xf numFmtId="0" fontId="49" fillId="12" borderId="21" xfId="0" applyFont="1" applyFill="1" applyBorder="1" applyAlignment="1" applyProtection="1"/>
    <xf numFmtId="0" fontId="27" fillId="0" borderId="0" xfId="0" applyFont="1" applyFill="1" applyBorder="1" applyAlignment="1" applyProtection="1"/>
    <xf numFmtId="167" fontId="24" fillId="9" borderId="27" xfId="28" applyNumberFormat="1" applyFont="1" applyFill="1" applyBorder="1" applyAlignment="1" applyProtection="1">
      <alignment horizontal="center" vertical="center"/>
      <protection locked="0"/>
    </xf>
    <xf numFmtId="167" fontId="24" fillId="9" borderId="4" xfId="28" applyNumberFormat="1" applyFont="1" applyFill="1" applyBorder="1" applyAlignment="1" applyProtection="1">
      <alignment horizontal="center" vertical="center"/>
      <protection locked="0"/>
    </xf>
    <xf numFmtId="167" fontId="24" fillId="9" borderId="28" xfId="28" applyNumberFormat="1" applyFont="1" applyFill="1" applyBorder="1" applyAlignment="1" applyProtection="1">
      <alignment horizontal="center" vertical="center"/>
      <protection locked="0"/>
    </xf>
    <xf numFmtId="0" fontId="28" fillId="0" borderId="29" xfId="0" applyFont="1" applyBorder="1" applyAlignment="1" applyProtection="1">
      <alignment vertical="center"/>
    </xf>
    <xf numFmtId="167" fontId="24" fillId="9" borderId="29" xfId="28" applyNumberFormat="1" applyFont="1" applyFill="1" applyBorder="1" applyAlignment="1" applyProtection="1">
      <alignment horizontal="center" vertical="center"/>
      <protection locked="0"/>
    </xf>
    <xf numFmtId="167" fontId="24" fillId="9" borderId="30" xfId="28" applyNumberFormat="1" applyFont="1" applyFill="1" applyBorder="1" applyAlignment="1" applyProtection="1">
      <alignment horizontal="center" vertical="center"/>
      <protection locked="0"/>
    </xf>
    <xf numFmtId="167" fontId="24" fillId="9" borderId="31" xfId="28" applyNumberFormat="1" applyFont="1" applyFill="1" applyBorder="1" applyAlignment="1" applyProtection="1">
      <alignment horizontal="center" vertical="center"/>
      <protection locked="0"/>
    </xf>
    <xf numFmtId="0" fontId="46" fillId="12" borderId="0" xfId="24" applyFont="1" applyFill="1" applyBorder="1" applyAlignment="1" applyProtection="1"/>
    <xf numFmtId="0" fontId="48" fillId="12" borderId="0" xfId="15" applyFont="1" applyFill="1" applyBorder="1" applyAlignment="1" applyProtection="1"/>
    <xf numFmtId="0" fontId="51" fillId="12" borderId="0" xfId="15" applyFont="1" applyFill="1" applyBorder="1" applyAlignment="1" applyProtection="1"/>
    <xf numFmtId="0" fontId="48" fillId="12" borderId="0" xfId="15" applyFont="1" applyFill="1" applyBorder="1" applyAlignment="1" applyProtection="1">
      <alignment horizontal="left"/>
    </xf>
    <xf numFmtId="0" fontId="48" fillId="12" borderId="21" xfId="15" applyFont="1" applyFill="1" applyBorder="1" applyAlignment="1" applyProtection="1"/>
    <xf numFmtId="0" fontId="51" fillId="12" borderId="21" xfId="15" applyFont="1" applyFill="1" applyBorder="1" applyAlignment="1" applyProtection="1">
      <alignment horizontal="left"/>
    </xf>
    <xf numFmtId="167" fontId="27" fillId="0" borderId="43" xfId="29" applyNumberFormat="1" applyFont="1" applyFill="1" applyBorder="1" applyAlignment="1" applyProtection="1">
      <alignment horizontal="center" vertical="center"/>
    </xf>
    <xf numFmtId="167" fontId="27" fillId="0" borderId="16" xfId="29" applyNumberFormat="1" applyFont="1" applyFill="1" applyBorder="1" applyAlignment="1" applyProtection="1">
      <alignment horizontal="center" vertical="center"/>
    </xf>
    <xf numFmtId="167" fontId="27" fillId="0" borderId="44" xfId="29" applyNumberFormat="1" applyFont="1" applyFill="1" applyBorder="1" applyAlignment="1" applyProtection="1">
      <alignment horizontal="center" vertical="center"/>
    </xf>
    <xf numFmtId="167" fontId="27" fillId="0" borderId="27" xfId="29" applyNumberFormat="1" applyFont="1" applyFill="1" applyBorder="1" applyAlignment="1" applyProtection="1">
      <alignment horizontal="center" vertical="center"/>
    </xf>
    <xf numFmtId="167" fontId="27" fillId="0" borderId="5" xfId="29" applyNumberFormat="1" applyFont="1" applyFill="1" applyBorder="1" applyAlignment="1" applyProtection="1">
      <alignment horizontal="center" vertical="center"/>
    </xf>
    <xf numFmtId="167" fontId="27" fillId="0" borderId="4" xfId="29" applyNumberFormat="1" applyFont="1" applyFill="1" applyBorder="1" applyAlignment="1" applyProtection="1">
      <alignment horizontal="center" vertical="center"/>
    </xf>
    <xf numFmtId="167" fontId="27" fillId="0" borderId="28" xfId="29" applyNumberFormat="1" applyFont="1" applyFill="1" applyBorder="1" applyAlignment="1" applyProtection="1">
      <alignment horizontal="center" vertical="center"/>
    </xf>
    <xf numFmtId="167" fontId="24" fillId="9" borderId="5" xfId="29" applyNumberFormat="1" applyFont="1" applyFill="1" applyBorder="1" applyAlignment="1" applyProtection="1">
      <alignment horizontal="center" vertical="center"/>
      <protection locked="0"/>
    </xf>
    <xf numFmtId="167" fontId="24" fillId="9" borderId="44" xfId="29" applyNumberFormat="1" applyFont="1" applyFill="1" applyBorder="1" applyAlignment="1" applyProtection="1">
      <alignment horizontal="center" vertical="center"/>
      <protection locked="0"/>
    </xf>
    <xf numFmtId="167" fontId="24" fillId="9" borderId="27" xfId="29" applyNumberFormat="1" applyFont="1" applyFill="1" applyBorder="1" applyAlignment="1" applyProtection="1">
      <alignment horizontal="center" vertical="center"/>
      <protection locked="0"/>
    </xf>
    <xf numFmtId="167" fontId="24" fillId="9" borderId="4" xfId="29" applyNumberFormat="1" applyFont="1" applyFill="1" applyBorder="1" applyAlignment="1" applyProtection="1">
      <alignment horizontal="center" vertical="center"/>
      <protection locked="0"/>
    </xf>
    <xf numFmtId="167" fontId="24" fillId="9" borderId="28" xfId="29" applyNumberFormat="1" applyFont="1" applyFill="1" applyBorder="1" applyAlignment="1" applyProtection="1">
      <alignment horizontal="center" vertical="center"/>
      <protection locked="0"/>
    </xf>
    <xf numFmtId="167" fontId="24" fillId="9" borderId="8" xfId="29" applyNumberFormat="1" applyFont="1" applyFill="1" applyBorder="1" applyAlignment="1" applyProtection="1">
      <alignment horizontal="center" vertical="center"/>
      <protection locked="0"/>
    </xf>
    <xf numFmtId="167" fontId="24" fillId="9" borderId="15" xfId="29" applyNumberFormat="1" applyFont="1" applyFill="1" applyBorder="1" applyAlignment="1" applyProtection="1">
      <alignment horizontal="center" vertical="center"/>
      <protection locked="0"/>
    </xf>
    <xf numFmtId="167" fontId="24" fillId="9" borderId="55" xfId="29" applyNumberFormat="1" applyFont="1" applyFill="1" applyBorder="1" applyAlignment="1" applyProtection="1">
      <alignment horizontal="center" vertical="center"/>
      <protection locked="0"/>
    </xf>
    <xf numFmtId="167" fontId="24" fillId="9" borderId="1" xfId="29" applyNumberFormat="1" applyFont="1" applyFill="1" applyBorder="1" applyAlignment="1" applyProtection="1">
      <alignment horizontal="center" vertical="center"/>
      <protection locked="0"/>
    </xf>
    <xf numFmtId="167" fontId="24" fillId="9" borderId="56" xfId="29" applyNumberFormat="1" applyFont="1" applyFill="1" applyBorder="1" applyAlignment="1" applyProtection="1">
      <alignment horizontal="center" vertical="center"/>
      <protection locked="0"/>
    </xf>
    <xf numFmtId="167" fontId="24" fillId="9" borderId="5" xfId="29" applyNumberFormat="1" applyFont="1" applyFill="1" applyBorder="1" applyAlignment="1" applyProtection="1">
      <alignment vertical="center"/>
      <protection locked="0"/>
    </xf>
    <xf numFmtId="167" fontId="24" fillId="9" borderId="4" xfId="29" applyNumberFormat="1" applyFont="1" applyFill="1" applyBorder="1" applyAlignment="1" applyProtection="1">
      <alignment vertical="center"/>
      <protection locked="0"/>
    </xf>
    <xf numFmtId="1" fontId="24" fillId="9" borderId="4" xfId="29" applyNumberFormat="1" applyFont="1" applyFill="1" applyBorder="1" applyAlignment="1" applyProtection="1">
      <alignment horizontal="center" vertical="center"/>
      <protection locked="0"/>
    </xf>
    <xf numFmtId="1" fontId="24" fillId="9" borderId="5" xfId="29" applyNumberFormat="1" applyFont="1" applyFill="1" applyBorder="1" applyAlignment="1" applyProtection="1">
      <alignment horizontal="center" vertical="center"/>
      <protection locked="0"/>
    </xf>
    <xf numFmtId="1" fontId="24" fillId="9" borderId="28" xfId="29" applyNumberFormat="1" applyFont="1" applyFill="1" applyBorder="1" applyAlignment="1" applyProtection="1">
      <alignment horizontal="center" vertical="center"/>
      <protection locked="0"/>
    </xf>
    <xf numFmtId="1" fontId="24" fillId="9" borderId="12" xfId="29" applyNumberFormat="1" applyFont="1" applyFill="1" applyBorder="1" applyAlignment="1" applyProtection="1">
      <alignment horizontal="center" vertical="center"/>
      <protection locked="0"/>
    </xf>
    <xf numFmtId="1" fontId="24" fillId="9" borderId="3" xfId="29" applyNumberFormat="1" applyFont="1" applyFill="1" applyBorder="1" applyAlignment="1" applyProtection="1">
      <alignment horizontal="center" vertical="center"/>
      <protection locked="0"/>
    </xf>
    <xf numFmtId="1" fontId="24" fillId="9" borderId="57" xfId="29" applyNumberFormat="1" applyFont="1" applyFill="1" applyBorder="1" applyAlignment="1" applyProtection="1">
      <alignment horizontal="center" vertical="center"/>
      <protection locked="0"/>
    </xf>
    <xf numFmtId="1" fontId="24" fillId="9" borderId="49" xfId="29" applyNumberFormat="1" applyFont="1" applyFill="1" applyBorder="1" applyAlignment="1" applyProtection="1">
      <alignment horizontal="center" vertical="center"/>
      <protection locked="0"/>
    </xf>
    <xf numFmtId="0" fontId="24" fillId="11" borderId="3" xfId="29" applyFont="1" applyFill="1" applyBorder="1" applyAlignment="1" applyProtection="1">
      <alignment horizontal="center" vertical="center"/>
    </xf>
    <xf numFmtId="1" fontId="24" fillId="9" borderId="27" xfId="29" applyNumberFormat="1" applyFont="1" applyFill="1" applyBorder="1" applyAlignment="1" applyProtection="1">
      <alignment horizontal="center" vertical="center"/>
      <protection locked="0"/>
    </xf>
    <xf numFmtId="0" fontId="24" fillId="11" borderId="4" xfId="29" applyFont="1" applyFill="1" applyBorder="1" applyAlignment="1" applyProtection="1">
      <alignment horizontal="center" vertical="center"/>
    </xf>
    <xf numFmtId="167" fontId="24" fillId="9" borderId="12" xfId="29" applyNumberFormat="1" applyFont="1" applyFill="1" applyBorder="1" applyAlignment="1" applyProtection="1">
      <alignment horizontal="center" vertical="center"/>
      <protection locked="0"/>
    </xf>
    <xf numFmtId="0" fontId="24" fillId="11" borderId="28" xfId="29" applyFont="1" applyFill="1" applyBorder="1" applyAlignment="1" applyProtection="1">
      <alignment horizontal="center" vertical="center"/>
    </xf>
    <xf numFmtId="167" fontId="24" fillId="9" borderId="3" xfId="29" applyNumberFormat="1" applyFont="1" applyFill="1" applyBorder="1" applyAlignment="1" applyProtection="1">
      <alignment horizontal="center" vertical="center"/>
      <protection locked="0"/>
    </xf>
    <xf numFmtId="0" fontId="24" fillId="11" borderId="57" xfId="29" applyFont="1" applyFill="1" applyBorder="1" applyAlignment="1" applyProtection="1">
      <alignment horizontal="center" vertical="center"/>
    </xf>
    <xf numFmtId="0" fontId="24" fillId="11" borderId="82" xfId="29" applyFont="1" applyFill="1" applyBorder="1" applyAlignment="1" applyProtection="1">
      <alignment horizontal="center" vertical="center"/>
    </xf>
    <xf numFmtId="0" fontId="24" fillId="11" borderId="31" xfId="29" applyFont="1" applyFill="1" applyBorder="1" applyAlignment="1" applyProtection="1">
      <alignment horizontal="center" vertical="center"/>
    </xf>
    <xf numFmtId="0" fontId="1" fillId="0" borderId="8" xfId="0" applyFont="1" applyBorder="1"/>
    <xf numFmtId="0" fontId="1" fillId="0" borderId="1" xfId="0" applyFont="1" applyBorder="1"/>
    <xf numFmtId="0" fontId="1" fillId="0" borderId="0" xfId="0" applyFont="1" applyBorder="1"/>
    <xf numFmtId="0" fontId="5" fillId="12" borderId="0" xfId="16" applyFill="1" applyBorder="1" applyAlignment="1" applyProtection="1"/>
    <xf numFmtId="0" fontId="34" fillId="12" borderId="0" xfId="0" applyFont="1" applyFill="1" applyBorder="1" applyAlignment="1" applyProtection="1"/>
    <xf numFmtId="0" fontId="8" fillId="12" borderId="0" xfId="16" applyFont="1" applyFill="1" applyBorder="1" applyAlignment="1" applyProtection="1"/>
    <xf numFmtId="0" fontId="47" fillId="12" borderId="0" xfId="16" applyFont="1" applyFill="1" applyBorder="1" applyAlignment="1" applyProtection="1"/>
    <xf numFmtId="0" fontId="48" fillId="12" borderId="0" xfId="16" applyFont="1" applyFill="1" applyBorder="1" applyAlignment="1" applyProtection="1">
      <alignment horizontal="left"/>
    </xf>
    <xf numFmtId="0" fontId="29" fillId="12" borderId="0" xfId="16" applyFont="1" applyFill="1" applyBorder="1" applyAlignment="1" applyProtection="1">
      <alignment horizontal="left"/>
    </xf>
    <xf numFmtId="0" fontId="48" fillId="12" borderId="21" xfId="16" applyFont="1" applyFill="1" applyBorder="1" applyAlignment="1" applyProtection="1"/>
    <xf numFmtId="0" fontId="5" fillId="12" borderId="21" xfId="16" applyFill="1" applyBorder="1" applyAlignment="1" applyProtection="1"/>
    <xf numFmtId="0" fontId="29" fillId="12" borderId="21" xfId="16" applyFont="1" applyFill="1" applyBorder="1" applyAlignment="1" applyProtection="1">
      <alignment horizontal="left"/>
    </xf>
    <xf numFmtId="0" fontId="5" fillId="0" borderId="0" xfId="16" applyFill="1" applyProtection="1"/>
    <xf numFmtId="0" fontId="12" fillId="0" borderId="1" xfId="28" applyFont="1" applyFill="1" applyBorder="1" applyAlignment="1" applyProtection="1">
      <alignment horizontal="center" vertical="center"/>
    </xf>
    <xf numFmtId="0" fontId="5" fillId="0" borderId="53" xfId="16" applyBorder="1" applyProtection="1">
      <protection locked="0"/>
    </xf>
    <xf numFmtId="166" fontId="24" fillId="9" borderId="67" xfId="16" applyNumberFormat="1" applyFont="1" applyFill="1" applyBorder="1" applyAlignment="1" applyProtection="1">
      <alignment horizontal="center" vertical="center"/>
      <protection locked="0"/>
    </xf>
    <xf numFmtId="166" fontId="24" fillId="9" borderId="81" xfId="16" applyNumberFormat="1" applyFont="1" applyFill="1" applyBorder="1" applyAlignment="1" applyProtection="1">
      <alignment horizontal="center" vertical="center"/>
      <protection locked="0"/>
    </xf>
    <xf numFmtId="166" fontId="24" fillId="9" borderId="82" xfId="16" applyNumberFormat="1" applyFont="1" applyFill="1" applyBorder="1" applyAlignment="1" applyProtection="1">
      <alignment horizontal="center" vertical="center"/>
      <protection locked="0"/>
    </xf>
    <xf numFmtId="166" fontId="24" fillId="9" borderId="16" xfId="16" applyNumberFormat="1" applyFont="1" applyFill="1" applyBorder="1" applyAlignment="1" applyProtection="1">
      <alignment horizontal="center" vertical="center"/>
      <protection locked="0"/>
    </xf>
    <xf numFmtId="166" fontId="24" fillId="9" borderId="38" xfId="16" applyNumberFormat="1" applyFont="1" applyFill="1" applyBorder="1" applyAlignment="1" applyProtection="1">
      <alignment horizontal="center" vertical="center"/>
      <protection locked="0"/>
    </xf>
    <xf numFmtId="0" fontId="5" fillId="0" borderId="17" xfId="16" applyBorder="1" applyProtection="1">
      <protection locked="0"/>
    </xf>
    <xf numFmtId="166" fontId="24" fillId="9" borderId="29" xfId="16" applyNumberFormat="1" applyFont="1" applyFill="1" applyBorder="1" applyAlignment="1" applyProtection="1">
      <alignment horizontal="center" vertical="center"/>
      <protection locked="0"/>
    </xf>
    <xf numFmtId="166" fontId="24" fillId="9" borderId="30" xfId="16" applyNumberFormat="1" applyFont="1" applyFill="1" applyBorder="1" applyAlignment="1" applyProtection="1">
      <alignment horizontal="center" vertical="center"/>
      <protection locked="0"/>
    </xf>
    <xf numFmtId="166" fontId="24" fillId="9" borderId="31" xfId="16" applyNumberFormat="1" applyFont="1" applyFill="1" applyBorder="1" applyAlignment="1" applyProtection="1">
      <alignment horizontal="center" vertical="center"/>
      <protection locked="0"/>
    </xf>
    <xf numFmtId="0" fontId="5" fillId="10" borderId="59" xfId="16" applyFill="1" applyBorder="1" applyAlignment="1" applyProtection="1">
      <alignment horizontal="center" vertical="center"/>
      <protection locked="0"/>
    </xf>
    <xf numFmtId="1" fontId="5" fillId="10" borderId="30" xfId="16" applyNumberFormat="1" applyFill="1" applyBorder="1" applyAlignment="1" applyProtection="1">
      <alignment horizontal="center" vertical="center"/>
      <protection locked="0"/>
    </xf>
    <xf numFmtId="167" fontId="5" fillId="10" borderId="31" xfId="16" applyNumberFormat="1" applyFill="1" applyBorder="1" applyAlignment="1" applyProtection="1">
      <alignment horizontal="center" vertical="center"/>
      <protection locked="0"/>
    </xf>
    <xf numFmtId="2" fontId="5" fillId="10" borderId="45" xfId="16" applyNumberFormat="1" applyFill="1" applyBorder="1" applyAlignment="1" applyProtection="1">
      <alignment horizontal="center" vertical="center"/>
      <protection locked="0"/>
    </xf>
    <xf numFmtId="10" fontId="0" fillId="0" borderId="0" xfId="33" applyNumberFormat="1" applyFont="1"/>
    <xf numFmtId="9" fontId="13" fillId="0" borderId="0" xfId="0" applyNumberFormat="1" applyFont="1" applyFill="1" applyBorder="1" applyAlignment="1"/>
    <xf numFmtId="9" fontId="0" fillId="9" borderId="2" xfId="0" applyNumberFormat="1" applyFill="1" applyBorder="1" applyAlignment="1"/>
    <xf numFmtId="2" fontId="0" fillId="0" borderId="0" xfId="0" applyNumberFormat="1"/>
    <xf numFmtId="167" fontId="54" fillId="0" borderId="49" xfId="28" applyNumberFormat="1" applyFont="1" applyFill="1" applyBorder="1" applyAlignment="1" applyProtection="1">
      <alignment horizontal="center" vertical="center"/>
    </xf>
    <xf numFmtId="167" fontId="54" fillId="0" borderId="3" xfId="28" applyNumberFormat="1" applyFont="1" applyFill="1" applyBorder="1" applyAlignment="1" applyProtection="1">
      <alignment horizontal="center" vertical="center"/>
    </xf>
    <xf numFmtId="167" fontId="54" fillId="0" borderId="57" xfId="28" applyNumberFormat="1" applyFont="1" applyFill="1" applyBorder="1" applyAlignment="1" applyProtection="1">
      <alignment horizontal="center" vertical="center"/>
    </xf>
    <xf numFmtId="167" fontId="54" fillId="0" borderId="27" xfId="28" applyNumberFormat="1" applyFont="1" applyFill="1" applyBorder="1" applyAlignment="1" applyProtection="1">
      <alignment horizontal="center" vertical="center"/>
    </xf>
    <xf numFmtId="167" fontId="54" fillId="0" borderId="4" xfId="28" applyNumberFormat="1" applyFont="1" applyFill="1" applyBorder="1" applyAlignment="1" applyProtection="1">
      <alignment horizontal="center" vertical="center"/>
    </xf>
    <xf numFmtId="167" fontId="54" fillId="0" borderId="28" xfId="28" applyNumberFormat="1" applyFont="1" applyFill="1" applyBorder="1" applyAlignment="1" applyProtection="1">
      <alignment horizontal="center" vertical="center"/>
    </xf>
    <xf numFmtId="167" fontId="16" fillId="9" borderId="12" xfId="28" applyNumberFormat="1" applyFont="1" applyFill="1" applyBorder="1" applyAlignment="1" applyProtection="1">
      <alignment horizontal="center" vertical="center"/>
      <protection locked="0"/>
    </xf>
    <xf numFmtId="167" fontId="16" fillId="9" borderId="52" xfId="28" applyNumberFormat="1" applyFont="1" applyFill="1" applyBorder="1" applyAlignment="1" applyProtection="1">
      <alignment horizontal="center" vertical="center"/>
      <protection locked="0"/>
    </xf>
    <xf numFmtId="167" fontId="16" fillId="9" borderId="49" xfId="28" applyNumberFormat="1" applyFont="1" applyFill="1" applyBorder="1" applyAlignment="1" applyProtection="1">
      <alignment horizontal="center" vertical="center"/>
      <protection locked="0"/>
    </xf>
    <xf numFmtId="167" fontId="16" fillId="9" borderId="3" xfId="28" applyNumberFormat="1" applyFont="1" applyFill="1" applyBorder="1" applyAlignment="1" applyProtection="1">
      <alignment horizontal="center" vertical="center"/>
      <protection locked="0"/>
    </xf>
    <xf numFmtId="167" fontId="16" fillId="9" borderId="57" xfId="28" applyNumberFormat="1" applyFont="1" applyFill="1" applyBorder="1" applyAlignment="1" applyProtection="1">
      <alignment horizontal="center" vertical="center"/>
      <protection locked="0"/>
    </xf>
    <xf numFmtId="167" fontId="16" fillId="9" borderId="5" xfId="28" applyNumberFormat="1" applyFont="1" applyFill="1" applyBorder="1" applyAlignment="1" applyProtection="1">
      <alignment horizontal="center" vertical="center"/>
      <protection locked="0"/>
    </xf>
    <xf numFmtId="167" fontId="16" fillId="9" borderId="44" xfId="28" applyNumberFormat="1" applyFont="1" applyFill="1" applyBorder="1" applyAlignment="1" applyProtection="1">
      <alignment horizontal="center" vertical="center"/>
      <protection locked="0"/>
    </xf>
    <xf numFmtId="167" fontId="16" fillId="9" borderId="27" xfId="28" applyNumberFormat="1" applyFont="1" applyFill="1" applyBorder="1" applyAlignment="1" applyProtection="1">
      <alignment horizontal="center" vertical="center"/>
      <protection locked="0"/>
    </xf>
    <xf numFmtId="167" fontId="16" fillId="9" borderId="4" xfId="28" applyNumberFormat="1" applyFont="1" applyFill="1" applyBorder="1" applyAlignment="1" applyProtection="1">
      <alignment horizontal="center" vertical="center"/>
      <protection locked="0"/>
    </xf>
    <xf numFmtId="167" fontId="16" fillId="9" borderId="28" xfId="28" applyNumberFormat="1" applyFont="1" applyFill="1" applyBorder="1" applyAlignment="1" applyProtection="1">
      <alignment horizontal="center" vertical="center"/>
      <protection locked="0"/>
    </xf>
    <xf numFmtId="167" fontId="8" fillId="0" borderId="5" xfId="28" applyNumberFormat="1" applyFont="1" applyFill="1" applyBorder="1" applyAlignment="1" applyProtection="1">
      <alignment horizontal="center" vertical="center"/>
    </xf>
    <xf numFmtId="167" fontId="8" fillId="0" borderId="4" xfId="28" applyNumberFormat="1" applyFont="1" applyFill="1" applyBorder="1" applyAlignment="1" applyProtection="1">
      <alignment horizontal="center" vertical="center"/>
    </xf>
    <xf numFmtId="167" fontId="8" fillId="0" borderId="28" xfId="28" applyNumberFormat="1" applyFont="1" applyFill="1" applyBorder="1" applyAlignment="1" applyProtection="1">
      <alignment horizontal="center" vertical="center"/>
    </xf>
    <xf numFmtId="167" fontId="8" fillId="0" borderId="27" xfId="28" applyNumberFormat="1" applyFont="1" applyFill="1" applyBorder="1" applyAlignment="1" applyProtection="1">
      <alignment horizontal="center" vertical="center"/>
    </xf>
    <xf numFmtId="167" fontId="16" fillId="9" borderId="8" xfId="28" applyNumberFormat="1" applyFont="1" applyFill="1" applyBorder="1" applyAlignment="1" applyProtection="1">
      <alignment horizontal="center" vertical="center"/>
      <protection locked="0"/>
    </xf>
    <xf numFmtId="167" fontId="16" fillId="9" borderId="1" xfId="28" applyNumberFormat="1" applyFont="1" applyFill="1" applyBorder="1" applyAlignment="1" applyProtection="1">
      <alignment horizontal="center" vertical="center"/>
      <protection locked="0"/>
    </xf>
    <xf numFmtId="167" fontId="16" fillId="9" borderId="56" xfId="28" applyNumberFormat="1" applyFont="1" applyFill="1" applyBorder="1" applyAlignment="1" applyProtection="1">
      <alignment horizontal="center" vertical="center"/>
      <protection locked="0"/>
    </xf>
    <xf numFmtId="167" fontId="16" fillId="9" borderId="55" xfId="28" applyNumberFormat="1" applyFont="1" applyFill="1" applyBorder="1" applyAlignment="1" applyProtection="1">
      <alignment horizontal="center" vertical="center"/>
      <protection locked="0"/>
    </xf>
    <xf numFmtId="167" fontId="8" fillId="10" borderId="5" xfId="28" applyNumberFormat="1" applyFont="1" applyFill="1" applyBorder="1" applyAlignment="1" applyProtection="1">
      <alignment horizontal="center" vertical="center"/>
    </xf>
    <xf numFmtId="167" fontId="8" fillId="10" borderId="44" xfId="28" applyNumberFormat="1" applyFont="1" applyFill="1" applyBorder="1" applyAlignment="1" applyProtection="1">
      <alignment horizontal="center" vertical="center"/>
    </xf>
    <xf numFmtId="167" fontId="8" fillId="10" borderId="27" xfId="28" applyNumberFormat="1" applyFont="1" applyFill="1" applyBorder="1" applyAlignment="1" applyProtection="1">
      <alignment horizontal="center" vertical="center"/>
    </xf>
    <xf numFmtId="167" fontId="4" fillId="10" borderId="29" xfId="16" applyNumberFormat="1" applyFont="1" applyFill="1" applyBorder="1" applyAlignment="1" applyProtection="1">
      <alignment horizontal="center" vertical="center"/>
    </xf>
    <xf numFmtId="167" fontId="4" fillId="10" borderId="45" xfId="16" applyNumberFormat="1" applyFont="1" applyFill="1" applyBorder="1" applyAlignment="1" applyProtection="1">
      <alignment horizontal="center" vertical="center"/>
    </xf>
    <xf numFmtId="167" fontId="4" fillId="10" borderId="31" xfId="16" applyNumberFormat="1" applyFont="1" applyFill="1" applyBorder="1" applyAlignment="1" applyProtection="1">
      <alignment horizontal="center" vertical="center"/>
    </xf>
    <xf numFmtId="167" fontId="4" fillId="10" borderId="30" xfId="16" applyNumberFormat="1" applyFont="1" applyFill="1" applyBorder="1" applyAlignment="1" applyProtection="1">
      <alignment horizontal="center" vertical="center"/>
    </xf>
    <xf numFmtId="167" fontId="1" fillId="10" borderId="28" xfId="16" applyNumberFormat="1" applyFont="1" applyFill="1" applyBorder="1" applyAlignment="1" applyProtection="1">
      <alignment horizontal="center" vertical="center"/>
      <protection locked="0"/>
    </xf>
    <xf numFmtId="166" fontId="24" fillId="9" borderId="55" xfId="16" applyNumberFormat="1" applyFont="1" applyFill="1" applyBorder="1" applyAlignment="1" applyProtection="1">
      <alignment horizontal="center" vertical="center"/>
      <protection locked="0"/>
    </xf>
    <xf numFmtId="167" fontId="1" fillId="10" borderId="56" xfId="16" applyNumberFormat="1" applyFont="1" applyFill="1" applyBorder="1" applyAlignment="1" applyProtection="1">
      <alignment horizontal="center" vertical="center"/>
      <protection locked="0"/>
    </xf>
    <xf numFmtId="43" fontId="1" fillId="0" borderId="0" xfId="7" applyFont="1" applyProtection="1"/>
    <xf numFmtId="43" fontId="0" fillId="0" borderId="0" xfId="7" applyFont="1" applyProtection="1"/>
    <xf numFmtId="43" fontId="1" fillId="0" borderId="0" xfId="7" applyFont="1" applyAlignment="1" applyProtection="1">
      <alignment horizontal="center" vertical="center"/>
    </xf>
    <xf numFmtId="43" fontId="4" fillId="0" borderId="69" xfId="7" applyFont="1" applyBorder="1" applyAlignment="1" applyProtection="1">
      <alignment horizontal="centerContinuous" vertical="center"/>
    </xf>
    <xf numFmtId="43" fontId="4" fillId="0" borderId="48" xfId="7" applyFont="1" applyBorder="1" applyAlignment="1" applyProtection="1">
      <alignment horizontal="centerContinuous" vertical="center"/>
    </xf>
    <xf numFmtId="43" fontId="1" fillId="0" borderId="47" xfId="7" applyFont="1" applyBorder="1" applyAlignment="1" applyProtection="1">
      <alignment horizontal="centerContinuous" vertical="center"/>
    </xf>
    <xf numFmtId="43" fontId="1" fillId="0" borderId="48" xfId="7" applyFont="1" applyBorder="1" applyAlignment="1" applyProtection="1">
      <alignment horizontal="centerContinuous" vertical="center"/>
    </xf>
    <xf numFmtId="43" fontId="4" fillId="0" borderId="49" xfId="7" applyFont="1" applyBorder="1" applyAlignment="1" applyProtection="1">
      <alignment horizontal="center" vertical="center" wrapText="1"/>
    </xf>
    <xf numFmtId="43" fontId="4" fillId="0" borderId="3" xfId="7" applyFont="1" applyBorder="1" applyAlignment="1" applyProtection="1">
      <alignment horizontal="center" vertical="center" wrapText="1"/>
    </xf>
    <xf numFmtId="43" fontId="4" fillId="0" borderId="57" xfId="7" applyFont="1" applyBorder="1" applyAlignment="1" applyProtection="1">
      <alignment horizontal="center" vertical="center" wrapText="1"/>
    </xf>
    <xf numFmtId="43" fontId="4" fillId="0" borderId="12" xfId="7" applyFont="1" applyBorder="1" applyAlignment="1" applyProtection="1">
      <alignment horizontal="center" vertical="center" wrapText="1"/>
    </xf>
    <xf numFmtId="43" fontId="1" fillId="0" borderId="51" xfId="7" applyFont="1" applyFill="1" applyBorder="1" applyAlignment="1" applyProtection="1">
      <alignment horizontal="center" vertical="center"/>
    </xf>
    <xf numFmtId="43" fontId="1" fillId="0" borderId="18" xfId="7" applyFont="1" applyFill="1" applyBorder="1" applyAlignment="1" applyProtection="1">
      <alignment horizontal="center" vertical="center"/>
    </xf>
    <xf numFmtId="43" fontId="1" fillId="0" borderId="52" xfId="7" applyFont="1" applyFill="1" applyBorder="1" applyAlignment="1" applyProtection="1">
      <alignment horizontal="center" vertical="center"/>
    </xf>
    <xf numFmtId="43" fontId="1" fillId="0" borderId="53" xfId="7" applyFont="1" applyBorder="1" applyAlignment="1" applyProtection="1">
      <alignment horizontal="center" vertical="center"/>
    </xf>
    <xf numFmtId="43" fontId="1" fillId="0" borderId="15" xfId="7" applyFont="1" applyBorder="1" applyAlignment="1" applyProtection="1">
      <alignment horizontal="center" vertical="center"/>
    </xf>
    <xf numFmtId="43" fontId="1" fillId="0" borderId="54" xfId="7" applyFont="1" applyBorder="1" applyAlignment="1" applyProtection="1">
      <alignment horizontal="center" vertical="center"/>
    </xf>
    <xf numFmtId="43" fontId="1" fillId="0" borderId="0" xfId="7" applyFont="1" applyBorder="1" applyAlignment="1" applyProtection="1">
      <alignment horizontal="center" vertical="center"/>
    </xf>
    <xf numFmtId="43" fontId="1" fillId="0" borderId="22" xfId="7" applyFont="1" applyBorder="1" applyAlignment="1" applyProtection="1">
      <alignment horizontal="center" vertical="center"/>
    </xf>
    <xf numFmtId="43" fontId="18" fillId="0" borderId="0" xfId="7" applyFont="1" applyProtection="1"/>
    <xf numFmtId="43" fontId="4" fillId="0" borderId="53" xfId="7" applyFont="1" applyBorder="1" applyAlignment="1" applyProtection="1">
      <alignment horizontal="center" vertical="center"/>
    </xf>
    <xf numFmtId="43" fontId="4" fillId="0" borderId="15" xfId="7" applyFont="1" applyBorder="1" applyAlignment="1" applyProtection="1">
      <alignment horizontal="center" vertical="center"/>
    </xf>
    <xf numFmtId="43" fontId="4" fillId="0" borderId="54" xfId="7" applyFont="1" applyBorder="1" applyAlignment="1" applyProtection="1">
      <alignment horizontal="center" vertical="center"/>
    </xf>
    <xf numFmtId="43" fontId="0" fillId="0" borderId="0" xfId="7" applyFont="1" applyBorder="1" applyProtection="1"/>
    <xf numFmtId="43" fontId="4" fillId="0" borderId="17" xfId="7" applyFont="1" applyBorder="1" applyAlignment="1" applyProtection="1">
      <alignment horizontal="center" vertical="center"/>
    </xf>
    <xf numFmtId="43" fontId="4" fillId="0" borderId="0" xfId="7" applyFont="1" applyBorder="1" applyAlignment="1" applyProtection="1">
      <alignment horizontal="center" vertical="center"/>
    </xf>
    <xf numFmtId="43" fontId="4" fillId="0" borderId="22" xfId="7" applyFont="1" applyBorder="1" applyAlignment="1" applyProtection="1">
      <alignment horizontal="center" vertical="center"/>
    </xf>
    <xf numFmtId="43" fontId="18" fillId="0" borderId="0" xfId="7" applyFont="1" applyBorder="1" applyProtection="1"/>
    <xf numFmtId="43" fontId="1" fillId="0" borderId="0" xfId="7" applyFont="1" applyFill="1" applyAlignment="1" applyProtection="1">
      <alignment horizontal="center" vertical="center"/>
    </xf>
    <xf numFmtId="43" fontId="4" fillId="0" borderId="67" xfId="7" applyFont="1" applyBorder="1" applyAlignment="1" applyProtection="1">
      <alignment horizontal="centerContinuous" vertical="center"/>
    </xf>
    <xf numFmtId="43" fontId="4" fillId="0" borderId="81" xfId="7" applyFont="1" applyBorder="1" applyAlignment="1" applyProtection="1">
      <alignment horizontal="centerContinuous" vertical="center"/>
    </xf>
    <xf numFmtId="43" fontId="4" fillId="0" borderId="82" xfId="7" applyFont="1" applyBorder="1" applyAlignment="1" applyProtection="1">
      <alignment horizontal="centerContinuous" vertical="center"/>
    </xf>
    <xf numFmtId="43" fontId="4" fillId="0" borderId="27" xfId="7" applyFont="1" applyBorder="1" applyAlignment="1" applyProtection="1">
      <alignment horizontal="center" vertical="center" wrapText="1"/>
    </xf>
    <xf numFmtId="43" fontId="4" fillId="0" borderId="4" xfId="7" applyFont="1" applyBorder="1" applyAlignment="1" applyProtection="1">
      <alignment horizontal="center" vertical="center" wrapText="1"/>
    </xf>
    <xf numFmtId="43" fontId="4" fillId="0" borderId="28" xfId="7" applyFont="1" applyBorder="1" applyAlignment="1" applyProtection="1">
      <alignment horizontal="center" vertical="center" wrapText="1"/>
    </xf>
    <xf numFmtId="43" fontId="1" fillId="0" borderId="51" xfId="7" applyFont="1" applyBorder="1" applyAlignment="1" applyProtection="1">
      <alignment horizontal="center" vertical="center"/>
    </xf>
    <xf numFmtId="43" fontId="1" fillId="0" borderId="18" xfId="7" applyFont="1" applyBorder="1" applyAlignment="1" applyProtection="1">
      <alignment horizontal="center" vertical="center"/>
    </xf>
    <xf numFmtId="43" fontId="1" fillId="0" borderId="52" xfId="7" applyFont="1" applyBorder="1" applyAlignment="1" applyProtection="1">
      <alignment horizontal="center" vertical="center"/>
    </xf>
    <xf numFmtId="43" fontId="0" fillId="0" borderId="2" xfId="7" applyFont="1" applyBorder="1"/>
    <xf numFmtId="43" fontId="0" fillId="0" borderId="3" xfId="7" applyFont="1" applyBorder="1"/>
    <xf numFmtId="0" fontId="13" fillId="0" borderId="0" xfId="0" applyFont="1" applyAlignment="1"/>
    <xf numFmtId="0" fontId="0" fillId="9" borderId="14" xfId="0" applyFill="1" applyBorder="1" applyAlignment="1"/>
    <xf numFmtId="0" fontId="0" fillId="0" borderId="0" xfId="0" applyBorder="1" applyAlignment="1">
      <alignment horizontal="center" vertical="top" wrapText="1"/>
    </xf>
    <xf numFmtId="164" fontId="4" fillId="0" borderId="1"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0" fillId="4" borderId="4" xfId="0" applyFill="1" applyBorder="1" applyAlignment="1">
      <alignment horizontal="center"/>
    </xf>
    <xf numFmtId="0" fontId="5" fillId="4" borderId="4" xfId="0" applyFont="1" applyFill="1" applyBorder="1" applyAlignment="1">
      <alignment horizontal="center"/>
    </xf>
    <xf numFmtId="0" fontId="0" fillId="4" borderId="4" xfId="0" applyFont="1" applyFill="1" applyBorder="1" applyAlignment="1">
      <alignment horizontal="center"/>
    </xf>
    <xf numFmtId="164" fontId="0" fillId="0" borderId="1" xfId="0" applyNumberFormat="1" applyBorder="1" applyAlignment="1">
      <alignment horizontal="center"/>
    </xf>
    <xf numFmtId="164" fontId="5" fillId="0" borderId="1" xfId="0" applyNumberFormat="1" applyFont="1" applyBorder="1" applyAlignment="1">
      <alignment horizontal="center"/>
    </xf>
    <xf numFmtId="164" fontId="0" fillId="0" borderId="2" xfId="0" applyNumberFormat="1" applyBorder="1" applyAlignment="1">
      <alignment horizontal="center"/>
    </xf>
    <xf numFmtId="164" fontId="5" fillId="0" borderId="2" xfId="0" applyNumberFormat="1" applyFont="1" applyBorder="1" applyAlignment="1">
      <alignment horizontal="center"/>
    </xf>
    <xf numFmtId="164" fontId="0" fillId="0" borderId="3" xfId="0" applyNumberFormat="1" applyBorder="1" applyAlignment="1">
      <alignment horizontal="center"/>
    </xf>
    <xf numFmtId="164" fontId="5" fillId="0" borderId="3" xfId="0" applyNumberFormat="1" applyFont="1" applyBorder="1" applyAlignment="1">
      <alignment horizontal="center"/>
    </xf>
    <xf numFmtId="9" fontId="4" fillId="0" borderId="4" xfId="33" applyFont="1" applyBorder="1" applyAlignment="1">
      <alignment horizontal="center"/>
    </xf>
    <xf numFmtId="0" fontId="1" fillId="4" borderId="4" xfId="0" applyFont="1" applyFill="1" applyBorder="1" applyAlignment="1">
      <alignment horizontal="center" vertical="top" wrapText="1"/>
    </xf>
    <xf numFmtId="0" fontId="0" fillId="0" borderId="4" xfId="0" applyBorder="1" applyAlignment="1">
      <alignment horizontal="center" vertical="top" wrapText="1"/>
    </xf>
    <xf numFmtId="0" fontId="0" fillId="0" borderId="0" xfId="0" applyBorder="1" applyAlignment="1">
      <alignment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5" fillId="0" borderId="7" xfId="0" applyFont="1" applyBorder="1" applyAlignment="1">
      <alignment vertical="center" wrapText="1"/>
    </xf>
    <xf numFmtId="0" fontId="0" fillId="0" borderId="5" xfId="0" applyBorder="1" applyAlignment="1">
      <alignment vertical="center" wrapText="1"/>
    </xf>
    <xf numFmtId="0" fontId="18" fillId="0" borderId="0" xfId="0" applyFont="1" applyBorder="1" applyAlignment="1">
      <alignment vertical="center" wrapText="1"/>
    </xf>
    <xf numFmtId="0" fontId="10" fillId="0" borderId="0" xfId="0" applyFont="1" applyFill="1" applyBorder="1" applyAlignment="1">
      <alignment horizontal="center" vertical="center" wrapText="1"/>
    </xf>
    <xf numFmtId="0" fontId="0" fillId="0" borderId="18" xfId="0" applyBorder="1" applyAlignment="1">
      <alignment vertical="center" wrapText="1"/>
    </xf>
    <xf numFmtId="0" fontId="0" fillId="0" borderId="0" xfId="0" applyBorder="1" applyAlignment="1">
      <alignment vertical="center"/>
    </xf>
    <xf numFmtId="0" fontId="0" fillId="0" borderId="10" xfId="0" applyBorder="1" applyAlignment="1">
      <alignment vertical="center"/>
    </xf>
    <xf numFmtId="0" fontId="0" fillId="0" borderId="7" xfId="0" applyBorder="1" applyAlignment="1">
      <alignment vertical="center"/>
    </xf>
    <xf numFmtId="0" fontId="0" fillId="0" borderId="0" xfId="0" applyBorder="1" applyAlignment="1">
      <alignment horizontal="center" vertical="center"/>
    </xf>
    <xf numFmtId="0" fontId="0" fillId="0" borderId="2" xfId="0" applyBorder="1" applyAlignment="1">
      <alignment horizontal="center" vertical="center"/>
    </xf>
    <xf numFmtId="0" fontId="0" fillId="0" borderId="0" xfId="0" applyAlignment="1">
      <alignment vertical="center"/>
    </xf>
    <xf numFmtId="0" fontId="19" fillId="0" borderId="0" xfId="0" applyFont="1" applyFill="1" applyBorder="1" applyAlignment="1">
      <alignment horizontal="center" vertical="top" wrapText="1"/>
    </xf>
    <xf numFmtId="0" fontId="0" fillId="0" borderId="2" xfId="0" applyBorder="1" applyAlignment="1">
      <alignment vertical="center"/>
    </xf>
    <xf numFmtId="0" fontId="5" fillId="0" borderId="0" xfId="0" applyFont="1" applyBorder="1" applyAlignment="1">
      <alignment horizontal="center" vertical="center"/>
    </xf>
    <xf numFmtId="0" fontId="0" fillId="0" borderId="10" xfId="0" applyBorder="1" applyAlignment="1">
      <alignment horizontal="center" vertical="center"/>
    </xf>
    <xf numFmtId="167" fontId="12" fillId="0" borderId="2" xfId="32" applyNumberFormat="1" applyFont="1" applyBorder="1" applyAlignment="1">
      <alignment horizontal="center" vertical="center" wrapText="1"/>
    </xf>
    <xf numFmtId="0" fontId="4" fillId="0" borderId="15" xfId="0" applyFont="1" applyFill="1" applyBorder="1" applyAlignment="1"/>
    <xf numFmtId="167" fontId="4" fillId="0" borderId="15" xfId="0" applyNumberFormat="1" applyFont="1" applyFill="1" applyBorder="1" applyAlignment="1"/>
    <xf numFmtId="0" fontId="4" fillId="0" borderId="0" xfId="0" applyFont="1" applyFill="1" applyBorder="1" applyAlignment="1"/>
    <xf numFmtId="167" fontId="4" fillId="0" borderId="0" xfId="0" applyNumberFormat="1" applyFont="1" applyFill="1" applyBorder="1" applyAlignment="1"/>
    <xf numFmtId="0" fontId="4" fillId="0" borderId="5" xfId="0" applyFont="1" applyBorder="1" applyAlignment="1">
      <alignment vertical="center"/>
    </xf>
    <xf numFmtId="167" fontId="0" fillId="0" borderId="0" xfId="0" applyNumberFormat="1" applyBorder="1" applyAlignment="1">
      <alignment vertical="center"/>
    </xf>
    <xf numFmtId="0" fontId="0" fillId="0" borderId="1" xfId="0" applyBorder="1" applyAlignment="1">
      <alignment horizontal="center" vertical="center" wrapText="1"/>
    </xf>
    <xf numFmtId="167" fontId="0" fillId="0" borderId="2" xfId="0" applyNumberFormat="1" applyBorder="1" applyAlignment="1">
      <alignment vertical="center"/>
    </xf>
    <xf numFmtId="167" fontId="0" fillId="17" borderId="2" xfId="0" applyNumberFormat="1" applyFill="1" applyBorder="1" applyAlignment="1"/>
    <xf numFmtId="0" fontId="4" fillId="0" borderId="4" xfId="0" applyFont="1" applyBorder="1" applyAlignment="1">
      <alignment vertical="center"/>
    </xf>
    <xf numFmtId="0" fontId="0" fillId="0" borderId="9" xfId="0" applyBorder="1" applyAlignment="1">
      <alignment horizontal="center" vertical="center"/>
    </xf>
    <xf numFmtId="0" fontId="5" fillId="0" borderId="9" xfId="0" applyFont="1" applyBorder="1" applyAlignment="1">
      <alignment horizontal="center" vertical="center" wrapText="1"/>
    </xf>
    <xf numFmtId="0" fontId="0" fillId="0" borderId="10" xfId="0" applyBorder="1" applyAlignment="1">
      <alignment horizontal="center" vertical="center" wrapText="1"/>
    </xf>
    <xf numFmtId="167" fontId="12" fillId="0" borderId="6" xfId="32" applyNumberFormat="1" applyFont="1" applyBorder="1" applyAlignment="1">
      <alignment horizontal="center" vertical="center" wrapText="1"/>
    </xf>
    <xf numFmtId="167" fontId="12" fillId="0" borderId="15" xfId="32" applyNumberFormat="1" applyFont="1" applyBorder="1" applyAlignment="1" applyProtection="1">
      <alignment horizontal="center" vertical="center" wrapText="1"/>
    </xf>
    <xf numFmtId="170" fontId="0" fillId="19" borderId="0" xfId="0" applyNumberFormat="1" applyFill="1" applyProtection="1">
      <protection locked="0"/>
    </xf>
    <xf numFmtId="170" fontId="0" fillId="19" borderId="0" xfId="0" applyNumberFormat="1" applyFill="1"/>
    <xf numFmtId="172" fontId="0" fillId="19" borderId="0" xfId="0" applyNumberFormat="1" applyFill="1"/>
    <xf numFmtId="0" fontId="4" fillId="4" borderId="4" xfId="0" applyFont="1" applyFill="1" applyBorder="1" applyAlignment="1">
      <alignment horizontal="center" vertical="center"/>
    </xf>
    <xf numFmtId="0" fontId="7" fillId="0" borderId="2" xfId="0" applyFont="1" applyBorder="1" applyAlignment="1">
      <alignment vertical="top"/>
    </xf>
    <xf numFmtId="0" fontId="4" fillId="4" borderId="1" xfId="0" applyFont="1" applyFill="1" applyBorder="1" applyAlignment="1">
      <alignment horizontal="center" vertical="center"/>
    </xf>
    <xf numFmtId="0" fontId="1" fillId="0" borderId="2" xfId="0" applyFont="1" applyBorder="1" applyAlignment="1">
      <alignment vertical="top" wrapText="1"/>
    </xf>
    <xf numFmtId="9" fontId="1" fillId="19" borderId="1" xfId="33" applyFont="1" applyFill="1" applyBorder="1"/>
    <xf numFmtId="9" fontId="1" fillId="19" borderId="2" xfId="33" applyFont="1" applyFill="1" applyBorder="1"/>
    <xf numFmtId="9" fontId="1" fillId="19" borderId="3" xfId="33" applyFont="1" applyFill="1" applyBorder="1"/>
    <xf numFmtId="0" fontId="0" fillId="18" borderId="0" xfId="0" applyFill="1"/>
    <xf numFmtId="167" fontId="0" fillId="18" borderId="0" xfId="0" applyNumberFormat="1" applyFill="1"/>
    <xf numFmtId="167" fontId="0" fillId="18" borderId="0" xfId="0" applyNumberFormat="1" applyFill="1" applyAlignment="1">
      <alignment horizontal="right"/>
    </xf>
    <xf numFmtId="0" fontId="4" fillId="18" borderId="0" xfId="0" applyFont="1" applyFill="1"/>
    <xf numFmtId="167" fontId="4" fillId="18" borderId="0" xfId="0" applyNumberFormat="1" applyFont="1" applyFill="1"/>
    <xf numFmtId="166" fontId="0" fillId="18" borderId="0" xfId="0" applyNumberFormat="1" applyFill="1"/>
    <xf numFmtId="0" fontId="1" fillId="0" borderId="0" xfId="0" applyFont="1" applyAlignment="1">
      <alignment vertical="center"/>
    </xf>
    <xf numFmtId="0" fontId="4" fillId="0" borderId="0" xfId="0" applyFont="1" applyAlignment="1">
      <alignment vertical="center"/>
    </xf>
    <xf numFmtId="0" fontId="56" fillId="0" borderId="0" xfId="0" quotePrefix="1" applyFont="1"/>
    <xf numFmtId="0" fontId="0" fillId="17" borderId="9" xfId="0" applyFill="1" applyBorder="1" applyAlignment="1"/>
    <xf numFmtId="0" fontId="0" fillId="17" borderId="0" xfId="0" applyFill="1" applyBorder="1" applyAlignment="1"/>
    <xf numFmtId="173" fontId="0" fillId="17" borderId="9" xfId="7" applyNumberFormat="1" applyFont="1" applyFill="1" applyBorder="1" applyAlignment="1"/>
    <xf numFmtId="173" fontId="0" fillId="17" borderId="0" xfId="7" applyNumberFormat="1" applyFont="1" applyFill="1" applyBorder="1" applyAlignment="1"/>
    <xf numFmtId="9" fontId="0" fillId="17" borderId="9" xfId="33" applyFont="1" applyFill="1" applyBorder="1" applyAlignment="1"/>
    <xf numFmtId="9" fontId="0" fillId="17" borderId="0" xfId="33" applyFont="1" applyFill="1" applyBorder="1" applyAlignment="1"/>
    <xf numFmtId="173" fontId="0" fillId="17" borderId="9" xfId="33" applyNumberFormat="1" applyFont="1" applyFill="1" applyBorder="1" applyAlignment="1"/>
    <xf numFmtId="173" fontId="0" fillId="17" borderId="0" xfId="33" applyNumberFormat="1" applyFont="1" applyFill="1" applyBorder="1" applyAlignment="1"/>
    <xf numFmtId="0" fontId="0" fillId="9" borderId="2" xfId="0" applyFill="1" applyBorder="1" applyAlignment="1">
      <alignment horizontal="center"/>
    </xf>
    <xf numFmtId="167" fontId="0" fillId="9" borderId="2" xfId="0" applyNumberFormat="1" applyFill="1" applyBorder="1" applyAlignment="1">
      <alignment horizontal="center"/>
    </xf>
    <xf numFmtId="9" fontId="0" fillId="9" borderId="3" xfId="33" applyFont="1" applyFill="1" applyBorder="1" applyAlignment="1">
      <alignment horizontal="center"/>
    </xf>
    <xf numFmtId="0" fontId="5" fillId="9" borderId="11" xfId="0" applyFont="1" applyFill="1" applyBorder="1"/>
    <xf numFmtId="0" fontId="0" fillId="9" borderId="18" xfId="0" applyFill="1" applyBorder="1" applyAlignment="1">
      <alignment horizontal="center"/>
    </xf>
    <xf numFmtId="0" fontId="0" fillId="9" borderId="3" xfId="0" applyFill="1" applyBorder="1" applyAlignment="1">
      <alignment horizontal="center"/>
    </xf>
    <xf numFmtId="9" fontId="0" fillId="9" borderId="12" xfId="33" applyFont="1" applyFill="1" applyBorder="1" applyAlignment="1"/>
    <xf numFmtId="0" fontId="0" fillId="9" borderId="7" xfId="0" applyFill="1" applyBorder="1" applyAlignment="1"/>
    <xf numFmtId="0" fontId="0" fillId="9" borderId="27" xfId="0" applyFill="1" applyBorder="1" applyAlignment="1">
      <alignment horizontal="center"/>
    </xf>
    <xf numFmtId="9" fontId="0" fillId="9" borderId="23" xfId="33" applyFont="1" applyFill="1" applyBorder="1" applyAlignment="1"/>
    <xf numFmtId="0" fontId="0" fillId="9" borderId="44" xfId="0" applyFill="1" applyBorder="1" applyAlignment="1"/>
    <xf numFmtId="43" fontId="0" fillId="9" borderId="22" xfId="0" applyNumberFormat="1" applyFill="1" applyBorder="1" applyAlignment="1">
      <alignment horizontal="center"/>
    </xf>
    <xf numFmtId="0" fontId="0" fillId="9" borderId="37" xfId="0" applyFill="1" applyBorder="1" applyAlignment="1">
      <alignment horizontal="center"/>
    </xf>
    <xf numFmtId="43" fontId="0" fillId="9" borderId="37" xfId="0" applyNumberFormat="1" applyFill="1" applyBorder="1" applyAlignment="1">
      <alignment horizontal="center"/>
    </xf>
    <xf numFmtId="43" fontId="0" fillId="9" borderId="2" xfId="0" applyNumberFormat="1" applyFill="1" applyBorder="1" applyAlignment="1">
      <alignment horizontal="center"/>
    </xf>
    <xf numFmtId="43" fontId="0" fillId="9" borderId="2" xfId="0" applyNumberFormat="1" applyFill="1" applyBorder="1" applyAlignment="1"/>
    <xf numFmtId="175" fontId="19" fillId="9" borderId="37" xfId="33" applyNumberFormat="1" applyFont="1" applyFill="1" applyBorder="1" applyAlignment="1">
      <alignment horizontal="center"/>
    </xf>
    <xf numFmtId="175" fontId="19" fillId="9" borderId="2" xfId="33" applyNumberFormat="1" applyFont="1" applyFill="1" applyBorder="1" applyAlignment="1">
      <alignment horizontal="center"/>
    </xf>
    <xf numFmtId="0" fontId="19" fillId="9" borderId="2" xfId="0" applyFont="1" applyFill="1" applyBorder="1" applyAlignment="1"/>
    <xf numFmtId="9" fontId="19" fillId="9" borderId="2" xfId="33" applyFont="1" applyFill="1" applyBorder="1" applyAlignment="1"/>
    <xf numFmtId="9" fontId="0" fillId="9" borderId="37" xfId="33" applyFont="1" applyFill="1" applyBorder="1" applyAlignment="1">
      <alignment horizontal="center"/>
    </xf>
    <xf numFmtId="9" fontId="0" fillId="9" borderId="2" xfId="33" applyFont="1" applyFill="1" applyBorder="1" applyAlignment="1">
      <alignment horizontal="center"/>
    </xf>
    <xf numFmtId="9" fontId="0" fillId="9" borderId="2" xfId="33" applyFont="1" applyFill="1" applyBorder="1" applyAlignment="1"/>
    <xf numFmtId="9" fontId="0" fillId="9" borderId="40" xfId="33" applyFont="1" applyFill="1" applyBorder="1" applyAlignment="1">
      <alignment horizontal="center"/>
    </xf>
    <xf numFmtId="9" fontId="0" fillId="9" borderId="41" xfId="33" applyFont="1" applyFill="1" applyBorder="1" applyAlignment="1">
      <alignment horizontal="center"/>
    </xf>
    <xf numFmtId="9" fontId="0" fillId="9" borderId="41" xfId="33" applyFont="1" applyFill="1" applyBorder="1" applyAlignment="1"/>
    <xf numFmtId="0" fontId="1" fillId="9" borderId="13" xfId="0" applyFont="1" applyFill="1" applyBorder="1" applyAlignment="1"/>
    <xf numFmtId="0" fontId="0" fillId="9" borderId="6" xfId="0" applyFill="1" applyBorder="1" applyAlignment="1">
      <alignment horizontal="center" wrapText="1"/>
    </xf>
    <xf numFmtId="0" fontId="0" fillId="9" borderId="11" xfId="0" applyFill="1" applyBorder="1" applyAlignment="1">
      <alignment horizontal="center"/>
    </xf>
    <xf numFmtId="1" fontId="0" fillId="9" borderId="9" xfId="0" applyNumberFormat="1" applyFill="1" applyBorder="1" applyAlignment="1">
      <alignment horizontal="center"/>
    </xf>
    <xf numFmtId="9" fontId="0" fillId="8" borderId="22" xfId="33" applyFont="1" applyFill="1" applyBorder="1" applyAlignment="1"/>
    <xf numFmtId="9" fontId="0" fillId="8" borderId="23" xfId="33" applyFont="1" applyFill="1" applyBorder="1" applyAlignment="1"/>
    <xf numFmtId="0" fontId="0" fillId="17" borderId="0" xfId="0" applyFill="1" applyAlignment="1"/>
    <xf numFmtId="0" fontId="16" fillId="9" borderId="0" xfId="0" applyFont="1" applyFill="1" applyBorder="1" applyAlignment="1">
      <alignment horizontal="center"/>
    </xf>
    <xf numFmtId="0" fontId="0" fillId="9" borderId="19" xfId="0" applyFill="1" applyBorder="1" applyAlignment="1">
      <alignment horizontal="center" vertical="center"/>
    </xf>
    <xf numFmtId="2" fontId="0" fillId="9" borderId="0" xfId="0" applyNumberFormat="1" applyFill="1" applyBorder="1" applyAlignment="1"/>
    <xf numFmtId="0" fontId="5" fillId="0" borderId="2" xfId="0" applyFont="1" applyBorder="1" applyAlignment="1">
      <alignment horizontal="left" vertical="center"/>
    </xf>
    <xf numFmtId="0" fontId="1" fillId="0" borderId="2" xfId="0" applyFont="1" applyBorder="1" applyAlignment="1">
      <alignment horizontal="left" vertical="center"/>
    </xf>
    <xf numFmtId="0" fontId="5" fillId="0" borderId="3" xfId="0" applyFont="1" applyBorder="1" applyAlignment="1">
      <alignment horizontal="left" vertical="center"/>
    </xf>
    <xf numFmtId="0" fontId="4" fillId="0" borderId="4" xfId="0" applyFont="1" applyBorder="1" applyAlignment="1">
      <alignment vertical="center" wrapText="1"/>
    </xf>
    <xf numFmtId="0" fontId="4" fillId="0" borderId="7" xfId="0" applyFont="1" applyBorder="1" applyAlignment="1">
      <alignment vertical="center" wrapText="1"/>
    </xf>
    <xf numFmtId="0" fontId="1" fillId="8" borderId="0" xfId="0" applyFont="1" applyFill="1"/>
    <xf numFmtId="0" fontId="5" fillId="8" borderId="0" xfId="0" applyFont="1" applyFill="1" applyAlignment="1">
      <alignment horizontal="center"/>
    </xf>
    <xf numFmtId="4" fontId="13" fillId="8" borderId="0" xfId="0" applyNumberFormat="1" applyFont="1" applyFill="1" applyAlignment="1">
      <alignment horizontal="center" vertical="center"/>
    </xf>
    <xf numFmtId="0" fontId="5" fillId="8" borderId="0" xfId="0" applyFont="1" applyFill="1" applyAlignment="1">
      <alignment horizontal="center" vertical="center"/>
    </xf>
    <xf numFmtId="0" fontId="19" fillId="8" borderId="0" xfId="0" applyFont="1" applyFill="1" applyAlignment="1">
      <alignment horizontal="center" vertical="center"/>
    </xf>
    <xf numFmtId="4" fontId="19" fillId="8" borderId="0" xfId="0" applyNumberFormat="1" applyFont="1" applyFill="1" applyAlignment="1">
      <alignment horizontal="center" vertical="center"/>
    </xf>
    <xf numFmtId="165" fontId="5" fillId="8" borderId="0" xfId="0" applyNumberFormat="1" applyFont="1" applyFill="1" applyAlignment="1">
      <alignment horizontal="center" vertical="center"/>
    </xf>
    <xf numFmtId="166" fontId="5" fillId="8" borderId="0" xfId="0" applyNumberFormat="1" applyFont="1" applyFill="1" applyAlignment="1">
      <alignment horizontal="center" vertical="center"/>
    </xf>
    <xf numFmtId="167" fontId="5" fillId="8" borderId="0" xfId="0" applyNumberFormat="1" applyFont="1" applyFill="1" applyAlignment="1">
      <alignment horizontal="center" vertical="center"/>
    </xf>
    <xf numFmtId="167" fontId="13" fillId="8" borderId="0" xfId="0" applyNumberFormat="1" applyFont="1" applyFill="1" applyAlignment="1">
      <alignment horizontal="center" vertical="center"/>
    </xf>
    <xf numFmtId="0" fontId="1" fillId="8" borderId="17" xfId="0" applyFont="1" applyFill="1" applyBorder="1" applyAlignment="1"/>
    <xf numFmtId="167" fontId="0" fillId="9" borderId="22" xfId="0" applyNumberFormat="1" applyFill="1" applyBorder="1" applyAlignment="1">
      <alignment horizontal="center" vertical="center"/>
    </xf>
    <xf numFmtId="167" fontId="0" fillId="9" borderId="23" xfId="0" applyNumberFormat="1" applyFill="1" applyBorder="1" applyAlignment="1">
      <alignment horizontal="center" vertical="center"/>
    </xf>
    <xf numFmtId="9" fontId="4" fillId="0" borderId="1" xfId="33" applyFont="1" applyBorder="1" applyAlignment="1">
      <alignment vertical="center"/>
    </xf>
    <xf numFmtId="2" fontId="4" fillId="0" borderId="4" xfId="0" applyNumberFormat="1" applyFont="1" applyBorder="1" applyAlignment="1">
      <alignment vertical="center"/>
    </xf>
    <xf numFmtId="2" fontId="4" fillId="0" borderId="7" xfId="0" applyNumberFormat="1" applyFont="1" applyBorder="1" applyAlignment="1">
      <alignment vertical="center"/>
    </xf>
    <xf numFmtId="2" fontId="4" fillId="0" borderId="4" xfId="0" applyNumberFormat="1" applyFont="1" applyBorder="1" applyAlignment="1">
      <alignment horizontal="right" vertical="center"/>
    </xf>
    <xf numFmtId="2" fontId="4" fillId="0" borderId="0" xfId="0" applyNumberFormat="1" applyFont="1" applyBorder="1" applyAlignment="1">
      <alignment vertical="center"/>
    </xf>
    <xf numFmtId="9" fontId="4" fillId="17" borderId="4" xfId="33" applyFont="1" applyFill="1" applyBorder="1" applyAlignment="1">
      <alignment vertical="center"/>
    </xf>
    <xf numFmtId="9" fontId="4" fillId="17" borderId="7" xfId="33" applyFont="1" applyFill="1" applyBorder="1" applyAlignment="1">
      <alignment vertical="center"/>
    </xf>
    <xf numFmtId="9" fontId="4" fillId="0" borderId="4" xfId="33" applyFont="1" applyBorder="1" applyAlignment="1">
      <alignment vertical="center"/>
    </xf>
    <xf numFmtId="9" fontId="4" fillId="0" borderId="0" xfId="33" applyFont="1" applyBorder="1" applyAlignment="1">
      <alignment vertical="center"/>
    </xf>
    <xf numFmtId="0" fontId="0" fillId="0" borderId="9" xfId="0" applyBorder="1" applyAlignment="1">
      <alignment vertical="center"/>
    </xf>
    <xf numFmtId="0" fontId="12" fillId="0" borderId="15" xfId="32" applyFont="1" applyBorder="1" applyAlignment="1">
      <alignment horizontal="left" vertical="center"/>
    </xf>
    <xf numFmtId="0" fontId="12" fillId="0" borderId="0" xfId="32" applyFont="1" applyBorder="1" applyAlignment="1">
      <alignment horizontal="left" vertical="center"/>
    </xf>
    <xf numFmtId="167" fontId="12" fillId="0" borderId="0" xfId="32" applyNumberFormat="1" applyFont="1" applyBorder="1" applyAlignment="1">
      <alignment horizontal="center" vertical="center"/>
    </xf>
    <xf numFmtId="167" fontId="11" fillId="0" borderId="0" xfId="32" applyNumberFormat="1" applyFont="1" applyBorder="1" applyAlignment="1" applyProtection="1">
      <alignment horizontal="center" vertical="center"/>
    </xf>
    <xf numFmtId="9" fontId="0" fillId="0" borderId="15" xfId="33" applyFont="1" applyBorder="1" applyAlignment="1">
      <alignment vertical="center"/>
    </xf>
    <xf numFmtId="167" fontId="0" fillId="0" borderId="15" xfId="0" applyNumberFormat="1" applyBorder="1" applyAlignment="1">
      <alignment vertical="center"/>
    </xf>
    <xf numFmtId="167" fontId="4" fillId="0" borderId="4" xfId="0" applyNumberFormat="1" applyFont="1" applyBorder="1" applyAlignment="1">
      <alignment vertical="center"/>
    </xf>
    <xf numFmtId="166" fontId="0" fillId="0" borderId="0" xfId="0" applyNumberFormat="1" applyBorder="1" applyAlignment="1">
      <alignment vertical="center"/>
    </xf>
    <xf numFmtId="167" fontId="12" fillId="0" borderId="15" xfId="32" applyNumberFormat="1" applyFont="1" applyBorder="1" applyAlignment="1">
      <alignment horizontal="center" vertical="center"/>
    </xf>
    <xf numFmtId="0" fontId="0" fillId="4" borderId="7" xfId="0" applyFill="1" applyBorder="1" applyAlignment="1">
      <alignment horizontal="center" vertical="center" wrapText="1"/>
    </xf>
    <xf numFmtId="0" fontId="0" fillId="4" borderId="5" xfId="0" applyFill="1" applyBorder="1" applyAlignment="1">
      <alignment horizontal="center" vertical="center" wrapText="1"/>
    </xf>
    <xf numFmtId="0" fontId="0" fillId="4" borderId="4" xfId="0" applyFill="1" applyBorder="1" applyAlignment="1">
      <alignment horizontal="center" vertical="center" wrapText="1"/>
    </xf>
    <xf numFmtId="0" fontId="5" fillId="4" borderId="4" xfId="0" applyFont="1" applyFill="1" applyBorder="1" applyAlignment="1">
      <alignment horizontal="center" vertical="center" wrapText="1"/>
    </xf>
    <xf numFmtId="0" fontId="7" fillId="0" borderId="1" xfId="0" applyFont="1" applyBorder="1" applyAlignment="1">
      <alignment horizontal="center" vertical="top" wrapText="1"/>
    </xf>
    <xf numFmtId="0" fontId="7" fillId="0" borderId="4" xfId="0" applyFont="1" applyFill="1" applyBorder="1" applyAlignment="1">
      <alignment horizontal="center" vertical="center" wrapText="1"/>
    </xf>
    <xf numFmtId="0" fontId="13" fillId="0" borderId="0" xfId="0" applyFont="1" applyAlignment="1">
      <alignment horizontal="left" vertical="top" wrapText="1"/>
    </xf>
    <xf numFmtId="0" fontId="5" fillId="0" borderId="0" xfId="16" applyAlignment="1" applyProtection="1">
      <alignment vertical="center"/>
    </xf>
    <xf numFmtId="0" fontId="1" fillId="0" borderId="50" xfId="16" applyNumberFormat="1" applyFont="1" applyBorder="1" applyAlignment="1" applyProtection="1">
      <alignment horizontal="center" vertical="center" wrapText="1"/>
    </xf>
    <xf numFmtId="43" fontId="0" fillId="0" borderId="0" xfId="7" applyFont="1" applyAlignment="1" applyProtection="1">
      <alignment vertical="center"/>
    </xf>
    <xf numFmtId="0" fontId="1" fillId="0" borderId="58" xfId="16" applyNumberFormat="1" applyFont="1" applyBorder="1" applyAlignment="1" applyProtection="1">
      <alignment horizontal="center" vertical="center" wrapText="1"/>
    </xf>
    <xf numFmtId="0" fontId="1" fillId="0" borderId="17" xfId="16" applyFont="1" applyBorder="1" applyAlignment="1" applyProtection="1">
      <alignment horizontal="left" vertical="center" wrapText="1"/>
    </xf>
    <xf numFmtId="0" fontId="5" fillId="0" borderId="50" xfId="16" applyBorder="1" applyAlignment="1" applyProtection="1">
      <alignment horizontal="center" vertical="center"/>
    </xf>
    <xf numFmtId="0" fontId="1" fillId="0" borderId="20" xfId="16" applyFont="1" applyBorder="1" applyAlignment="1" applyProtection="1">
      <alignment horizontal="left" vertical="center" wrapText="1"/>
    </xf>
    <xf numFmtId="0" fontId="5" fillId="0" borderId="58" xfId="16" applyBorder="1" applyAlignment="1" applyProtection="1">
      <alignment horizontal="center" vertical="center"/>
    </xf>
    <xf numFmtId="0" fontId="5" fillId="0" borderId="17" xfId="16" applyBorder="1" applyAlignment="1" applyProtection="1">
      <alignment vertical="center"/>
    </xf>
    <xf numFmtId="43" fontId="1" fillId="0" borderId="0" xfId="7" applyFont="1" applyAlignment="1" applyProtection="1">
      <alignment vertical="center"/>
    </xf>
    <xf numFmtId="0" fontId="5" fillId="0" borderId="20" xfId="16" applyBorder="1" applyAlignment="1" applyProtection="1">
      <alignment vertical="center"/>
    </xf>
    <xf numFmtId="0" fontId="1" fillId="0" borderId="37" xfId="16" applyFont="1" applyBorder="1" applyAlignment="1" applyProtection="1">
      <alignment horizontal="left" vertical="center" wrapText="1" indent="1"/>
    </xf>
    <xf numFmtId="0" fontId="1" fillId="0" borderId="17" xfId="16" applyFont="1" applyBorder="1" applyAlignment="1" applyProtection="1">
      <alignment horizontal="left" vertical="center" indent="1"/>
    </xf>
    <xf numFmtId="0" fontId="1" fillId="0" borderId="37" xfId="16" applyFont="1" applyBorder="1" applyAlignment="1" applyProtection="1">
      <alignment horizontal="left" vertical="center" indent="1"/>
    </xf>
    <xf numFmtId="0" fontId="5" fillId="0" borderId="17" xfId="16" applyBorder="1" applyAlignment="1" applyProtection="1">
      <alignment horizontal="left" vertical="center" wrapText="1" indent="1"/>
    </xf>
    <xf numFmtId="0" fontId="5" fillId="0" borderId="17" xfId="16" applyBorder="1" applyAlignment="1" applyProtection="1">
      <alignment horizontal="left" vertical="center" wrapText="1" indent="2"/>
    </xf>
    <xf numFmtId="167" fontId="52" fillId="9" borderId="31" xfId="28" applyNumberFormat="1" applyFont="1" applyFill="1" applyBorder="1" applyAlignment="1" applyProtection="1">
      <alignment horizontal="center" vertical="center"/>
      <protection locked="0"/>
    </xf>
    <xf numFmtId="0" fontId="24" fillId="9" borderId="53" xfId="16" applyNumberFormat="1" applyFont="1" applyFill="1" applyBorder="1" applyAlignment="1" applyProtection="1">
      <alignment horizontal="center" vertical="center"/>
      <protection locked="0"/>
    </xf>
    <xf numFmtId="2" fontId="0" fillId="10" borderId="30" xfId="0" applyNumberFormat="1" applyFill="1" applyBorder="1" applyAlignment="1" applyProtection="1">
      <alignment horizontal="center" vertical="center"/>
      <protection locked="0"/>
    </xf>
    <xf numFmtId="2" fontId="5" fillId="10" borderId="23" xfId="16" applyNumberFormat="1" applyFill="1" applyBorder="1" applyAlignment="1" applyProtection="1">
      <alignment horizontal="center" vertical="center"/>
      <protection locked="0"/>
    </xf>
    <xf numFmtId="2" fontId="5" fillId="11" borderId="70" xfId="16" applyNumberFormat="1" applyFill="1" applyBorder="1" applyAlignment="1" applyProtection="1">
      <alignment horizontal="center" vertical="center"/>
      <protection locked="0"/>
    </xf>
    <xf numFmtId="2" fontId="5" fillId="11" borderId="64" xfId="16" applyNumberFormat="1" applyFill="1" applyBorder="1" applyAlignment="1" applyProtection="1">
      <alignment horizontal="center" vertical="center"/>
      <protection locked="0"/>
    </xf>
    <xf numFmtId="0" fontId="5" fillId="11" borderId="64" xfId="16" applyFill="1" applyBorder="1" applyAlignment="1" applyProtection="1">
      <alignment horizontal="center" vertical="center"/>
      <protection locked="0"/>
    </xf>
    <xf numFmtId="0" fontId="1" fillId="0" borderId="83" xfId="13" applyFont="1" applyBorder="1" applyAlignment="1" applyProtection="1">
      <alignment horizontal="centerContinuous" vertical="center"/>
    </xf>
    <xf numFmtId="0" fontId="1" fillId="0" borderId="5" xfId="13" applyFont="1" applyBorder="1" applyAlignment="1" applyProtection="1">
      <alignment horizontal="center"/>
    </xf>
    <xf numFmtId="0" fontId="1" fillId="0" borderId="4" xfId="16" applyFont="1" applyBorder="1" applyAlignment="1" applyProtection="1">
      <alignment horizontal="left" wrapText="1" indent="1"/>
    </xf>
    <xf numFmtId="0" fontId="27" fillId="0" borderId="0" xfId="0" applyFont="1" applyFill="1" applyBorder="1" applyAlignment="1" applyProtection="1">
      <alignment vertical="center"/>
    </xf>
    <xf numFmtId="0" fontId="27" fillId="0" borderId="0" xfId="0" applyFont="1" applyAlignment="1" applyProtection="1">
      <alignment vertical="center"/>
    </xf>
    <xf numFmtId="0" fontId="50" fillId="9" borderId="22" xfId="25" applyFont="1" applyFill="1" applyBorder="1" applyAlignment="1" applyProtection="1">
      <alignment horizontal="left" vertical="center"/>
    </xf>
    <xf numFmtId="0" fontId="27" fillId="0" borderId="0" xfId="0" applyFont="1" applyFill="1" applyAlignment="1" applyProtection="1">
      <alignment vertical="center"/>
    </xf>
    <xf numFmtId="0" fontId="50" fillId="9" borderId="23" xfId="25" applyFont="1" applyFill="1" applyBorder="1" applyAlignment="1" applyProtection="1">
      <alignment horizontal="left" vertical="center"/>
    </xf>
    <xf numFmtId="0" fontId="4" fillId="0" borderId="0" xfId="28" applyFont="1" applyFill="1" applyBorder="1" applyAlignment="1" applyProtection="1">
      <alignment horizontal="left" vertical="center"/>
    </xf>
    <xf numFmtId="0" fontId="24" fillId="9" borderId="27" xfId="15" applyFont="1" applyFill="1" applyBorder="1" applyAlignment="1" applyProtection="1">
      <alignment horizontal="left" vertical="center" wrapText="1"/>
      <protection locked="0"/>
    </xf>
    <xf numFmtId="0" fontId="28" fillId="0" borderId="0" xfId="24" applyFont="1" applyAlignment="1" applyProtection="1">
      <alignment vertical="center"/>
    </xf>
    <xf numFmtId="0" fontId="4" fillId="0" borderId="4" xfId="15" applyFont="1" applyFill="1" applyBorder="1" applyAlignment="1" applyProtection="1">
      <alignment horizontal="center" vertical="center" wrapText="1"/>
    </xf>
    <xf numFmtId="0" fontId="17" fillId="0" borderId="0" xfId="11" applyAlignment="1" applyProtection="1">
      <alignment vertical="center"/>
    </xf>
    <xf numFmtId="0" fontId="35" fillId="0" borderId="0" xfId="0" applyFont="1" applyAlignment="1" applyProtection="1">
      <alignment vertical="center"/>
    </xf>
    <xf numFmtId="0" fontId="0" fillId="0" borderId="0" xfId="0" applyAlignment="1" applyProtection="1">
      <alignment vertical="center"/>
    </xf>
    <xf numFmtId="0" fontId="0" fillId="0" borderId="0" xfId="0" applyBorder="1" applyAlignment="1" applyProtection="1">
      <alignment vertical="center"/>
    </xf>
    <xf numFmtId="0" fontId="1" fillId="0" borderId="0" xfId="0" applyFont="1" applyAlignment="1" applyProtection="1">
      <alignment vertical="center"/>
    </xf>
    <xf numFmtId="0" fontId="1" fillId="0" borderId="0" xfId="0" applyFont="1" applyBorder="1" applyAlignment="1" applyProtection="1">
      <alignment vertical="center"/>
    </xf>
    <xf numFmtId="0" fontId="11" fillId="0" borderId="0" xfId="0" applyFont="1" applyAlignment="1">
      <alignment vertical="center"/>
    </xf>
    <xf numFmtId="0" fontId="12" fillId="0" borderId="0" xfId="0" applyFont="1" applyBorder="1" applyAlignment="1" applyProtection="1">
      <alignment vertical="center"/>
    </xf>
    <xf numFmtId="0" fontId="8" fillId="0" borderId="0" xfId="0" applyFont="1" applyAlignment="1">
      <alignment vertical="center"/>
    </xf>
    <xf numFmtId="0" fontId="8" fillId="0" borderId="0" xfId="0" applyFont="1" applyBorder="1" applyAlignment="1">
      <alignment vertical="center"/>
    </xf>
    <xf numFmtId="0" fontId="12" fillId="0" borderId="61" xfId="0" applyFont="1" applyBorder="1" applyAlignment="1" applyProtection="1">
      <alignment horizontal="center" vertical="center"/>
    </xf>
    <xf numFmtId="0" fontId="11" fillId="0" borderId="0" xfId="0" applyFont="1" applyBorder="1" applyAlignment="1" applyProtection="1">
      <alignment horizontal="center" vertical="center"/>
    </xf>
    <xf numFmtId="0" fontId="12" fillId="0" borderId="61" xfId="0" applyFont="1" applyFill="1" applyBorder="1" applyAlignment="1" applyProtection="1">
      <alignment horizontal="center" vertical="center" wrapText="1"/>
    </xf>
    <xf numFmtId="0" fontId="11" fillId="0" borderId="0" xfId="0" applyFont="1" applyAlignment="1" applyProtection="1">
      <alignment vertical="center"/>
    </xf>
    <xf numFmtId="0" fontId="8" fillId="0" borderId="0" xfId="0" applyFont="1" applyAlignment="1" applyProtection="1">
      <alignment vertical="center"/>
    </xf>
    <xf numFmtId="0" fontId="12" fillId="0" borderId="68" xfId="0" applyFont="1" applyBorder="1" applyAlignment="1" applyProtection="1">
      <alignment horizontal="center" vertical="center"/>
    </xf>
    <xf numFmtId="0" fontId="12" fillId="0" borderId="75" xfId="0" applyFont="1" applyBorder="1" applyAlignment="1" applyProtection="1">
      <alignment horizontal="center" vertical="center"/>
    </xf>
    <xf numFmtId="0" fontId="12" fillId="0" borderId="73" xfId="0" applyFont="1" applyBorder="1" applyAlignment="1" applyProtection="1">
      <alignment horizontal="center" vertical="center"/>
    </xf>
    <xf numFmtId="0" fontId="12" fillId="0" borderId="0" xfId="0" applyFont="1" applyAlignment="1">
      <alignment horizontal="center" vertical="center"/>
    </xf>
    <xf numFmtId="0" fontId="11" fillId="0" borderId="0" xfId="0" applyFont="1" applyBorder="1" applyAlignment="1">
      <alignment vertical="center"/>
    </xf>
    <xf numFmtId="0" fontId="12" fillId="0" borderId="32" xfId="0" applyFont="1" applyBorder="1" applyAlignment="1" applyProtection="1">
      <alignment horizontal="center" vertical="center"/>
    </xf>
    <xf numFmtId="0" fontId="12" fillId="0" borderId="67" xfId="0" applyFont="1" applyBorder="1" applyAlignment="1" applyProtection="1">
      <alignment horizontal="center" vertical="center"/>
    </xf>
    <xf numFmtId="0" fontId="12" fillId="0" borderId="76" xfId="0" applyFont="1" applyBorder="1" applyAlignment="1" applyProtection="1">
      <alignment horizontal="center" vertical="center"/>
    </xf>
    <xf numFmtId="0" fontId="12" fillId="0" borderId="62" xfId="0" applyFont="1" applyBorder="1" applyAlignment="1" applyProtection="1">
      <alignment horizontal="center" vertical="center"/>
    </xf>
    <xf numFmtId="0" fontId="12" fillId="0" borderId="40" xfId="0" applyFont="1" applyBorder="1" applyAlignment="1">
      <alignment horizontal="center" vertical="center"/>
    </xf>
    <xf numFmtId="0" fontId="12" fillId="0" borderId="42" xfId="0" applyFont="1" applyBorder="1" applyAlignment="1">
      <alignment horizontal="center" vertical="center"/>
    </xf>
    <xf numFmtId="0" fontId="12" fillId="0" borderId="39" xfId="0" applyFont="1" applyBorder="1" applyAlignment="1">
      <alignment horizontal="center" vertical="center"/>
    </xf>
    <xf numFmtId="0" fontId="12" fillId="0" borderId="61" xfId="0" applyFont="1" applyBorder="1" applyAlignment="1">
      <alignment horizontal="center" vertical="center"/>
    </xf>
    <xf numFmtId="0" fontId="12" fillId="0" borderId="68" xfId="0" applyFont="1" applyBorder="1" applyAlignment="1">
      <alignment horizontal="center" vertical="center"/>
    </xf>
    <xf numFmtId="0" fontId="12" fillId="0" borderId="75" xfId="0" applyFont="1" applyBorder="1" applyAlignment="1">
      <alignment horizontal="center" vertical="center"/>
    </xf>
    <xf numFmtId="174" fontId="16" fillId="9" borderId="62" xfId="0" applyNumberFormat="1" applyFont="1" applyFill="1" applyBorder="1" applyAlignment="1" applyProtection="1">
      <alignment horizontal="right" vertical="center"/>
      <protection locked="0"/>
    </xf>
    <xf numFmtId="174" fontId="16" fillId="9" borderId="38" xfId="0" applyNumberFormat="1" applyFont="1" applyFill="1" applyBorder="1" applyAlignment="1" applyProtection="1">
      <alignment horizontal="right" vertical="center"/>
      <protection locked="0"/>
    </xf>
    <xf numFmtId="174" fontId="16" fillId="9" borderId="64" xfId="0" applyNumberFormat="1" applyFont="1" applyFill="1" applyBorder="1" applyAlignment="1" applyProtection="1">
      <alignment horizontal="right" vertical="center"/>
      <protection locked="0"/>
    </xf>
    <xf numFmtId="174" fontId="16" fillId="9" borderId="63" xfId="0" applyNumberFormat="1" applyFont="1" applyFill="1" applyBorder="1" applyAlignment="1" applyProtection="1">
      <alignment horizontal="right" vertical="center"/>
      <protection locked="0"/>
    </xf>
    <xf numFmtId="0" fontId="8" fillId="0" borderId="0" xfId="0" applyFont="1" applyFill="1" applyBorder="1" applyAlignment="1" applyProtection="1">
      <alignment horizontal="left" vertical="center" wrapText="1"/>
    </xf>
    <xf numFmtId="174" fontId="16" fillId="9" borderId="27" xfId="0" applyNumberFormat="1" applyFont="1" applyFill="1" applyBorder="1" applyAlignment="1" applyProtection="1">
      <alignment horizontal="right" vertical="center"/>
      <protection locked="0"/>
    </xf>
    <xf numFmtId="174" fontId="8" fillId="2" borderId="38" xfId="0" applyNumberFormat="1" applyFont="1" applyFill="1" applyBorder="1" applyAlignment="1">
      <alignment horizontal="right" vertical="center"/>
    </xf>
    <xf numFmtId="174" fontId="16" fillId="9" borderId="66" xfId="0" applyNumberFormat="1" applyFont="1" applyFill="1" applyBorder="1" applyAlignment="1" applyProtection="1">
      <alignment horizontal="right" vertical="center"/>
      <protection locked="0"/>
    </xf>
    <xf numFmtId="174" fontId="16" fillId="9" borderId="67" xfId="0" applyNumberFormat="1" applyFont="1" applyFill="1" applyBorder="1" applyAlignment="1" applyProtection="1">
      <alignment horizontal="right" vertical="center"/>
      <protection locked="0"/>
    </xf>
    <xf numFmtId="174" fontId="8" fillId="2" borderId="62" xfId="0" applyNumberFormat="1" applyFont="1" applyFill="1" applyBorder="1" applyAlignment="1">
      <alignment horizontal="right" vertical="center"/>
    </xf>
    <xf numFmtId="174" fontId="16" fillId="9" borderId="29" xfId="0" applyNumberFormat="1" applyFont="1" applyFill="1" applyBorder="1" applyAlignment="1" applyProtection="1">
      <alignment horizontal="right" vertical="center"/>
      <protection locked="0"/>
    </xf>
    <xf numFmtId="174" fontId="8" fillId="2" borderId="64" xfId="0" applyNumberFormat="1" applyFont="1" applyFill="1" applyBorder="1" applyAlignment="1">
      <alignment horizontal="right" vertical="center"/>
    </xf>
    <xf numFmtId="174" fontId="16" fillId="9" borderId="68" xfId="0" applyNumberFormat="1" applyFont="1" applyFill="1" applyBorder="1" applyAlignment="1" applyProtection="1">
      <alignment horizontal="right" vertical="center"/>
      <protection locked="0"/>
    </xf>
    <xf numFmtId="174" fontId="8" fillId="2" borderId="61" xfId="0" applyNumberFormat="1" applyFont="1" applyFill="1" applyBorder="1" applyAlignment="1">
      <alignment horizontal="right" vertical="center"/>
    </xf>
    <xf numFmtId="174" fontId="16" fillId="9" borderId="61" xfId="0" applyNumberFormat="1" applyFont="1" applyFill="1" applyBorder="1" applyAlignment="1" applyProtection="1">
      <alignment horizontal="right" vertical="center"/>
      <protection locked="0"/>
    </xf>
    <xf numFmtId="174" fontId="16" fillId="11" borderId="20" xfId="0" applyNumberFormat="1" applyFont="1" applyFill="1" applyBorder="1" applyAlignment="1">
      <alignment horizontal="right" vertical="center"/>
    </xf>
    <xf numFmtId="174" fontId="16" fillId="11" borderId="21" xfId="0" applyNumberFormat="1" applyFont="1" applyFill="1" applyBorder="1" applyAlignment="1">
      <alignment horizontal="right" vertical="center"/>
    </xf>
    <xf numFmtId="174" fontId="8" fillId="11" borderId="39" xfId="0" applyNumberFormat="1" applyFont="1" applyFill="1" applyBorder="1" applyAlignment="1">
      <alignment horizontal="right" vertical="center"/>
    </xf>
    <xf numFmtId="174" fontId="16" fillId="9" borderId="39" xfId="0" applyNumberFormat="1" applyFont="1" applyFill="1" applyBorder="1" applyAlignment="1" applyProtection="1">
      <alignment horizontal="right" vertical="center"/>
      <protection locked="0"/>
    </xf>
    <xf numFmtId="0" fontId="8" fillId="0" borderId="0" xfId="0" applyFont="1" applyFill="1" applyAlignment="1" applyProtection="1">
      <alignment vertical="center"/>
    </xf>
    <xf numFmtId="174" fontId="16" fillId="11" borderId="24" xfId="0" applyNumberFormat="1" applyFont="1" applyFill="1" applyBorder="1" applyAlignment="1">
      <alignment horizontal="right" vertical="center"/>
    </xf>
    <xf numFmtId="174" fontId="16" fillId="11" borderId="25" xfId="0" applyNumberFormat="1" applyFont="1" applyFill="1" applyBorder="1" applyAlignment="1">
      <alignment horizontal="right" vertical="center"/>
    </xf>
    <xf numFmtId="174" fontId="16" fillId="11" borderId="61" xfId="0" applyNumberFormat="1" applyFont="1" applyFill="1" applyBorder="1" applyAlignment="1">
      <alignment horizontal="right" vertical="center"/>
    </xf>
    <xf numFmtId="174" fontId="8" fillId="11" borderId="61" xfId="0" applyNumberFormat="1" applyFont="1" applyFill="1" applyBorder="1" applyAlignment="1" applyProtection="1">
      <alignment horizontal="right" vertical="center"/>
    </xf>
    <xf numFmtId="174" fontId="16" fillId="11" borderId="39" xfId="0" applyNumberFormat="1" applyFont="1" applyFill="1" applyBorder="1" applyAlignment="1">
      <alignment horizontal="right" vertical="center"/>
    </xf>
    <xf numFmtId="0" fontId="10" fillId="0" borderId="0" xfId="0" applyFont="1" applyBorder="1" applyAlignment="1">
      <alignment vertical="center"/>
    </xf>
    <xf numFmtId="174" fontId="10" fillId="2" borderId="39" xfId="0" applyNumberFormat="1" applyFont="1" applyFill="1" applyBorder="1" applyAlignment="1">
      <alignment horizontal="right" vertical="center"/>
    </xf>
    <xf numFmtId="0" fontId="10" fillId="0" borderId="0" xfId="0" applyFont="1" applyAlignment="1" applyProtection="1">
      <alignment vertical="center"/>
    </xf>
    <xf numFmtId="0" fontId="8" fillId="0" borderId="0" xfId="0" applyFont="1" applyBorder="1" applyAlignment="1" applyProtection="1">
      <alignment vertical="center"/>
    </xf>
    <xf numFmtId="0" fontId="36" fillId="0" borderId="0" xfId="0" applyFont="1" applyAlignment="1" applyProtection="1">
      <alignment horizontal="center" vertical="center"/>
    </xf>
    <xf numFmtId="0" fontId="10" fillId="0" borderId="0" xfId="0" applyFont="1" applyAlignment="1">
      <alignment vertical="center"/>
    </xf>
    <xf numFmtId="0" fontId="10" fillId="0" borderId="0" xfId="0" applyFont="1" applyFill="1" applyAlignment="1">
      <alignment vertical="center"/>
    </xf>
    <xf numFmtId="0" fontId="35" fillId="0" borderId="24" xfId="0" applyFont="1" applyFill="1" applyBorder="1" applyAlignment="1" applyProtection="1">
      <alignment vertical="center"/>
    </xf>
    <xf numFmtId="0" fontId="10" fillId="0" borderId="25" xfId="0" applyFont="1" applyBorder="1" applyAlignment="1" applyProtection="1">
      <alignment vertical="center"/>
    </xf>
    <xf numFmtId="0" fontId="10" fillId="0" borderId="61" xfId="0" applyFont="1" applyBorder="1" applyAlignment="1">
      <alignment horizontal="center" vertical="center"/>
    </xf>
    <xf numFmtId="0" fontId="10" fillId="0" borderId="61" xfId="0" applyFont="1" applyFill="1" applyBorder="1" applyAlignment="1" applyProtection="1">
      <alignment horizontal="center" vertical="center" wrapText="1"/>
    </xf>
    <xf numFmtId="0" fontId="10" fillId="0" borderId="0" xfId="0" applyFont="1" applyFill="1" applyBorder="1" applyAlignment="1" applyProtection="1">
      <alignment vertical="center"/>
    </xf>
    <xf numFmtId="0" fontId="11" fillId="0" borderId="0" xfId="0" applyFont="1" applyBorder="1" applyAlignment="1" applyProtection="1">
      <alignment vertical="center"/>
    </xf>
    <xf numFmtId="0" fontId="34" fillId="0" borderId="0" xfId="0" applyFont="1" applyBorder="1" applyAlignment="1" applyProtection="1">
      <alignment vertical="center"/>
    </xf>
    <xf numFmtId="0" fontId="8" fillId="0" borderId="0" xfId="0" applyFont="1" applyBorder="1" applyAlignment="1" applyProtection="1">
      <alignment vertical="center" wrapText="1"/>
    </xf>
    <xf numFmtId="0" fontId="10" fillId="0" borderId="0" xfId="0" applyFont="1" applyBorder="1" applyAlignment="1" applyProtection="1">
      <alignment vertical="center" wrapText="1"/>
    </xf>
    <xf numFmtId="0" fontId="8" fillId="0" borderId="0" xfId="0" applyFont="1" applyFill="1" applyAlignment="1">
      <alignment vertical="center"/>
    </xf>
    <xf numFmtId="0" fontId="8" fillId="0" borderId="0" xfId="0" applyFont="1" applyFill="1" applyBorder="1" applyAlignment="1">
      <alignment vertical="center"/>
    </xf>
    <xf numFmtId="0" fontId="8" fillId="0" borderId="0" xfId="0" applyFont="1" applyFill="1" applyBorder="1" applyAlignment="1" applyProtection="1">
      <alignment vertical="center"/>
    </xf>
    <xf numFmtId="0" fontId="12" fillId="0" borderId="61" xfId="0" applyFont="1" applyBorder="1" applyAlignment="1" applyProtection="1">
      <alignment horizontal="center" vertical="center" wrapText="1"/>
    </xf>
    <xf numFmtId="0" fontId="10" fillId="0" borderId="61" xfId="0" applyFont="1" applyBorder="1" applyAlignment="1">
      <alignment horizontal="center" vertical="center" wrapText="1"/>
    </xf>
    <xf numFmtId="0" fontId="10" fillId="0" borderId="26" xfId="0" applyFont="1" applyBorder="1" applyAlignment="1">
      <alignment horizontal="center" vertical="center"/>
    </xf>
    <xf numFmtId="0" fontId="8" fillId="5" borderId="35" xfId="0" applyFont="1" applyFill="1" applyBorder="1" applyAlignment="1" applyProtection="1">
      <alignment horizontal="center" textRotation="90" wrapText="1"/>
    </xf>
    <xf numFmtId="0" fontId="8" fillId="5" borderId="72" xfId="0" applyFont="1" applyFill="1" applyBorder="1" applyAlignment="1" applyProtection="1">
      <alignment horizontal="center" textRotation="90" wrapText="1"/>
    </xf>
    <xf numFmtId="0" fontId="8" fillId="5" borderId="73" xfId="0" applyFont="1" applyFill="1" applyBorder="1" applyAlignment="1" applyProtection="1">
      <alignment horizontal="center" textRotation="90" wrapText="1"/>
    </xf>
    <xf numFmtId="0" fontId="10" fillId="8" borderId="32" xfId="0" applyFont="1" applyFill="1" applyBorder="1" applyAlignment="1" applyProtection="1">
      <alignment horizontal="center" vertical="top" wrapText="1"/>
    </xf>
    <xf numFmtId="0" fontId="8" fillId="0" borderId="65" xfId="0" applyFont="1" applyFill="1" applyBorder="1" applyAlignment="1" applyProtection="1">
      <alignment vertical="center"/>
    </xf>
    <xf numFmtId="0" fontId="8" fillId="0" borderId="7" xfId="0" applyFont="1" applyFill="1" applyBorder="1" applyAlignment="1" applyProtection="1">
      <alignment vertical="center"/>
    </xf>
    <xf numFmtId="0" fontId="36" fillId="0" borderId="0" xfId="0" applyFont="1" applyAlignment="1" applyProtection="1">
      <alignment vertical="center"/>
    </xf>
    <xf numFmtId="0" fontId="12" fillId="8" borderId="61" xfId="0" applyFont="1" applyFill="1" applyBorder="1" applyAlignment="1" applyProtection="1">
      <alignment horizontal="center" vertical="center" wrapText="1"/>
    </xf>
    <xf numFmtId="0" fontId="11" fillId="0" borderId="17" xfId="0" applyFont="1" applyBorder="1" applyAlignment="1">
      <alignment vertical="center"/>
    </xf>
    <xf numFmtId="0" fontId="12" fillId="0" borderId="0" xfId="0" applyFont="1" applyBorder="1" applyAlignment="1" applyProtection="1">
      <alignment vertical="center" wrapText="1"/>
    </xf>
    <xf numFmtId="0" fontId="37" fillId="0" borderId="0" xfId="0" applyFont="1" applyFill="1" applyBorder="1" applyAlignment="1">
      <alignment vertical="center"/>
    </xf>
    <xf numFmtId="174" fontId="10" fillId="0" borderId="61" xfId="0" applyNumberFormat="1" applyFont="1" applyFill="1" applyBorder="1" applyAlignment="1">
      <alignment vertical="center"/>
    </xf>
    <xf numFmtId="0" fontId="10" fillId="6" borderId="25" xfId="0" applyFont="1" applyFill="1" applyBorder="1" applyAlignment="1" applyProtection="1">
      <alignment horizontal="center" vertical="center" wrapText="1"/>
    </xf>
    <xf numFmtId="0" fontId="10" fillId="6" borderId="26" xfId="0" applyFont="1" applyFill="1" applyBorder="1" applyAlignment="1" applyProtection="1">
      <alignment horizontal="center" vertical="center" wrapText="1"/>
    </xf>
    <xf numFmtId="0" fontId="10" fillId="6" borderId="23" xfId="0" applyFont="1" applyFill="1" applyBorder="1" applyAlignment="1" applyProtection="1">
      <alignment horizontal="center" vertical="center" wrapText="1"/>
    </xf>
    <xf numFmtId="0" fontId="10" fillId="6" borderId="39" xfId="0" applyFont="1" applyFill="1" applyBorder="1" applyAlignment="1" applyProtection="1">
      <alignment horizontal="center" vertical="center" wrapText="1"/>
    </xf>
    <xf numFmtId="0" fontId="12" fillId="0" borderId="0" xfId="0" applyFont="1" applyAlignment="1">
      <alignment vertical="center"/>
    </xf>
    <xf numFmtId="0" fontId="1" fillId="0" borderId="0" xfId="0" applyFont="1" applyFill="1" applyBorder="1" applyAlignment="1">
      <alignment vertical="center"/>
    </xf>
    <xf numFmtId="0" fontId="11" fillId="0" borderId="0" xfId="0" applyFont="1" applyFill="1" applyBorder="1" applyAlignment="1">
      <alignment vertical="center"/>
    </xf>
    <xf numFmtId="0" fontId="1" fillId="0" borderId="0" xfId="0" applyFont="1" applyBorder="1" applyAlignment="1">
      <alignment vertical="center"/>
    </xf>
    <xf numFmtId="0" fontId="12" fillId="0" borderId="21" xfId="0" applyFont="1" applyBorder="1" applyAlignment="1">
      <alignment vertical="center"/>
    </xf>
    <xf numFmtId="0" fontId="12" fillId="0" borderId="0" xfId="0" applyFont="1" applyBorder="1" applyAlignment="1">
      <alignment vertical="center"/>
    </xf>
    <xf numFmtId="0" fontId="1" fillId="0" borderId="13" xfId="0" applyFont="1" applyBorder="1" applyAlignment="1">
      <alignment vertical="center"/>
    </xf>
    <xf numFmtId="0" fontId="12" fillId="0" borderId="0" xfId="0" applyFont="1" applyFill="1" applyBorder="1" applyAlignment="1">
      <alignment horizontal="left" vertical="center"/>
    </xf>
    <xf numFmtId="0" fontId="12" fillId="0" borderId="14" xfId="0" applyFont="1" applyBorder="1" applyAlignment="1" applyProtection="1">
      <alignment vertical="center"/>
    </xf>
    <xf numFmtId="0" fontId="1" fillId="0" borderId="14" xfId="0" applyFont="1" applyFill="1" applyBorder="1" applyAlignment="1">
      <alignment vertical="center"/>
    </xf>
    <xf numFmtId="0" fontId="1" fillId="0" borderId="14" xfId="0" applyFont="1" applyBorder="1" applyAlignment="1">
      <alignment horizontal="center" vertical="center"/>
    </xf>
    <xf numFmtId="0" fontId="1" fillId="0" borderId="19" xfId="0" applyFont="1" applyFill="1" applyBorder="1" applyAlignment="1">
      <alignment vertical="center"/>
    </xf>
    <xf numFmtId="0" fontId="1" fillId="0" borderId="17" xfId="0" applyFont="1" applyBorder="1" applyAlignment="1">
      <alignment vertical="center"/>
    </xf>
    <xf numFmtId="0" fontId="12" fillId="0" borderId="61" xfId="0" applyFont="1" applyFill="1" applyBorder="1" applyAlignment="1">
      <alignment horizontal="center" vertical="center"/>
    </xf>
    <xf numFmtId="0" fontId="1" fillId="0" borderId="22" xfId="0" applyFont="1" applyFill="1" applyBorder="1" applyAlignment="1">
      <alignment vertical="center"/>
    </xf>
    <xf numFmtId="0" fontId="1" fillId="0" borderId="17" xfId="0" applyFont="1" applyBorder="1" applyAlignment="1" applyProtection="1">
      <alignment vertical="center"/>
    </xf>
    <xf numFmtId="0" fontId="1" fillId="0" borderId="0" xfId="0" applyFont="1" applyFill="1" applyBorder="1" applyAlignment="1" applyProtection="1">
      <alignment vertical="center"/>
    </xf>
    <xf numFmtId="0" fontId="12" fillId="0" borderId="19" xfId="0" applyFont="1" applyFill="1" applyBorder="1" applyAlignment="1" applyProtection="1">
      <alignment horizontal="center" vertical="center"/>
    </xf>
    <xf numFmtId="0" fontId="11" fillId="0" borderId="17" xfId="0" applyFont="1" applyBorder="1" applyAlignment="1" applyProtection="1">
      <alignment vertical="center"/>
    </xf>
    <xf numFmtId="0" fontId="11" fillId="0" borderId="0" xfId="0" applyFont="1" applyBorder="1" applyAlignment="1" applyProtection="1">
      <alignment horizontal="left" vertical="center"/>
    </xf>
    <xf numFmtId="0" fontId="11" fillId="0" borderId="0" xfId="0" applyFont="1" applyFill="1" applyBorder="1" applyAlignment="1" applyProtection="1">
      <alignment vertical="center"/>
    </xf>
    <xf numFmtId="174" fontId="1" fillId="0" borderId="22" xfId="0" applyNumberFormat="1" applyFont="1" applyFill="1" applyBorder="1" applyAlignment="1">
      <alignment vertical="center"/>
    </xf>
    <xf numFmtId="174" fontId="1" fillId="0" borderId="0" xfId="0" applyNumberFormat="1" applyFont="1" applyFill="1" applyBorder="1" applyAlignment="1">
      <alignment vertical="center"/>
    </xf>
    <xf numFmtId="0" fontId="11" fillId="0" borderId="0" xfId="0" applyFont="1" applyFill="1" applyBorder="1" applyAlignment="1" applyProtection="1">
      <alignment horizontal="left" vertical="center"/>
    </xf>
    <xf numFmtId="0" fontId="1" fillId="0" borderId="0" xfId="0" applyFont="1" applyBorder="1" applyAlignment="1" applyProtection="1">
      <alignment horizontal="left" vertical="center"/>
    </xf>
    <xf numFmtId="0" fontId="12" fillId="0" borderId="0" xfId="0" applyFont="1" applyFill="1" applyBorder="1" applyAlignment="1">
      <alignment horizontal="right" vertical="center"/>
    </xf>
    <xf numFmtId="0" fontId="1" fillId="0" borderId="20" xfId="0" applyFont="1" applyBorder="1" applyAlignment="1">
      <alignment vertical="center"/>
    </xf>
    <xf numFmtId="0" fontId="1" fillId="0" borderId="21" xfId="0" applyFont="1" applyFill="1" applyBorder="1" applyAlignment="1">
      <alignment vertical="center"/>
    </xf>
    <xf numFmtId="0" fontId="1" fillId="0" borderId="21" xfId="0" applyFont="1" applyBorder="1" applyAlignment="1">
      <alignment vertical="center"/>
    </xf>
    <xf numFmtId="174" fontId="1" fillId="0" borderId="21" xfId="0" applyNumberFormat="1" applyFont="1" applyFill="1" applyBorder="1" applyAlignment="1">
      <alignment vertical="center"/>
    </xf>
    <xf numFmtId="174" fontId="1" fillId="0" borderId="23" xfId="0" applyNumberFormat="1" applyFont="1" applyFill="1" applyBorder="1" applyAlignment="1">
      <alignment vertical="center"/>
    </xf>
    <xf numFmtId="0" fontId="12" fillId="0" borderId="14" xfId="0" applyFont="1" applyFill="1" applyBorder="1" applyAlignment="1">
      <alignment horizontal="left" vertical="center"/>
    </xf>
    <xf numFmtId="0" fontId="1" fillId="0" borderId="14" xfId="0" applyFont="1" applyBorder="1" applyAlignment="1">
      <alignment vertical="center"/>
    </xf>
    <xf numFmtId="174" fontId="11" fillId="0" borderId="14" xfId="0" applyNumberFormat="1" applyFont="1" applyFill="1" applyBorder="1" applyAlignment="1">
      <alignment vertical="center"/>
    </xf>
    <xf numFmtId="174" fontId="1" fillId="0" borderId="14" xfId="0" applyNumberFormat="1" applyFont="1" applyFill="1" applyBorder="1" applyAlignment="1">
      <alignment vertical="center"/>
    </xf>
    <xf numFmtId="174" fontId="11" fillId="0" borderId="0" xfId="0" applyNumberFormat="1" applyFont="1" applyFill="1" applyBorder="1" applyAlignment="1">
      <alignment vertical="center"/>
    </xf>
    <xf numFmtId="0" fontId="1" fillId="0" borderId="17" xfId="0" applyFont="1" applyFill="1" applyBorder="1" applyAlignment="1">
      <alignment vertical="center"/>
    </xf>
    <xf numFmtId="174" fontId="12" fillId="0" borderId="61" xfId="0" applyNumberFormat="1" applyFont="1" applyFill="1" applyBorder="1" applyAlignment="1">
      <alignment horizontal="center" vertical="center"/>
    </xf>
    <xf numFmtId="174" fontId="11" fillId="0" borderId="0" xfId="0" applyNumberFormat="1" applyFont="1" applyBorder="1" applyAlignment="1" applyProtection="1">
      <alignment vertical="center"/>
    </xf>
    <xf numFmtId="174" fontId="23" fillId="9" borderId="33" xfId="0" applyNumberFormat="1" applyFont="1" applyFill="1" applyBorder="1" applyAlignment="1" applyProtection="1">
      <alignment vertical="center"/>
      <protection locked="0"/>
    </xf>
    <xf numFmtId="0" fontId="11" fillId="0" borderId="17" xfId="0" applyFont="1" applyFill="1" applyBorder="1" applyAlignment="1">
      <alignment vertical="center"/>
    </xf>
    <xf numFmtId="0" fontId="11" fillId="0" borderId="22" xfId="0" applyFont="1" applyFill="1" applyBorder="1" applyAlignment="1">
      <alignment vertical="center"/>
    </xf>
    <xf numFmtId="0" fontId="12" fillId="0" borderId="0" xfId="0" applyFont="1" applyBorder="1" applyAlignment="1" applyProtection="1">
      <alignment horizontal="right" vertical="center"/>
    </xf>
    <xf numFmtId="178" fontId="12" fillId="0" borderId="3" xfId="0" applyNumberFormat="1" applyFont="1" applyBorder="1" applyAlignment="1">
      <alignment horizontal="center" vertical="center"/>
    </xf>
    <xf numFmtId="0" fontId="20" fillId="0" borderId="0" xfId="0" applyFont="1" applyFill="1" applyBorder="1" applyAlignment="1">
      <alignment horizontal="center" vertical="center"/>
    </xf>
    <xf numFmtId="0" fontId="12" fillId="0" borderId="0" xfId="0" applyFont="1" applyFill="1" applyBorder="1" applyAlignment="1">
      <alignment vertical="center"/>
    </xf>
    <xf numFmtId="0" fontId="11" fillId="0" borderId="0" xfId="0" applyFont="1" applyBorder="1" applyAlignment="1">
      <alignment horizontal="left" vertical="center"/>
    </xf>
    <xf numFmtId="174" fontId="11" fillId="0" borderId="22" xfId="0" applyNumberFormat="1" applyFont="1" applyFill="1" applyBorder="1" applyAlignment="1">
      <alignment vertical="center"/>
    </xf>
    <xf numFmtId="0" fontId="11" fillId="0" borderId="25" xfId="0" applyFont="1" applyFill="1" applyBorder="1" applyAlignment="1">
      <alignment vertical="center"/>
    </xf>
    <xf numFmtId="174" fontId="11" fillId="0" borderId="61" xfId="0" applyNumberFormat="1" applyFont="1" applyFill="1" applyBorder="1" applyAlignment="1">
      <alignment horizontal="center" vertical="center" wrapText="1"/>
    </xf>
    <xf numFmtId="174" fontId="23" fillId="11" borderId="32" xfId="0" applyNumberFormat="1" applyFont="1" applyFill="1" applyBorder="1" applyAlignment="1" applyProtection="1">
      <alignment vertical="center"/>
    </xf>
    <xf numFmtId="174" fontId="23" fillId="9" borderId="39" xfId="0" applyNumberFormat="1" applyFont="1" applyFill="1" applyBorder="1" applyAlignment="1" applyProtection="1">
      <alignment vertical="center"/>
      <protection locked="0"/>
    </xf>
    <xf numFmtId="174" fontId="12" fillId="2" borderId="77" xfId="0" applyNumberFormat="1" applyFont="1" applyFill="1" applyBorder="1" applyAlignment="1" applyProtection="1">
      <alignment vertical="center"/>
    </xf>
    <xf numFmtId="174" fontId="33" fillId="0" borderId="61" xfId="0" applyNumberFormat="1" applyFont="1" applyFill="1" applyBorder="1" applyAlignment="1">
      <alignment horizontal="center" vertical="center"/>
    </xf>
    <xf numFmtId="174" fontId="33" fillId="0" borderId="61" xfId="0" applyNumberFormat="1" applyFont="1" applyFill="1" applyBorder="1" applyAlignment="1">
      <alignment horizontal="center" vertical="center" textRotation="90" wrapText="1"/>
    </xf>
    <xf numFmtId="174" fontId="11" fillId="2" borderId="32" xfId="0" applyNumberFormat="1" applyFont="1" applyFill="1" applyBorder="1" applyAlignment="1" applyProtection="1">
      <alignment vertical="center"/>
    </xf>
    <xf numFmtId="174" fontId="23" fillId="9" borderId="34" xfId="0" applyNumberFormat="1" applyFont="1" applyFill="1" applyBorder="1" applyAlignment="1" applyProtection="1">
      <alignment vertical="center"/>
      <protection locked="0"/>
    </xf>
    <xf numFmtId="174" fontId="23" fillId="9" borderId="71" xfId="0" applyNumberFormat="1" applyFont="1" applyFill="1" applyBorder="1" applyAlignment="1" applyProtection="1">
      <alignment vertical="center"/>
      <protection locked="0"/>
    </xf>
    <xf numFmtId="174" fontId="23" fillId="9" borderId="46" xfId="0" applyNumberFormat="1" applyFont="1" applyFill="1" applyBorder="1" applyAlignment="1" applyProtection="1">
      <alignment vertical="center"/>
      <protection locked="0"/>
    </xf>
    <xf numFmtId="174" fontId="11" fillId="2" borderId="39" xfId="0" applyNumberFormat="1" applyFont="1" applyFill="1" applyBorder="1" applyAlignment="1" applyProtection="1">
      <alignment vertical="center"/>
    </xf>
    <xf numFmtId="174" fontId="23" fillId="9" borderId="40" xfId="0" applyNumberFormat="1" applyFont="1" applyFill="1" applyBorder="1" applyAlignment="1" applyProtection="1">
      <alignment vertical="center"/>
      <protection locked="0"/>
    </xf>
    <xf numFmtId="174" fontId="23" fillId="9" borderId="78" xfId="0" applyNumberFormat="1" applyFont="1" applyFill="1" applyBorder="1" applyAlignment="1" applyProtection="1">
      <alignment vertical="center"/>
      <protection locked="0"/>
    </xf>
    <xf numFmtId="174" fontId="23" fillId="9" borderId="58" xfId="0" applyNumberFormat="1" applyFont="1" applyFill="1" applyBorder="1" applyAlignment="1" applyProtection="1">
      <alignment vertical="center"/>
      <protection locked="0"/>
    </xf>
    <xf numFmtId="174" fontId="33" fillId="0" borderId="32" xfId="0" applyNumberFormat="1" applyFont="1" applyFill="1" applyBorder="1" applyAlignment="1">
      <alignment horizontal="center" vertical="center"/>
    </xf>
    <xf numFmtId="174" fontId="33" fillId="0" borderId="32" xfId="0" applyNumberFormat="1" applyFont="1" applyFill="1" applyBorder="1" applyAlignment="1">
      <alignment horizontal="center" vertical="center" textRotation="90" wrapText="1"/>
    </xf>
    <xf numFmtId="174" fontId="8" fillId="2" borderId="33" xfId="0" applyNumberFormat="1" applyFont="1" applyFill="1" applyBorder="1" applyAlignment="1" applyProtection="1">
      <alignment vertical="center"/>
    </xf>
    <xf numFmtId="174" fontId="16" fillId="9" borderId="37" xfId="0" applyNumberFormat="1" applyFont="1" applyFill="1" applyBorder="1" applyAlignment="1" applyProtection="1">
      <alignment vertical="center"/>
      <protection locked="0"/>
    </xf>
    <xf numFmtId="174" fontId="16" fillId="9" borderId="10" xfId="0" applyNumberFormat="1" applyFont="1" applyFill="1" applyBorder="1" applyAlignment="1" applyProtection="1">
      <alignment vertical="center"/>
      <protection locked="0"/>
    </xf>
    <xf numFmtId="174" fontId="23" fillId="9" borderId="2" xfId="0" applyNumberFormat="1" applyFont="1" applyFill="1" applyBorder="1" applyAlignment="1" applyProtection="1">
      <alignment vertical="center"/>
      <protection locked="0"/>
    </xf>
    <xf numFmtId="174" fontId="23" fillId="9" borderId="22" xfId="0" applyNumberFormat="1" applyFont="1" applyFill="1" applyBorder="1" applyAlignment="1" applyProtection="1">
      <alignment vertical="center"/>
      <protection locked="0"/>
    </xf>
    <xf numFmtId="174" fontId="11" fillId="2" borderId="33" xfId="0" applyNumberFormat="1" applyFont="1" applyFill="1" applyBorder="1" applyAlignment="1" applyProtection="1">
      <alignment vertical="center"/>
    </xf>
    <xf numFmtId="174" fontId="23" fillId="9" borderId="37" xfId="0" applyNumberFormat="1" applyFont="1" applyFill="1" applyBorder="1" applyAlignment="1" applyProtection="1">
      <alignment vertical="center"/>
      <protection locked="0"/>
    </xf>
    <xf numFmtId="174" fontId="23" fillId="9" borderId="10" xfId="0" applyNumberFormat="1" applyFont="1" applyFill="1" applyBorder="1" applyAlignment="1" applyProtection="1">
      <alignment vertical="center"/>
      <protection locked="0"/>
    </xf>
    <xf numFmtId="174" fontId="23" fillId="9" borderId="49" xfId="0" applyNumberFormat="1" applyFont="1" applyFill="1" applyBorder="1" applyAlignment="1" applyProtection="1">
      <alignment vertical="center"/>
      <protection locked="0"/>
    </xf>
    <xf numFmtId="174" fontId="23" fillId="9" borderId="12" xfId="0" applyNumberFormat="1" applyFont="1" applyFill="1" applyBorder="1" applyAlignment="1" applyProtection="1">
      <alignment vertical="center"/>
      <protection locked="0"/>
    </xf>
    <xf numFmtId="174" fontId="23" fillId="9" borderId="3" xfId="0" applyNumberFormat="1" applyFont="1" applyFill="1" applyBorder="1" applyAlignment="1" applyProtection="1">
      <alignment vertical="center"/>
      <protection locked="0"/>
    </xf>
    <xf numFmtId="174" fontId="23" fillId="9" borderId="52" xfId="0" applyNumberFormat="1" applyFont="1" applyFill="1" applyBorder="1" applyAlignment="1" applyProtection="1">
      <alignment vertical="center"/>
      <protection locked="0"/>
    </xf>
    <xf numFmtId="174" fontId="12" fillId="2" borderId="64" xfId="0" applyNumberFormat="1" applyFont="1" applyFill="1" applyBorder="1" applyAlignment="1" applyProtection="1">
      <alignment vertical="center"/>
    </xf>
    <xf numFmtId="0" fontId="11" fillId="0" borderId="20" xfId="0" applyFont="1" applyBorder="1" applyAlignment="1">
      <alignment vertical="center"/>
    </xf>
    <xf numFmtId="0" fontId="11" fillId="0" borderId="21" xfId="0" applyFont="1" applyBorder="1" applyAlignment="1">
      <alignment vertical="center"/>
    </xf>
    <xf numFmtId="0" fontId="12" fillId="0" borderId="21" xfId="0" applyFont="1" applyBorder="1" applyAlignment="1" applyProtection="1">
      <alignment horizontal="right" vertical="center"/>
    </xf>
    <xf numFmtId="0" fontId="11" fillId="0" borderId="21" xfId="0" applyFont="1" applyFill="1" applyBorder="1" applyAlignment="1">
      <alignment vertical="center"/>
    </xf>
    <xf numFmtId="0" fontId="20" fillId="0" borderId="21" xfId="0" quotePrefix="1" applyFont="1" applyBorder="1" applyAlignment="1" applyProtection="1">
      <alignment horizontal="center" vertical="center"/>
    </xf>
    <xf numFmtId="0" fontId="20" fillId="0" borderId="21" xfId="0" applyFont="1" applyBorder="1" applyAlignment="1" applyProtection="1">
      <alignment horizontal="center" vertical="center"/>
    </xf>
    <xf numFmtId="0" fontId="12" fillId="0" borderId="23" xfId="0" applyFont="1" applyBorder="1" applyAlignment="1" applyProtection="1">
      <alignment horizontal="right" vertical="center"/>
    </xf>
    <xf numFmtId="0" fontId="11" fillId="0" borderId="14" xfId="0" applyFont="1" applyBorder="1" applyAlignment="1" applyProtection="1">
      <alignment horizontal="left" vertical="center"/>
    </xf>
    <xf numFmtId="0" fontId="11" fillId="0" borderId="19" xfId="0" applyFont="1" applyFill="1" applyBorder="1" applyAlignment="1">
      <alignment vertical="center"/>
    </xf>
    <xf numFmtId="174" fontId="11" fillId="13" borderId="33" xfId="0" applyNumberFormat="1" applyFont="1" applyFill="1" applyBorder="1" applyAlignment="1" applyProtection="1">
      <alignment vertical="center"/>
    </xf>
    <xf numFmtId="174" fontId="23" fillId="13" borderId="37" xfId="0" applyNumberFormat="1" applyFont="1" applyFill="1" applyBorder="1" applyAlignment="1" applyProtection="1">
      <alignment vertical="center"/>
    </xf>
    <xf numFmtId="174" fontId="23" fillId="13" borderId="10" xfId="0" applyNumberFormat="1" applyFont="1" applyFill="1" applyBorder="1" applyAlignment="1" applyProtection="1">
      <alignment vertical="center"/>
    </xf>
    <xf numFmtId="174" fontId="23" fillId="13" borderId="2" xfId="0" applyNumberFormat="1" applyFont="1" applyFill="1" applyBorder="1" applyAlignment="1" applyProtection="1">
      <alignment vertical="center"/>
    </xf>
    <xf numFmtId="174" fontId="23" fillId="13" borderId="22" xfId="0" applyNumberFormat="1" applyFont="1" applyFill="1" applyBorder="1" applyAlignment="1" applyProtection="1">
      <alignment vertical="center"/>
    </xf>
    <xf numFmtId="174" fontId="23" fillId="13" borderId="49" xfId="0" applyNumberFormat="1" applyFont="1" applyFill="1" applyBorder="1" applyAlignment="1" applyProtection="1">
      <alignment vertical="center"/>
    </xf>
    <xf numFmtId="174" fontId="23" fillId="13" borderId="12" xfId="0" applyNumberFormat="1" applyFont="1" applyFill="1" applyBorder="1" applyAlignment="1" applyProtection="1">
      <alignment vertical="center"/>
    </xf>
    <xf numFmtId="174" fontId="23" fillId="13" borderId="3" xfId="0" applyNumberFormat="1" applyFont="1" applyFill="1" applyBorder="1" applyAlignment="1" applyProtection="1">
      <alignment vertical="center"/>
    </xf>
    <xf numFmtId="174" fontId="23" fillId="13" borderId="52" xfId="0" applyNumberFormat="1" applyFont="1" applyFill="1" applyBorder="1" applyAlignment="1" applyProtection="1">
      <alignment vertical="center"/>
    </xf>
    <xf numFmtId="174" fontId="12" fillId="13" borderId="64" xfId="0" applyNumberFormat="1" applyFont="1" applyFill="1" applyBorder="1" applyAlignment="1" applyProtection="1">
      <alignment vertical="center"/>
    </xf>
    <xf numFmtId="174" fontId="33" fillId="0" borderId="0" xfId="0" applyNumberFormat="1" applyFont="1" applyFill="1" applyBorder="1" applyAlignment="1">
      <alignment vertical="center"/>
    </xf>
    <xf numFmtId="0" fontId="12" fillId="0" borderId="0" xfId="0" applyFont="1" applyBorder="1" applyAlignment="1">
      <alignment horizontal="left" vertical="center"/>
    </xf>
    <xf numFmtId="174" fontId="11" fillId="2" borderId="61" xfId="0" applyNumberFormat="1" applyFont="1" applyFill="1" applyBorder="1" applyAlignment="1" applyProtection="1">
      <alignment vertical="center"/>
    </xf>
    <xf numFmtId="174" fontId="23" fillId="11" borderId="74" xfId="0" applyNumberFormat="1" applyFont="1" applyFill="1" applyBorder="1" applyAlignment="1" applyProtection="1">
      <alignment vertical="center"/>
    </xf>
    <xf numFmtId="174" fontId="23" fillId="9" borderId="74" xfId="0" applyNumberFormat="1" applyFont="1" applyFill="1" applyBorder="1" applyAlignment="1" applyProtection="1">
      <alignment vertical="center"/>
      <protection locked="0"/>
    </xf>
    <xf numFmtId="174" fontId="23" fillId="11" borderId="72" xfId="0" applyNumberFormat="1" applyFont="1" applyFill="1" applyBorder="1" applyAlignment="1" applyProtection="1">
      <alignment vertical="center"/>
    </xf>
    <xf numFmtId="174" fontId="23" fillId="11" borderId="26" xfId="0" applyNumberFormat="1" applyFont="1" applyFill="1" applyBorder="1" applyAlignment="1" applyProtection="1">
      <alignment vertical="center"/>
    </xf>
    <xf numFmtId="0" fontId="11" fillId="0" borderId="21" xfId="0" applyFont="1" applyBorder="1" applyAlignment="1">
      <alignment horizontal="left" vertical="center"/>
    </xf>
    <xf numFmtId="174" fontId="11" fillId="0" borderId="21" xfId="0" applyNumberFormat="1" applyFont="1" applyFill="1" applyBorder="1" applyAlignment="1">
      <alignment vertical="center"/>
    </xf>
    <xf numFmtId="174" fontId="33" fillId="0" borderId="21" xfId="0" applyNumberFormat="1" applyFont="1" applyFill="1" applyBorder="1" applyAlignment="1">
      <alignment vertical="center"/>
    </xf>
    <xf numFmtId="0" fontId="11" fillId="0" borderId="23" xfId="0" applyFont="1" applyFill="1" applyBorder="1" applyAlignment="1">
      <alignment vertical="center"/>
    </xf>
    <xf numFmtId="0" fontId="11" fillId="0" borderId="13" xfId="0" applyFont="1" applyBorder="1" applyAlignment="1">
      <alignment vertical="center"/>
    </xf>
    <xf numFmtId="0" fontId="11" fillId="0" borderId="14" xfId="0" applyFont="1" applyBorder="1" applyAlignment="1">
      <alignment vertical="center"/>
    </xf>
    <xf numFmtId="0" fontId="11" fillId="0" borderId="14" xfId="0" applyFont="1" applyBorder="1" applyAlignment="1">
      <alignment horizontal="left" vertical="center"/>
    </xf>
    <xf numFmtId="0" fontId="11" fillId="0" borderId="14" xfId="0" applyFont="1" applyFill="1" applyBorder="1" applyAlignment="1">
      <alignment vertical="center"/>
    </xf>
    <xf numFmtId="174" fontId="33" fillId="0" borderId="14" xfId="0" applyNumberFormat="1" applyFont="1" applyFill="1" applyBorder="1" applyAlignment="1">
      <alignment vertical="center"/>
    </xf>
    <xf numFmtId="174" fontId="11" fillId="0" borderId="19" xfId="0" applyNumberFormat="1" applyFont="1" applyFill="1" applyBorder="1" applyAlignment="1">
      <alignment vertical="center"/>
    </xf>
    <xf numFmtId="174" fontId="23" fillId="9" borderId="61" xfId="0" applyNumberFormat="1" applyFont="1" applyFill="1" applyBorder="1" applyAlignment="1" applyProtection="1">
      <alignment vertical="center"/>
      <protection locked="0"/>
    </xf>
    <xf numFmtId="174" fontId="12" fillId="0" borderId="22" xfId="0" applyNumberFormat="1" applyFont="1" applyFill="1" applyBorder="1" applyAlignment="1">
      <alignment horizontal="center" vertical="center"/>
    </xf>
    <xf numFmtId="174" fontId="12" fillId="0" borderId="0" xfId="0" applyNumberFormat="1" applyFont="1" applyFill="1" applyBorder="1" applyAlignment="1">
      <alignment horizontal="center" vertical="center"/>
    </xf>
    <xf numFmtId="174" fontId="23" fillId="9" borderId="79" xfId="0" applyNumberFormat="1" applyFont="1" applyFill="1" applyBorder="1" applyAlignment="1" applyProtection="1">
      <alignment vertical="center"/>
      <protection locked="0"/>
    </xf>
    <xf numFmtId="0" fontId="23" fillId="9" borderId="80" xfId="0" applyFont="1" applyFill="1" applyBorder="1" applyAlignment="1" applyProtection="1">
      <alignment vertical="center"/>
      <protection locked="0"/>
    </xf>
    <xf numFmtId="174" fontId="23" fillId="0" borderId="22" xfId="0" applyNumberFormat="1" applyFont="1" applyFill="1" applyBorder="1" applyAlignment="1" applyProtection="1">
      <alignment vertical="center"/>
      <protection locked="0"/>
    </xf>
    <xf numFmtId="174" fontId="23" fillId="0" borderId="0" xfId="0" applyNumberFormat="1" applyFont="1" applyFill="1" applyBorder="1" applyAlignment="1" applyProtection="1">
      <alignment vertical="center"/>
      <protection locked="0"/>
    </xf>
    <xf numFmtId="0" fontId="11" fillId="0" borderId="0" xfId="0" applyFont="1" applyFill="1" applyBorder="1" applyAlignment="1">
      <alignment horizontal="left" vertical="center"/>
    </xf>
    <xf numFmtId="174" fontId="11" fillId="0" borderId="0" xfId="0" applyNumberFormat="1" applyFont="1" applyFill="1" applyBorder="1" applyAlignment="1" applyProtection="1">
      <alignment vertical="center"/>
      <protection locked="0"/>
    </xf>
    <xf numFmtId="174" fontId="11" fillId="0" borderId="22" xfId="0" applyNumberFormat="1" applyFont="1" applyFill="1" applyBorder="1" applyAlignment="1" applyProtection="1">
      <alignment vertical="center"/>
      <protection locked="0"/>
    </xf>
    <xf numFmtId="174" fontId="23" fillId="9" borderId="63" xfId="0" applyNumberFormat="1" applyFont="1" applyFill="1" applyBorder="1" applyAlignment="1" applyProtection="1">
      <alignment vertical="center"/>
      <protection locked="0"/>
    </xf>
    <xf numFmtId="174" fontId="11" fillId="11" borderId="51" xfId="0" applyNumberFormat="1" applyFont="1" applyFill="1" applyBorder="1" applyAlignment="1" applyProtection="1">
      <alignment vertical="center"/>
      <protection locked="0"/>
    </xf>
    <xf numFmtId="174" fontId="12" fillId="0" borderId="22" xfId="0" applyNumberFormat="1" applyFont="1" applyFill="1" applyBorder="1" applyAlignment="1" applyProtection="1">
      <alignment vertical="center"/>
    </xf>
    <xf numFmtId="174" fontId="12" fillId="0" borderId="0" xfId="0" applyNumberFormat="1" applyFont="1" applyFill="1" applyBorder="1" applyAlignment="1" applyProtection="1">
      <alignment vertical="center"/>
    </xf>
    <xf numFmtId="174" fontId="23" fillId="0" borderId="61" xfId="0" applyNumberFormat="1" applyFont="1" applyFill="1" applyBorder="1" applyAlignment="1" applyProtection="1">
      <alignment vertical="center"/>
      <protection locked="0"/>
    </xf>
    <xf numFmtId="0" fontId="12" fillId="0" borderId="0" xfId="0" applyFont="1" applyBorder="1" applyAlignment="1" applyProtection="1">
      <alignment horizontal="left" vertical="center"/>
    </xf>
    <xf numFmtId="0" fontId="12" fillId="0" borderId="81" xfId="0" applyFont="1" applyBorder="1" applyAlignment="1">
      <alignment horizontal="center" vertical="center" wrapText="1"/>
    </xf>
    <xf numFmtId="0" fontId="12" fillId="0" borderId="82" xfId="0" applyFont="1" applyBorder="1" applyAlignment="1">
      <alignment horizontal="center" vertical="center" wrapText="1"/>
    </xf>
    <xf numFmtId="178" fontId="12" fillId="0" borderId="57" xfId="0" applyNumberFormat="1" applyFont="1" applyBorder="1" applyAlignment="1">
      <alignment horizontal="center" vertical="center"/>
    </xf>
    <xf numFmtId="0" fontId="1" fillId="0" borderId="32" xfId="0" applyFont="1" applyFill="1" applyBorder="1" applyAlignment="1" applyProtection="1">
      <alignment vertical="center"/>
    </xf>
    <xf numFmtId="0" fontId="10" fillId="0" borderId="32" xfId="28" applyFont="1" applyFill="1" applyBorder="1" applyAlignment="1" applyProtection="1">
      <alignment horizontal="center" vertical="center"/>
    </xf>
    <xf numFmtId="0" fontId="26" fillId="0" borderId="0" xfId="0" applyFont="1" applyBorder="1"/>
    <xf numFmtId="0" fontId="16" fillId="9" borderId="28" xfId="28" applyFont="1" applyFill="1" applyBorder="1" applyAlignment="1" applyProtection="1">
      <alignment horizontal="center" vertical="center"/>
      <protection locked="0"/>
    </xf>
    <xf numFmtId="1" fontId="10" fillId="0" borderId="23" xfId="25" applyNumberFormat="1" applyFont="1" applyBorder="1" applyProtection="1"/>
    <xf numFmtId="0" fontId="8" fillId="0" borderId="22" xfId="28" applyFont="1" applyFill="1" applyBorder="1" applyAlignment="1" applyProtection="1">
      <alignment horizontal="center" vertical="center"/>
    </xf>
    <xf numFmtId="168" fontId="11" fillId="2" borderId="68" xfId="0" applyNumberFormat="1" applyFont="1" applyFill="1" applyBorder="1" applyAlignment="1" applyProtection="1">
      <alignment horizontal="right"/>
    </xf>
    <xf numFmtId="168" fontId="11" fillId="2" borderId="26" xfId="0" applyNumberFormat="1" applyFont="1" applyFill="1" applyBorder="1" applyAlignment="1" applyProtection="1">
      <alignment horizontal="right"/>
    </xf>
    <xf numFmtId="0" fontId="0" fillId="0" borderId="17" xfId="0" applyBorder="1" applyAlignment="1"/>
    <xf numFmtId="0" fontId="0" fillId="0" borderId="22" xfId="0" applyBorder="1" applyAlignment="1"/>
    <xf numFmtId="164" fontId="8" fillId="0" borderId="28" xfId="28" applyNumberFormat="1" applyFont="1" applyFill="1" applyBorder="1" applyAlignment="1" applyProtection="1">
      <alignment horizontal="right" vertical="center"/>
    </xf>
    <xf numFmtId="0" fontId="0" fillId="0" borderId="28" xfId="0" applyBorder="1" applyAlignment="1"/>
    <xf numFmtId="0" fontId="0" fillId="0" borderId="27" xfId="0" applyBorder="1" applyAlignment="1"/>
    <xf numFmtId="0" fontId="55" fillId="0" borderId="0" xfId="0" applyFont="1" applyAlignment="1">
      <alignment vertical="center"/>
    </xf>
    <xf numFmtId="0" fontId="0" fillId="0" borderId="6" xfId="0" applyBorder="1" applyAlignment="1">
      <alignment vertical="center"/>
    </xf>
    <xf numFmtId="2" fontId="0" fillId="0" borderId="1" xfId="0" applyNumberFormat="1" applyBorder="1" applyAlignment="1">
      <alignment vertical="center"/>
    </xf>
    <xf numFmtId="0" fontId="1" fillId="0" borderId="9" xfId="0" applyFont="1" applyBorder="1" applyAlignment="1">
      <alignment vertical="center"/>
    </xf>
    <xf numFmtId="2" fontId="1" fillId="0" borderId="2" xfId="0" quotePrefix="1" applyNumberFormat="1" applyFont="1" applyBorder="1" applyAlignment="1">
      <alignment vertical="center"/>
    </xf>
    <xf numFmtId="0" fontId="1" fillId="0" borderId="11" xfId="0" applyFont="1" applyBorder="1" applyAlignment="1">
      <alignment vertical="center"/>
    </xf>
    <xf numFmtId="2" fontId="1" fillId="0" borderId="3" xfId="0" quotePrefix="1" applyNumberFormat="1" applyFont="1" applyBorder="1" applyAlignment="1">
      <alignment vertical="center"/>
    </xf>
    <xf numFmtId="2" fontId="60" fillId="0" borderId="0" xfId="0" applyNumberFormat="1" applyFont="1" applyAlignment="1">
      <alignment horizontal="left"/>
    </xf>
    <xf numFmtId="17" fontId="56" fillId="0" borderId="0" xfId="0" quotePrefix="1" applyNumberFormat="1" applyFont="1"/>
    <xf numFmtId="0" fontId="56" fillId="0" borderId="0" xfId="0" applyFont="1"/>
    <xf numFmtId="49" fontId="62" fillId="0" borderId="0" xfId="0" applyNumberFormat="1" applyFont="1" applyAlignment="1">
      <alignment horizontal="left"/>
    </xf>
    <xf numFmtId="49" fontId="61" fillId="0" borderId="0" xfId="0" applyNumberFormat="1" applyFont="1" applyAlignment="1">
      <alignment horizontal="left"/>
    </xf>
    <xf numFmtId="0" fontId="61" fillId="7" borderId="0" xfId="0" applyFont="1" applyFill="1" applyAlignment="1">
      <alignment horizontal="center" vertical="center" wrapText="1"/>
    </xf>
    <xf numFmtId="0" fontId="61" fillId="7" borderId="0" xfId="0" applyFont="1" applyFill="1" applyAlignment="1">
      <alignment horizontal="left" vertical="center" wrapText="1"/>
    </xf>
    <xf numFmtId="49" fontId="63" fillId="22" borderId="0" xfId="0" applyNumberFormat="1" applyFont="1" applyFill="1" applyAlignment="1" applyProtection="1">
      <alignment horizontal="left" vertical="center" wrapText="1"/>
      <protection locked="0"/>
    </xf>
    <xf numFmtId="10" fontId="56" fillId="17" borderId="0" xfId="33" applyNumberFormat="1" applyFont="1" applyFill="1" applyAlignment="1" applyProtection="1">
      <alignment horizontal="center"/>
      <protection locked="0"/>
    </xf>
    <xf numFmtId="179" fontId="56" fillId="17" borderId="0" xfId="0" quotePrefix="1" applyNumberFormat="1" applyFont="1" applyFill="1" applyAlignment="1" applyProtection="1">
      <alignment horizontal="center"/>
      <protection locked="0"/>
    </xf>
    <xf numFmtId="179" fontId="56" fillId="17" borderId="0" xfId="0" applyNumberFormat="1" applyFont="1" applyFill="1" applyAlignment="1" applyProtection="1">
      <alignment horizontal="center"/>
      <protection locked="0"/>
    </xf>
    <xf numFmtId="0" fontId="61" fillId="20" borderId="0" xfId="0" applyFont="1" applyFill="1" applyBorder="1" applyAlignment="1">
      <alignment horizontal="center" vertical="center"/>
    </xf>
    <xf numFmtId="0" fontId="61" fillId="0" borderId="0" xfId="0" applyFont="1" applyAlignment="1">
      <alignment vertical="center"/>
    </xf>
    <xf numFmtId="0" fontId="56" fillId="5" borderId="0" xfId="7" applyNumberFormat="1" applyFont="1" applyFill="1" applyAlignment="1" applyProtection="1">
      <alignment horizontal="center" vertical="center"/>
      <protection locked="0"/>
    </xf>
    <xf numFmtId="181" fontId="56" fillId="5" borderId="0" xfId="7" applyNumberFormat="1" applyFont="1" applyFill="1" applyAlignment="1" applyProtection="1">
      <alignment horizontal="center" vertical="center"/>
      <protection locked="0"/>
    </xf>
    <xf numFmtId="180" fontId="56" fillId="5" borderId="0" xfId="0" applyNumberFormat="1" applyFont="1" applyFill="1" applyAlignment="1" applyProtection="1">
      <alignment horizontal="center" vertical="center"/>
      <protection locked="0"/>
    </xf>
    <xf numFmtId="0" fontId="63" fillId="0" borderId="0" xfId="0" applyFont="1"/>
    <xf numFmtId="0" fontId="64" fillId="7" borderId="0" xfId="0" applyFont="1" applyFill="1" applyAlignment="1">
      <alignment horizontal="center" vertical="center" wrapText="1"/>
    </xf>
    <xf numFmtId="0" fontId="64" fillId="7" borderId="0" xfId="0" applyFont="1" applyFill="1" applyAlignment="1">
      <alignment vertical="center" wrapText="1"/>
    </xf>
    <xf numFmtId="183" fontId="63" fillId="21" borderId="0" xfId="0" applyNumberFormat="1" applyFont="1" applyFill="1" applyAlignment="1">
      <alignment horizontal="center" vertical="center"/>
    </xf>
    <xf numFmtId="0" fontId="65" fillId="0" borderId="0" xfId="0" applyFont="1" applyAlignment="1">
      <alignment wrapText="1"/>
    </xf>
    <xf numFmtId="0" fontId="66" fillId="0" borderId="0" xfId="0" applyFont="1"/>
    <xf numFmtId="0" fontId="67" fillId="0" borderId="0" xfId="0" applyFont="1"/>
    <xf numFmtId="0" fontId="69" fillId="0" borderId="0" xfId="0" applyFont="1" applyAlignment="1">
      <alignment horizontal="center"/>
    </xf>
    <xf numFmtId="0" fontId="68" fillId="0" borderId="0" xfId="0" applyFont="1"/>
    <xf numFmtId="0" fontId="67" fillId="23" borderId="0" xfId="0" applyFont="1" applyFill="1" applyAlignment="1">
      <alignment horizontal="right"/>
    </xf>
    <xf numFmtId="0" fontId="69" fillId="0" borderId="61" xfId="0" applyFont="1" applyBorder="1"/>
    <xf numFmtId="0" fontId="67" fillId="0" borderId="25" xfId="0" applyFont="1" applyBorder="1"/>
    <xf numFmtId="0" fontId="70" fillId="0" borderId="61" xfId="0" applyFont="1" applyBorder="1"/>
    <xf numFmtId="0" fontId="65" fillId="0" borderId="0" xfId="0" applyFont="1"/>
    <xf numFmtId="0" fontId="67" fillId="0" borderId="0" xfId="0" applyFont="1" applyAlignment="1">
      <alignment wrapText="1"/>
    </xf>
    <xf numFmtId="49" fontId="71" fillId="24" borderId="0" xfId="0" applyNumberFormat="1" applyFont="1" applyFill="1" applyAlignment="1">
      <alignment horizontal="center" vertical="center" wrapText="1"/>
    </xf>
    <xf numFmtId="49" fontId="71" fillId="24" borderId="0" xfId="0" applyNumberFormat="1" applyFont="1" applyFill="1" applyAlignment="1">
      <alignment horizontal="left" vertical="center" wrapText="1"/>
    </xf>
    <xf numFmtId="182" fontId="0" fillId="22" borderId="0" xfId="0" applyNumberFormat="1" applyFill="1" applyAlignment="1" applyProtection="1">
      <alignment horizontal="center" vertical="center"/>
      <protection locked="0"/>
    </xf>
    <xf numFmtId="0" fontId="72" fillId="0" borderId="84" xfId="0" applyFont="1" applyBorder="1" applyAlignment="1" applyProtection="1">
      <alignment vertical="center"/>
      <protection locked="0"/>
    </xf>
    <xf numFmtId="0" fontId="67" fillId="0" borderId="0" xfId="0" applyFont="1" applyAlignment="1"/>
    <xf numFmtId="0" fontId="68" fillId="0" borderId="0" xfId="0" applyFont="1" applyFill="1" applyBorder="1"/>
    <xf numFmtId="0" fontId="4" fillId="0" borderId="0" xfId="12" applyFont="1" applyFill="1" applyBorder="1" applyAlignment="1">
      <alignment wrapText="1"/>
    </xf>
    <xf numFmtId="0" fontId="68" fillId="0" borderId="0" xfId="0" applyFont="1" applyFill="1" applyBorder="1" applyAlignment="1">
      <alignment wrapText="1"/>
    </xf>
    <xf numFmtId="0" fontId="68" fillId="0" borderId="0" xfId="0" applyFont="1" applyFill="1" applyBorder="1" applyAlignment="1"/>
    <xf numFmtId="0" fontId="76" fillId="0" borderId="0" xfId="12" quotePrefix="1" applyFont="1" applyFill="1" applyBorder="1" applyAlignment="1">
      <alignment wrapText="1"/>
    </xf>
    <xf numFmtId="0" fontId="76" fillId="0" borderId="0" xfId="12" applyFont="1" applyFill="1" applyBorder="1" applyAlignment="1">
      <alignment wrapText="1"/>
    </xf>
    <xf numFmtId="10" fontId="76" fillId="0" borderId="0" xfId="12" quotePrefix="1" applyNumberFormat="1" applyFont="1" applyFill="1" applyBorder="1" applyAlignment="1">
      <alignment wrapText="1"/>
    </xf>
    <xf numFmtId="0" fontId="1" fillId="0" borderId="0" xfId="12" applyFont="1" applyFill="1" applyBorder="1" applyAlignment="1"/>
    <xf numFmtId="0" fontId="0" fillId="0" borderId="2" xfId="0" applyNumberFormat="1" applyBorder="1"/>
    <xf numFmtId="0" fontId="0" fillId="0" borderId="3" xfId="0" applyNumberFormat="1" applyBorder="1"/>
    <xf numFmtId="164" fontId="56" fillId="5" borderId="0" xfId="33" applyNumberFormat="1" applyFont="1" applyFill="1" applyAlignment="1" applyProtection="1">
      <alignment horizontal="center" vertical="center" wrapText="1"/>
      <protection locked="0"/>
    </xf>
    <xf numFmtId="0" fontId="1" fillId="0" borderId="3" xfId="0" applyFont="1" applyBorder="1" applyAlignment="1">
      <alignment vertical="top" wrapText="1"/>
    </xf>
    <xf numFmtId="0" fontId="61" fillId="0" borderId="0" xfId="0" applyFont="1" applyAlignment="1">
      <alignment horizontal="left"/>
    </xf>
    <xf numFmtId="49" fontId="77" fillId="0" borderId="0" xfId="0" applyNumberFormat="1" applyFont="1" applyAlignment="1">
      <alignment horizontal="left" vertical="center"/>
    </xf>
    <xf numFmtId="0" fontId="0" fillId="0" borderId="9" xfId="0" applyBorder="1" applyAlignment="1">
      <alignment horizontal="left"/>
    </xf>
    <xf numFmtId="0" fontId="0" fillId="0" borderId="18" xfId="0" applyBorder="1"/>
    <xf numFmtId="0" fontId="1" fillId="0" borderId="6" xfId="0" applyFont="1" applyBorder="1"/>
    <xf numFmtId="2" fontId="0" fillId="0" borderId="8" xfId="0" applyNumberFormat="1" applyBorder="1"/>
    <xf numFmtId="0" fontId="0" fillId="25" borderId="0" xfId="0" applyFill="1" applyBorder="1"/>
    <xf numFmtId="0" fontId="0" fillId="25" borderId="1" xfId="0" applyFill="1" applyBorder="1"/>
    <xf numFmtId="0" fontId="0" fillId="25" borderId="2" xfId="0" applyFill="1" applyBorder="1"/>
    <xf numFmtId="0" fontId="0" fillId="25" borderId="3" xfId="0" applyFill="1" applyBorder="1"/>
    <xf numFmtId="0" fontId="78" fillId="0" borderId="0" xfId="0" applyFont="1"/>
    <xf numFmtId="0" fontId="0" fillId="19" borderId="1" xfId="0" applyFill="1" applyBorder="1"/>
    <xf numFmtId="0" fontId="0" fillId="19" borderId="2" xfId="0" applyFill="1" applyBorder="1"/>
    <xf numFmtId="0" fontId="0" fillId="19" borderId="3" xfId="0" applyFill="1" applyBorder="1"/>
    <xf numFmtId="2" fontId="0" fillId="20" borderId="10" xfId="0" applyNumberFormat="1" applyFill="1" applyBorder="1"/>
    <xf numFmtId="2" fontId="0" fillId="20" borderId="12" xfId="0" applyNumberFormat="1" applyFill="1" applyBorder="1"/>
    <xf numFmtId="2" fontId="0" fillId="0" borderId="1" xfId="0" applyNumberFormat="1" applyFill="1" applyBorder="1" applyAlignment="1">
      <alignment vertical="center"/>
    </xf>
    <xf numFmtId="2" fontId="1" fillId="0" borderId="2" xfId="0" quotePrefix="1" applyNumberFormat="1" applyFont="1" applyFill="1" applyBorder="1" applyAlignment="1">
      <alignment vertical="center"/>
    </xf>
    <xf numFmtId="2" fontId="1" fillId="0" borderId="3" xfId="0" quotePrefix="1" applyNumberFormat="1" applyFont="1" applyFill="1" applyBorder="1" applyAlignment="1">
      <alignment vertical="center"/>
    </xf>
    <xf numFmtId="0" fontId="0" fillId="0" borderId="0" xfId="0" applyFill="1" applyAlignment="1">
      <alignment vertical="center"/>
    </xf>
    <xf numFmtId="9" fontId="0" fillId="0" borderId="0" xfId="33" applyFont="1" applyFill="1" applyAlignment="1">
      <alignment vertical="center"/>
    </xf>
    <xf numFmtId="0" fontId="0" fillId="26" borderId="0" xfId="0" applyFill="1" applyBorder="1"/>
    <xf numFmtId="10" fontId="1" fillId="0" borderId="2" xfId="33" applyNumberFormat="1" applyFont="1" applyBorder="1" applyAlignment="1">
      <alignment vertical="top" wrapText="1"/>
    </xf>
    <xf numFmtId="10" fontId="0" fillId="0" borderId="0" xfId="0" applyNumberFormat="1"/>
    <xf numFmtId="10" fontId="1" fillId="0" borderId="3" xfId="33" applyNumberFormat="1" applyFont="1" applyBorder="1" applyAlignment="1">
      <alignment vertical="top" wrapText="1"/>
    </xf>
    <xf numFmtId="1" fontId="12" fillId="0" borderId="22" xfId="25" applyNumberFormat="1" applyFont="1" applyBorder="1" applyAlignment="1" applyProtection="1">
      <alignment horizontal="center" vertical="center" wrapText="1"/>
    </xf>
    <xf numFmtId="1" fontId="12" fillId="0" borderId="32" xfId="25" applyNumberFormat="1" applyFont="1" applyBorder="1" applyAlignment="1" applyProtection="1">
      <alignment horizontal="center" vertical="center" wrapText="1"/>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0" fillId="0" borderId="39" xfId="0" applyFont="1" applyBorder="1" applyAlignment="1">
      <alignment horizontal="center" vertical="center"/>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0" fontId="12" fillId="0" borderId="32" xfId="0" applyFont="1" applyBorder="1" applyAlignment="1">
      <alignment horizontal="center" vertical="center" wrapText="1"/>
    </xf>
    <xf numFmtId="0" fontId="4" fillId="0" borderId="0" xfId="0" applyFont="1"/>
    <xf numFmtId="0" fontId="4" fillId="0" borderId="45" xfId="16" applyFont="1" applyBorder="1" applyAlignment="1" applyProtection="1">
      <alignment horizontal="center" vertical="center" wrapText="1"/>
    </xf>
    <xf numFmtId="0" fontId="4" fillId="0" borderId="30" xfId="16" applyFont="1" applyBorder="1" applyAlignment="1" applyProtection="1">
      <alignment horizontal="center" vertical="center" wrapText="1"/>
    </xf>
    <xf numFmtId="0" fontId="4" fillId="0" borderId="29" xfId="16" applyFont="1" applyBorder="1" applyAlignment="1" applyProtection="1">
      <alignment horizontal="center" vertical="center" wrapText="1"/>
    </xf>
    <xf numFmtId="0" fontId="4" fillId="0" borderId="65" xfId="16" applyFont="1" applyBorder="1" applyAlignment="1" applyProtection="1">
      <alignment horizontal="center" vertical="center" wrapText="1"/>
    </xf>
    <xf numFmtId="0" fontId="4" fillId="0" borderId="38" xfId="16" applyFont="1" applyBorder="1" applyAlignment="1" applyProtection="1">
      <alignment horizontal="center" vertical="center" wrapText="1"/>
    </xf>
    <xf numFmtId="0" fontId="4" fillId="0" borderId="31" xfId="16" applyFont="1" applyBorder="1" applyAlignment="1" applyProtection="1">
      <alignment horizontal="center" vertical="center" wrapText="1"/>
    </xf>
    <xf numFmtId="0" fontId="4" fillId="0" borderId="44" xfId="16" applyFont="1" applyBorder="1" applyAlignment="1" applyProtection="1">
      <alignment horizontal="center" vertical="center" wrapText="1"/>
    </xf>
    <xf numFmtId="0" fontId="4" fillId="0" borderId="0" xfId="16" applyFont="1" applyAlignment="1" applyProtection="1">
      <alignment vertical="center"/>
    </xf>
    <xf numFmtId="0" fontId="4" fillId="0" borderId="69" xfId="16" applyFont="1" applyBorder="1" applyAlignment="1" applyProtection="1">
      <alignment horizontal="centerContinuous" vertical="center"/>
    </xf>
    <xf numFmtId="0" fontId="4" fillId="0" borderId="48" xfId="16" applyFont="1" applyBorder="1" applyAlignment="1" applyProtection="1">
      <alignment horizontal="centerContinuous" vertical="center"/>
    </xf>
    <xf numFmtId="0" fontId="4" fillId="0" borderId="67" xfId="16" applyFont="1" applyBorder="1" applyAlignment="1" applyProtection="1">
      <alignment horizontal="centerContinuous" vertical="center"/>
    </xf>
    <xf numFmtId="0" fontId="4" fillId="0" borderId="81" xfId="16" applyFont="1" applyBorder="1" applyAlignment="1" applyProtection="1">
      <alignment horizontal="centerContinuous" vertical="center"/>
    </xf>
    <xf numFmtId="0" fontId="4" fillId="0" borderId="82" xfId="16" applyFont="1" applyBorder="1" applyAlignment="1" applyProtection="1">
      <alignment horizontal="centerContinuous" vertical="center"/>
    </xf>
    <xf numFmtId="0" fontId="4" fillId="0" borderId="49" xfId="16" applyFont="1" applyBorder="1" applyAlignment="1" applyProtection="1">
      <alignment horizontal="center" vertical="center" wrapText="1"/>
    </xf>
    <xf numFmtId="0" fontId="4" fillId="0" borderId="3" xfId="16" applyFont="1" applyBorder="1" applyAlignment="1" applyProtection="1">
      <alignment horizontal="center" vertical="center" wrapText="1"/>
    </xf>
    <xf numFmtId="0" fontId="4" fillId="0" borderId="57" xfId="16" applyFont="1" applyBorder="1" applyAlignment="1" applyProtection="1">
      <alignment horizontal="center" vertical="center" wrapText="1"/>
    </xf>
    <xf numFmtId="0" fontId="4" fillId="0" borderId="12" xfId="16" applyFont="1" applyBorder="1" applyAlignment="1" applyProtection="1">
      <alignment horizontal="center" vertical="center" wrapText="1"/>
    </xf>
    <xf numFmtId="0" fontId="4" fillId="0" borderId="27" xfId="16" applyFont="1" applyBorder="1" applyAlignment="1" applyProtection="1">
      <alignment horizontal="center" vertical="center" wrapText="1"/>
    </xf>
    <xf numFmtId="0" fontId="4" fillId="0" borderId="4" xfId="16" applyFont="1" applyBorder="1" applyAlignment="1" applyProtection="1">
      <alignment horizontal="center" vertical="center" wrapText="1"/>
    </xf>
    <xf numFmtId="0" fontId="4" fillId="0" borderId="28" xfId="16" applyFont="1" applyBorder="1" applyAlignment="1" applyProtection="1">
      <alignment horizontal="center" vertical="center" wrapText="1"/>
    </xf>
    <xf numFmtId="167" fontId="1" fillId="0" borderId="49" xfId="16" applyNumberFormat="1" applyFont="1" applyFill="1" applyBorder="1" applyAlignment="1" applyProtection="1">
      <alignment horizontal="center" vertical="center"/>
    </xf>
    <xf numFmtId="167" fontId="1" fillId="0" borderId="12" xfId="16" applyNumberFormat="1" applyFont="1" applyFill="1" applyBorder="1" applyAlignment="1" applyProtection="1">
      <alignment horizontal="center" vertical="center"/>
    </xf>
    <xf numFmtId="167" fontId="1" fillId="0" borderId="57" xfId="16" applyNumberFormat="1" applyFont="1" applyFill="1" applyBorder="1" applyAlignment="1" applyProtection="1">
      <alignment horizontal="center" vertical="center"/>
    </xf>
    <xf numFmtId="167" fontId="1" fillId="0" borderId="3" xfId="16" applyNumberFormat="1" applyFont="1" applyFill="1" applyBorder="1" applyAlignment="1" applyProtection="1">
      <alignment horizontal="center" vertical="center"/>
    </xf>
    <xf numFmtId="164" fontId="1" fillId="10" borderId="28" xfId="33" applyNumberFormat="1" applyFont="1" applyFill="1" applyBorder="1" applyAlignment="1" applyProtection="1">
      <alignment horizontal="center" vertical="center"/>
    </xf>
    <xf numFmtId="167" fontId="1" fillId="0" borderId="27" xfId="16" applyNumberFormat="1" applyFont="1" applyFill="1" applyBorder="1" applyAlignment="1" applyProtection="1">
      <alignment horizontal="center" vertical="center"/>
    </xf>
    <xf numFmtId="167" fontId="1" fillId="0" borderId="5" xfId="16" applyNumberFormat="1" applyFont="1" applyFill="1" applyBorder="1" applyAlignment="1" applyProtection="1">
      <alignment horizontal="center" vertical="center"/>
    </xf>
    <xf numFmtId="167" fontId="1" fillId="0" borderId="28" xfId="16" applyNumberFormat="1" applyFont="1" applyFill="1" applyBorder="1" applyAlignment="1" applyProtection="1">
      <alignment horizontal="center" vertical="center"/>
    </xf>
    <xf numFmtId="167" fontId="1" fillId="0" borderId="4" xfId="16" applyNumberFormat="1" applyFont="1" applyFill="1" applyBorder="1" applyAlignment="1" applyProtection="1">
      <alignment horizontal="center" vertical="center"/>
    </xf>
    <xf numFmtId="167" fontId="4" fillId="10" borderId="27" xfId="16" applyNumberFormat="1" applyFont="1" applyFill="1" applyBorder="1" applyAlignment="1" applyProtection="1">
      <alignment horizontal="center" vertical="center"/>
    </xf>
    <xf numFmtId="167" fontId="4" fillId="10" borderId="4" xfId="16" applyNumberFormat="1" applyFont="1" applyFill="1" applyBorder="1" applyAlignment="1" applyProtection="1">
      <alignment horizontal="center" vertical="center"/>
    </xf>
    <xf numFmtId="167" fontId="4" fillId="10" borderId="28" xfId="16" applyNumberFormat="1" applyFont="1" applyFill="1" applyBorder="1" applyAlignment="1" applyProtection="1">
      <alignment horizontal="center" vertical="center"/>
    </xf>
    <xf numFmtId="167" fontId="4" fillId="10" borderId="5" xfId="16" applyNumberFormat="1" applyFont="1" applyFill="1" applyBorder="1" applyAlignment="1" applyProtection="1">
      <alignment horizontal="center" vertical="center"/>
    </xf>
    <xf numFmtId="164" fontId="1" fillId="10" borderId="31" xfId="33" applyNumberFormat="1" applyFont="1" applyFill="1" applyBorder="1" applyAlignment="1" applyProtection="1">
      <alignment horizontal="center" vertical="center"/>
    </xf>
    <xf numFmtId="0" fontId="4" fillId="0" borderId="0" xfId="16" applyFont="1" applyProtection="1"/>
    <xf numFmtId="0" fontId="4" fillId="0" borderId="37" xfId="16" applyFont="1" applyBorder="1" applyAlignment="1" applyProtection="1">
      <alignment horizontal="left" indent="1"/>
    </xf>
    <xf numFmtId="0" fontId="4" fillId="0" borderId="37" xfId="16" applyFont="1" applyBorder="1" applyAlignment="1" applyProtection="1">
      <alignment horizontal="left" vertical="center" wrapText="1"/>
    </xf>
    <xf numFmtId="167" fontId="1" fillId="9" borderId="27" xfId="16" applyNumberFormat="1" applyFont="1" applyFill="1" applyBorder="1" applyAlignment="1" applyProtection="1">
      <alignment horizontal="center" vertical="center"/>
      <protection locked="0"/>
    </xf>
    <xf numFmtId="0" fontId="4" fillId="0" borderId="37" xfId="16" applyFont="1" applyBorder="1" applyAlignment="1" applyProtection="1">
      <alignment horizontal="left" vertical="center"/>
    </xf>
    <xf numFmtId="0" fontId="5" fillId="0" borderId="53" xfId="16" applyBorder="1" applyAlignment="1" applyProtection="1">
      <alignment horizontal="center" vertical="center"/>
    </xf>
    <xf numFmtId="0" fontId="5" fillId="0" borderId="15" xfId="16" applyBorder="1" applyAlignment="1" applyProtection="1">
      <alignment horizontal="center" vertical="center"/>
    </xf>
    <xf numFmtId="0" fontId="5" fillId="0" borderId="54" xfId="16" applyBorder="1" applyAlignment="1" applyProtection="1">
      <alignment horizontal="center" vertical="center"/>
    </xf>
    <xf numFmtId="0" fontId="4" fillId="0" borderId="17" xfId="16" applyFont="1" applyBorder="1" applyAlignment="1" applyProtection="1">
      <alignment horizontal="left" vertical="center" wrapText="1"/>
    </xf>
    <xf numFmtId="0" fontId="5" fillId="0" borderId="17" xfId="16" applyBorder="1" applyAlignment="1" applyProtection="1">
      <alignment horizontal="center" vertical="center"/>
    </xf>
    <xf numFmtId="0" fontId="5" fillId="0" borderId="18" xfId="16" applyBorder="1" applyProtection="1"/>
    <xf numFmtId="0" fontId="5" fillId="0" borderId="52" xfId="16" applyBorder="1" applyProtection="1"/>
    <xf numFmtId="0" fontId="4" fillId="0" borderId="20" xfId="16" applyFont="1" applyBorder="1" applyAlignment="1" applyProtection="1">
      <alignment horizontal="left" vertical="center" wrapText="1"/>
    </xf>
    <xf numFmtId="0" fontId="4" fillId="0" borderId="37" xfId="16" applyFont="1" applyBorder="1" applyAlignment="1" applyProtection="1">
      <alignment vertical="center"/>
    </xf>
    <xf numFmtId="0" fontId="4" fillId="0" borderId="9" xfId="16" applyFont="1" applyBorder="1" applyAlignment="1" applyProtection="1">
      <alignment horizontal="center"/>
    </xf>
    <xf numFmtId="1" fontId="24" fillId="9" borderId="27" xfId="16" applyNumberFormat="1" applyFont="1" applyFill="1" applyBorder="1" applyAlignment="1" applyProtection="1">
      <alignment horizontal="center" vertical="center"/>
      <protection locked="0"/>
    </xf>
    <xf numFmtId="1" fontId="24" fillId="9" borderId="5" xfId="16" applyNumberFormat="1" applyFont="1" applyFill="1" applyBorder="1" applyAlignment="1" applyProtection="1">
      <alignment horizontal="center" vertical="center"/>
      <protection locked="0"/>
    </xf>
    <xf numFmtId="1" fontId="24" fillId="9" borderId="28" xfId="16" applyNumberFormat="1" applyFont="1" applyFill="1" applyBorder="1" applyAlignment="1" applyProtection="1">
      <alignment horizontal="center" vertical="center"/>
      <protection locked="0"/>
    </xf>
    <xf numFmtId="1" fontId="24" fillId="9" borderId="4" xfId="16" applyNumberFormat="1" applyFont="1" applyFill="1" applyBorder="1" applyAlignment="1" applyProtection="1">
      <alignment horizontal="center" vertical="center"/>
      <protection locked="0"/>
    </xf>
    <xf numFmtId="1" fontId="4" fillId="0" borderId="17" xfId="16" applyNumberFormat="1" applyFont="1" applyBorder="1" applyAlignment="1" applyProtection="1">
      <alignment horizontal="center" vertical="center"/>
    </xf>
    <xf numFmtId="1" fontId="4" fillId="0" borderId="0" xfId="16" applyNumberFormat="1" applyFont="1" applyBorder="1" applyAlignment="1" applyProtection="1">
      <alignment horizontal="center" vertical="center"/>
    </xf>
    <xf numFmtId="1" fontId="4" fillId="0" borderId="22" xfId="16" applyNumberFormat="1" applyFont="1" applyBorder="1" applyAlignment="1" applyProtection="1">
      <alignment horizontal="center" vertical="center"/>
    </xf>
    <xf numFmtId="1" fontId="5" fillId="0" borderId="0" xfId="16" applyNumberFormat="1" applyBorder="1" applyAlignment="1" applyProtection="1">
      <alignment horizontal="center" vertical="center"/>
    </xf>
    <xf numFmtId="1" fontId="5" fillId="0" borderId="22" xfId="16" applyNumberFormat="1" applyBorder="1" applyAlignment="1" applyProtection="1">
      <alignment horizontal="center" vertical="center"/>
    </xf>
    <xf numFmtId="1" fontId="24" fillId="9" borderId="55" xfId="16" applyNumberFormat="1" applyFont="1" applyFill="1" applyBorder="1" applyAlignment="1" applyProtection="1">
      <alignment horizontal="center" vertical="center"/>
      <protection locked="0"/>
    </xf>
    <xf numFmtId="1" fontId="24" fillId="9" borderId="8" xfId="16" applyNumberFormat="1" applyFont="1" applyFill="1" applyBorder="1" applyAlignment="1" applyProtection="1">
      <alignment horizontal="center" vertical="center"/>
      <protection locked="0"/>
    </xf>
    <xf numFmtId="1" fontId="24" fillId="9" borderId="56" xfId="16" applyNumberFormat="1" applyFont="1" applyFill="1" applyBorder="1" applyAlignment="1" applyProtection="1">
      <alignment horizontal="center" vertical="center"/>
      <protection locked="0"/>
    </xf>
    <xf numFmtId="1" fontId="24" fillId="9" borderId="1" xfId="16" applyNumberFormat="1" applyFont="1" applyFill="1" applyBorder="1" applyAlignment="1" applyProtection="1">
      <alignment horizontal="center" vertical="center"/>
      <protection locked="0"/>
    </xf>
    <xf numFmtId="1" fontId="4" fillId="10" borderId="27" xfId="16" applyNumberFormat="1" applyFont="1" applyFill="1" applyBorder="1" applyAlignment="1" applyProtection="1">
      <alignment horizontal="center" vertical="center"/>
    </xf>
    <xf numFmtId="1" fontId="4" fillId="10" borderId="4" xfId="16" applyNumberFormat="1" applyFont="1" applyFill="1" applyBorder="1" applyAlignment="1" applyProtection="1">
      <alignment horizontal="center" vertical="center"/>
    </xf>
    <xf numFmtId="1" fontId="4" fillId="10" borderId="28" xfId="16" applyNumberFormat="1" applyFont="1" applyFill="1" applyBorder="1" applyAlignment="1" applyProtection="1">
      <alignment horizontal="center" vertical="center"/>
    </xf>
    <xf numFmtId="1" fontId="4" fillId="10" borderId="5" xfId="16" applyNumberFormat="1" applyFont="1" applyFill="1" applyBorder="1" applyAlignment="1" applyProtection="1">
      <alignment horizontal="center" vertical="center"/>
    </xf>
    <xf numFmtId="0" fontId="4" fillId="0" borderId="40" xfId="16" applyFont="1" applyBorder="1" applyAlignment="1" applyProtection="1">
      <alignment horizontal="left" vertical="center" wrapText="1"/>
    </xf>
    <xf numFmtId="1" fontId="4" fillId="10" borderId="29" xfId="16" applyNumberFormat="1" applyFont="1" applyFill="1" applyBorder="1" applyAlignment="1" applyProtection="1">
      <alignment horizontal="center" vertical="center"/>
    </xf>
    <xf numFmtId="1" fontId="4" fillId="10" borderId="30" xfId="16" applyNumberFormat="1" applyFont="1" applyFill="1" applyBorder="1" applyAlignment="1" applyProtection="1">
      <alignment horizontal="center" vertical="center"/>
    </xf>
    <xf numFmtId="1" fontId="4" fillId="10" borderId="31" xfId="16" applyNumberFormat="1" applyFont="1" applyFill="1" applyBorder="1" applyAlignment="1" applyProtection="1">
      <alignment horizontal="center" vertical="center"/>
    </xf>
    <xf numFmtId="1" fontId="4" fillId="10" borderId="45" xfId="16" applyNumberFormat="1" applyFont="1" applyFill="1" applyBorder="1" applyAlignment="1" applyProtection="1">
      <alignment horizontal="center" vertical="center"/>
    </xf>
    <xf numFmtId="0" fontId="4" fillId="0" borderId="0" xfId="16" applyFont="1" applyBorder="1" applyAlignment="1" applyProtection="1">
      <alignment horizontal="left" wrapText="1" indent="1"/>
    </xf>
    <xf numFmtId="0" fontId="4" fillId="0" borderId="0" xfId="16" applyFont="1" applyAlignment="1" applyProtection="1">
      <alignment horizontal="left" wrapText="1" indent="1"/>
    </xf>
    <xf numFmtId="0" fontId="4" fillId="0" borderId="17" xfId="16" applyFont="1" applyBorder="1" applyAlignment="1" applyProtection="1">
      <alignment vertical="center"/>
    </xf>
    <xf numFmtId="0" fontId="4" fillId="0" borderId="6" xfId="16" applyFont="1" applyBorder="1" applyAlignment="1" applyProtection="1">
      <alignment horizontal="center"/>
    </xf>
    <xf numFmtId="0" fontId="4" fillId="0" borderId="17" xfId="16" applyFont="1" applyBorder="1" applyAlignment="1" applyProtection="1">
      <alignment horizontal="left" vertical="center"/>
    </xf>
    <xf numFmtId="0" fontId="4" fillId="0" borderId="17" xfId="16" applyFont="1" applyBorder="1" applyAlignment="1" applyProtection="1">
      <alignment horizontal="left" vertical="center" wrapText="1" indent="1"/>
    </xf>
    <xf numFmtId="167" fontId="5" fillId="10" borderId="5" xfId="16" applyNumberFormat="1" applyFill="1" applyBorder="1" applyAlignment="1" applyProtection="1">
      <alignment horizontal="center" vertical="center"/>
    </xf>
    <xf numFmtId="0" fontId="5" fillId="0" borderId="43" xfId="16" applyBorder="1" applyAlignment="1" applyProtection="1">
      <alignment horizontal="center" vertical="center"/>
    </xf>
    <xf numFmtId="0" fontId="5" fillId="0" borderId="16" xfId="16" applyBorder="1" applyAlignment="1" applyProtection="1">
      <alignment horizontal="center" vertical="center"/>
    </xf>
    <xf numFmtId="0" fontId="5" fillId="0" borderId="44" xfId="16" applyBorder="1" applyAlignment="1" applyProtection="1">
      <alignment horizontal="center" vertical="center"/>
    </xf>
    <xf numFmtId="0" fontId="5" fillId="0" borderId="43" xfId="16" applyFill="1" applyBorder="1" applyAlignment="1" applyProtection="1">
      <alignment horizontal="center" vertical="center"/>
    </xf>
    <xf numFmtId="0" fontId="18" fillId="0" borderId="0" xfId="0" applyFont="1" applyProtection="1"/>
    <xf numFmtId="164" fontId="4" fillId="10" borderId="28" xfId="33" applyNumberFormat="1" applyFont="1" applyFill="1" applyBorder="1" applyAlignment="1" applyProtection="1">
      <alignment horizontal="center" vertical="center"/>
    </xf>
    <xf numFmtId="0" fontId="4" fillId="0" borderId="17" xfId="16" applyFont="1" applyBorder="1" applyAlignment="1" applyProtection="1">
      <alignment horizontal="left" vertical="center" indent="1"/>
    </xf>
    <xf numFmtId="0" fontId="4" fillId="0" borderId="17" xfId="16" applyFont="1" applyBorder="1" applyAlignment="1" applyProtection="1">
      <alignment horizontal="left" vertical="center" wrapText="1" indent="2"/>
    </xf>
    <xf numFmtId="0" fontId="5" fillId="0" borderId="51" xfId="16" applyBorder="1" applyAlignment="1" applyProtection="1">
      <alignment horizontal="center" vertical="center"/>
    </xf>
    <xf numFmtId="0" fontId="5" fillId="0" borderId="18" xfId="16" applyBorder="1" applyAlignment="1" applyProtection="1">
      <alignment horizontal="center" vertical="center"/>
    </xf>
    <xf numFmtId="0" fontId="5" fillId="0" borderId="52" xfId="16" applyBorder="1" applyAlignment="1" applyProtection="1">
      <alignment horizontal="center" vertical="center"/>
    </xf>
    <xf numFmtId="0" fontId="4" fillId="0" borderId="20" xfId="16" applyFont="1" applyBorder="1" applyAlignment="1" applyProtection="1">
      <alignment horizontal="left" vertical="center" indent="1"/>
    </xf>
    <xf numFmtId="164" fontId="4" fillId="10" borderId="31" xfId="33" applyNumberFormat="1" applyFont="1" applyFill="1" applyBorder="1" applyAlignment="1" applyProtection="1">
      <alignment horizontal="center" vertical="center"/>
    </xf>
    <xf numFmtId="167" fontId="5" fillId="10" borderId="49" xfId="16" applyNumberFormat="1" applyFill="1" applyBorder="1" applyAlignment="1" applyProtection="1">
      <alignment horizontal="center" vertical="center"/>
    </xf>
    <xf numFmtId="167" fontId="5" fillId="10" borderId="3" xfId="16" applyNumberFormat="1" applyFill="1" applyBorder="1" applyAlignment="1" applyProtection="1">
      <alignment horizontal="center" vertical="center"/>
    </xf>
    <xf numFmtId="167" fontId="5" fillId="10" borderId="57" xfId="16" applyNumberFormat="1" applyFill="1" applyBorder="1" applyAlignment="1" applyProtection="1">
      <alignment horizontal="center" vertical="center"/>
    </xf>
    <xf numFmtId="164" fontId="1" fillId="10" borderId="57" xfId="33" applyNumberFormat="1" applyFont="1" applyFill="1" applyBorder="1" applyAlignment="1" applyProtection="1">
      <alignment horizontal="center" vertical="center"/>
    </xf>
    <xf numFmtId="167" fontId="1" fillId="0" borderId="29" xfId="16" applyNumberFormat="1" applyFont="1" applyFill="1" applyBorder="1" applyAlignment="1" applyProtection="1">
      <alignment horizontal="center" vertical="center"/>
    </xf>
    <xf numFmtId="167" fontId="1" fillId="0" borderId="45" xfId="16" applyNumberFormat="1" applyFont="1" applyFill="1" applyBorder="1" applyAlignment="1" applyProtection="1">
      <alignment horizontal="center" vertical="center"/>
    </xf>
    <xf numFmtId="167" fontId="1" fillId="0" borderId="31" xfId="16" applyNumberFormat="1" applyFont="1" applyFill="1" applyBorder="1" applyAlignment="1" applyProtection="1">
      <alignment horizontal="center" vertical="center"/>
    </xf>
    <xf numFmtId="167" fontId="1" fillId="0" borderId="30" xfId="16" applyNumberFormat="1" applyFont="1" applyFill="1" applyBorder="1" applyAlignment="1" applyProtection="1">
      <alignment horizontal="center" vertical="center"/>
    </xf>
    <xf numFmtId="0" fontId="4" fillId="0" borderId="0" xfId="19" applyFont="1" applyProtection="1"/>
    <xf numFmtId="0" fontId="4" fillId="0" borderId="34" xfId="19" applyFont="1" applyBorder="1" applyProtection="1"/>
    <xf numFmtId="0" fontId="4" fillId="0" borderId="69" xfId="19" applyFont="1" applyBorder="1" applyAlignment="1" applyProtection="1">
      <alignment horizontal="centerContinuous" vertical="center"/>
    </xf>
    <xf numFmtId="0" fontId="4" fillId="0" borderId="48" xfId="19" applyFont="1" applyBorder="1" applyAlignment="1" applyProtection="1">
      <alignment horizontal="centerContinuous" vertical="center"/>
    </xf>
    <xf numFmtId="0" fontId="4" fillId="0" borderId="67" xfId="19" applyFont="1" applyBorder="1" applyAlignment="1" applyProtection="1">
      <alignment horizontal="centerContinuous" vertical="center"/>
    </xf>
    <xf numFmtId="0" fontId="4" fillId="0" borderId="81" xfId="19" applyFont="1" applyBorder="1" applyAlignment="1" applyProtection="1">
      <alignment horizontal="centerContinuous" vertical="center"/>
    </xf>
    <xf numFmtId="0" fontId="4" fillId="0" borderId="82" xfId="19" applyFont="1" applyBorder="1" applyAlignment="1" applyProtection="1">
      <alignment horizontal="centerContinuous" vertical="center"/>
    </xf>
    <xf numFmtId="0" fontId="4" fillId="0" borderId="49" xfId="19" applyFont="1" applyBorder="1" applyAlignment="1" applyProtection="1">
      <alignment horizontal="center" vertical="center" wrapText="1"/>
    </xf>
    <xf numFmtId="0" fontId="4" fillId="0" borderId="3" xfId="19" applyFont="1" applyBorder="1" applyAlignment="1" applyProtection="1">
      <alignment horizontal="center" vertical="center" wrapText="1"/>
    </xf>
    <xf numFmtId="0" fontId="4" fillId="0" borderId="57" xfId="19" applyFont="1" applyBorder="1" applyAlignment="1" applyProtection="1">
      <alignment horizontal="center" vertical="center" wrapText="1"/>
    </xf>
    <xf numFmtId="0" fontId="4" fillId="0" borderId="12" xfId="19" applyFont="1" applyBorder="1" applyAlignment="1" applyProtection="1">
      <alignment horizontal="center" vertical="center" wrapText="1"/>
    </xf>
    <xf numFmtId="0" fontId="4" fillId="0" borderId="27" xfId="19" applyFont="1" applyBorder="1" applyAlignment="1" applyProtection="1">
      <alignment horizontal="center" vertical="center" wrapText="1"/>
    </xf>
    <xf numFmtId="0" fontId="4" fillId="0" borderId="4" xfId="19" applyFont="1" applyBorder="1" applyAlignment="1" applyProtection="1">
      <alignment horizontal="center" vertical="center" wrapText="1"/>
    </xf>
    <xf numFmtId="0" fontId="4" fillId="0" borderId="28" xfId="19" applyFont="1" applyBorder="1" applyAlignment="1" applyProtection="1">
      <alignment horizontal="center" vertical="center" wrapText="1"/>
    </xf>
    <xf numFmtId="0" fontId="1" fillId="0" borderId="50" xfId="19" applyNumberFormat="1" applyFont="1" applyBorder="1" applyAlignment="1" applyProtection="1">
      <alignment horizontal="center" wrapText="1"/>
    </xf>
    <xf numFmtId="167" fontId="1" fillId="15" borderId="12" xfId="19" applyNumberFormat="1" applyFont="1" applyFill="1" applyBorder="1" applyAlignment="1" applyProtection="1">
      <alignment horizontal="center" vertical="center"/>
    </xf>
    <xf numFmtId="167" fontId="1" fillId="15" borderId="57" xfId="19" applyNumberFormat="1" applyFont="1" applyFill="1" applyBorder="1" applyAlignment="1" applyProtection="1">
      <alignment horizontal="center" vertical="center"/>
    </xf>
    <xf numFmtId="167" fontId="1" fillId="15" borderId="3" xfId="19" applyNumberFormat="1" applyFont="1" applyFill="1" applyBorder="1" applyAlignment="1" applyProtection="1">
      <alignment horizontal="center" vertical="center"/>
    </xf>
    <xf numFmtId="167" fontId="1" fillId="15" borderId="49" xfId="19" applyNumberFormat="1" applyFont="1" applyFill="1" applyBorder="1" applyAlignment="1" applyProtection="1">
      <alignment horizontal="center" vertical="center"/>
    </xf>
    <xf numFmtId="167" fontId="4" fillId="10" borderId="27" xfId="19" applyNumberFormat="1" applyFont="1" applyFill="1" applyBorder="1" applyAlignment="1" applyProtection="1">
      <alignment horizontal="center" vertical="center"/>
    </xf>
    <xf numFmtId="167" fontId="4" fillId="10" borderId="4" xfId="19" applyNumberFormat="1" applyFont="1" applyFill="1" applyBorder="1" applyAlignment="1" applyProtection="1">
      <alignment horizontal="center" vertical="center"/>
    </xf>
    <xf numFmtId="167" fontId="4" fillId="10" borderId="28" xfId="19" applyNumberFormat="1" applyFont="1" applyFill="1" applyBorder="1" applyAlignment="1" applyProtection="1">
      <alignment horizontal="center" vertical="center"/>
    </xf>
    <xf numFmtId="167" fontId="4" fillId="10" borderId="5" xfId="19" applyNumberFormat="1" applyFont="1" applyFill="1" applyBorder="1" applyAlignment="1" applyProtection="1">
      <alignment horizontal="center" vertical="center"/>
    </xf>
    <xf numFmtId="167" fontId="4" fillId="10" borderId="55" xfId="19" applyNumberFormat="1" applyFont="1" applyFill="1" applyBorder="1" applyAlignment="1" applyProtection="1">
      <alignment horizontal="center" vertical="center"/>
    </xf>
    <xf numFmtId="167" fontId="4" fillId="10" borderId="8" xfId="19" applyNumberFormat="1" applyFont="1" applyFill="1" applyBorder="1" applyAlignment="1" applyProtection="1">
      <alignment horizontal="center" vertical="center"/>
    </xf>
    <xf numFmtId="167" fontId="4" fillId="10" borderId="56" xfId="19" applyNumberFormat="1" applyFont="1" applyFill="1" applyBorder="1" applyAlignment="1" applyProtection="1">
      <alignment horizontal="center" vertical="center"/>
    </xf>
    <xf numFmtId="167" fontId="4" fillId="10" borderId="1" xfId="19" applyNumberFormat="1" applyFont="1" applyFill="1" applyBorder="1" applyAlignment="1" applyProtection="1">
      <alignment horizontal="center" vertical="center"/>
    </xf>
    <xf numFmtId="0" fontId="1" fillId="0" borderId="58" xfId="19" applyNumberFormat="1" applyFont="1" applyBorder="1" applyAlignment="1" applyProtection="1">
      <alignment horizontal="center" wrapText="1"/>
    </xf>
    <xf numFmtId="167" fontId="1" fillId="0" borderId="29" xfId="19" applyNumberFormat="1" applyFont="1" applyFill="1" applyBorder="1" applyAlignment="1" applyProtection="1">
      <alignment horizontal="center" vertical="center"/>
    </xf>
    <xf numFmtId="167" fontId="1" fillId="0" borderId="45" xfId="19" applyNumberFormat="1" applyFont="1" applyFill="1" applyBorder="1" applyAlignment="1" applyProtection="1">
      <alignment horizontal="center" vertical="center"/>
    </xf>
    <xf numFmtId="167" fontId="1" fillId="0" borderId="31" xfId="19" applyNumberFormat="1" applyFont="1" applyFill="1" applyBorder="1" applyAlignment="1" applyProtection="1">
      <alignment horizontal="center" vertical="center"/>
    </xf>
    <xf numFmtId="167" fontId="1" fillId="0" borderId="30" xfId="19" applyNumberFormat="1" applyFont="1" applyFill="1" applyBorder="1" applyAlignment="1" applyProtection="1">
      <alignment horizontal="center" vertical="center"/>
    </xf>
    <xf numFmtId="164" fontId="1" fillId="11" borderId="28" xfId="33" applyNumberFormat="1" applyFont="1" applyFill="1" applyBorder="1" applyAlignment="1" applyProtection="1">
      <alignment horizontal="center" vertical="center"/>
    </xf>
    <xf numFmtId="167" fontId="4" fillId="10" borderId="29" xfId="19" applyNumberFormat="1" applyFont="1" applyFill="1" applyBorder="1" applyAlignment="1" applyProtection="1">
      <alignment horizontal="center" vertical="center"/>
    </xf>
    <xf numFmtId="167" fontId="4" fillId="10" borderId="45" xfId="19" applyNumberFormat="1" applyFont="1" applyFill="1" applyBorder="1" applyAlignment="1" applyProtection="1">
      <alignment horizontal="center" vertical="center"/>
    </xf>
    <xf numFmtId="167" fontId="4" fillId="10" borderId="31" xfId="19" applyNumberFormat="1" applyFont="1" applyFill="1" applyBorder="1" applyAlignment="1" applyProtection="1">
      <alignment horizontal="center" vertical="center"/>
    </xf>
    <xf numFmtId="167" fontId="4" fillId="10" borderId="30" xfId="19" applyNumberFormat="1" applyFont="1" applyFill="1" applyBorder="1" applyAlignment="1" applyProtection="1">
      <alignment horizontal="center" vertical="center"/>
    </xf>
    <xf numFmtId="0" fontId="4" fillId="0" borderId="0" xfId="19" applyFont="1" applyFill="1" applyProtection="1"/>
    <xf numFmtId="0" fontId="1" fillId="0" borderId="0" xfId="19" applyNumberFormat="1" applyFont="1" applyAlignment="1" applyProtection="1">
      <alignment horizontal="center" wrapText="1"/>
    </xf>
    <xf numFmtId="0" fontId="4" fillId="0" borderId="17" xfId="19" applyFont="1" applyFill="1" applyBorder="1" applyAlignment="1" applyProtection="1">
      <alignment horizontal="left" indent="1"/>
    </xf>
    <xf numFmtId="0" fontId="1" fillId="0" borderId="9" xfId="19" applyNumberFormat="1" applyFont="1" applyBorder="1" applyAlignment="1" applyProtection="1">
      <alignment horizontal="center" wrapText="1"/>
    </xf>
    <xf numFmtId="167" fontId="1" fillId="11" borderId="27" xfId="19" applyNumberFormat="1" applyFont="1" applyFill="1" applyBorder="1" applyAlignment="1" applyProtection="1">
      <alignment horizontal="center" vertical="center"/>
      <protection locked="0"/>
    </xf>
    <xf numFmtId="167" fontId="1" fillId="11" borderId="5" xfId="19" applyNumberFormat="1" applyFont="1" applyFill="1" applyBorder="1" applyAlignment="1" applyProtection="1">
      <alignment horizontal="center" vertical="center"/>
      <protection locked="0"/>
    </xf>
    <xf numFmtId="167" fontId="1" fillId="11" borderId="28" xfId="19" applyNumberFormat="1" applyFont="1" applyFill="1" applyBorder="1" applyAlignment="1" applyProtection="1">
      <alignment horizontal="center" vertical="center"/>
      <protection locked="0"/>
    </xf>
    <xf numFmtId="167" fontId="1" fillId="15" borderId="5" xfId="19" applyNumberFormat="1" applyFont="1" applyFill="1" applyBorder="1" applyAlignment="1" applyProtection="1">
      <alignment horizontal="center" vertical="center"/>
      <protection locked="0"/>
    </xf>
    <xf numFmtId="167" fontId="1" fillId="15" borderId="4" xfId="19" applyNumberFormat="1" applyFont="1" applyFill="1" applyBorder="1" applyAlignment="1" applyProtection="1">
      <alignment horizontal="center" vertical="center"/>
      <protection locked="0"/>
    </xf>
    <xf numFmtId="167" fontId="1" fillId="15" borderId="28" xfId="19" applyNumberFormat="1" applyFont="1" applyFill="1" applyBorder="1" applyAlignment="1" applyProtection="1">
      <alignment horizontal="center" vertical="center"/>
      <protection locked="0"/>
    </xf>
    <xf numFmtId="0" fontId="4" fillId="0" borderId="17" xfId="19" applyFont="1" applyFill="1" applyBorder="1" applyAlignment="1" applyProtection="1">
      <alignment horizontal="left" wrapText="1" indent="2"/>
    </xf>
    <xf numFmtId="0" fontId="4" fillId="0" borderId="20" xfId="19" applyFont="1" applyBorder="1" applyAlignment="1" applyProtection="1">
      <alignment horizontal="left" wrapText="1" indent="2"/>
    </xf>
    <xf numFmtId="0" fontId="1" fillId="0" borderId="42" xfId="19" applyNumberFormat="1" applyFont="1" applyBorder="1" applyAlignment="1" applyProtection="1">
      <alignment horizontal="center" wrapText="1"/>
    </xf>
    <xf numFmtId="0" fontId="4" fillId="0" borderId="37" xfId="19" applyFont="1" applyBorder="1" applyProtection="1"/>
    <xf numFmtId="0" fontId="4" fillId="0" borderId="9" xfId="19" applyFont="1" applyBorder="1" applyAlignment="1" applyProtection="1">
      <alignment horizontal="center"/>
    </xf>
    <xf numFmtId="0" fontId="4" fillId="0" borderId="53" xfId="19" applyFont="1" applyBorder="1" applyAlignment="1" applyProtection="1">
      <alignment horizontal="center" vertical="center"/>
    </xf>
    <xf numFmtId="0" fontId="4" fillId="0" borderId="15" xfId="19" applyFont="1" applyBorder="1" applyAlignment="1" applyProtection="1">
      <alignment horizontal="center" vertical="center"/>
    </xf>
    <xf numFmtId="0" fontId="4" fillId="0" borderId="54" xfId="19" applyFont="1" applyBorder="1" applyAlignment="1" applyProtection="1">
      <alignment horizontal="center" vertical="center"/>
    </xf>
    <xf numFmtId="0" fontId="4" fillId="0" borderId="37" xfId="19" applyFont="1" applyBorder="1" applyAlignment="1" applyProtection="1">
      <alignment horizontal="left" indent="1"/>
    </xf>
    <xf numFmtId="0" fontId="4" fillId="0" borderId="17" xfId="19" applyFont="1" applyBorder="1" applyAlignment="1" applyProtection="1">
      <alignment horizontal="center" vertical="center"/>
    </xf>
    <xf numFmtId="0" fontId="4" fillId="0" borderId="0" xfId="19" applyFont="1" applyBorder="1" applyAlignment="1" applyProtection="1">
      <alignment horizontal="center" vertical="center"/>
    </xf>
    <xf numFmtId="0" fontId="4" fillId="0" borderId="22" xfId="19" applyFont="1" applyBorder="1" applyAlignment="1" applyProtection="1">
      <alignment horizontal="center" vertical="center"/>
    </xf>
    <xf numFmtId="0" fontId="1" fillId="0" borderId="37" xfId="19" applyFont="1" applyBorder="1" applyAlignment="1" applyProtection="1">
      <alignment horizontal="left" indent="2"/>
    </xf>
    <xf numFmtId="1" fontId="1" fillId="10" borderId="27" xfId="19" applyNumberFormat="1" applyFont="1" applyFill="1" applyBorder="1" applyAlignment="1" applyProtection="1">
      <alignment horizontal="center" vertical="center"/>
      <protection locked="0"/>
    </xf>
    <xf numFmtId="1" fontId="1" fillId="10" borderId="5" xfId="19" applyNumberFormat="1" applyFont="1" applyFill="1" applyBorder="1" applyAlignment="1" applyProtection="1">
      <alignment horizontal="center" vertical="center"/>
      <protection locked="0"/>
    </xf>
    <xf numFmtId="1" fontId="1" fillId="10" borderId="28" xfId="19" applyNumberFormat="1" applyFont="1" applyFill="1" applyBorder="1" applyAlignment="1" applyProtection="1">
      <alignment horizontal="center" vertical="center"/>
      <protection locked="0"/>
    </xf>
    <xf numFmtId="1" fontId="1" fillId="10" borderId="4" xfId="19" applyNumberFormat="1" applyFont="1" applyFill="1" applyBorder="1" applyAlignment="1" applyProtection="1">
      <alignment horizontal="center" vertical="center"/>
      <protection locked="0"/>
    </xf>
    <xf numFmtId="0" fontId="1" fillId="0" borderId="17" xfId="19" applyFont="1" applyBorder="1" applyAlignment="1" applyProtection="1">
      <alignment horizontal="left" indent="2"/>
    </xf>
    <xf numFmtId="0" fontId="4" fillId="0" borderId="37" xfId="19" applyFont="1" applyFill="1" applyBorder="1" applyAlignment="1" applyProtection="1">
      <alignment horizontal="left" indent="1"/>
    </xf>
    <xf numFmtId="1" fontId="4" fillId="0" borderId="17" xfId="19" applyNumberFormat="1" applyFont="1" applyBorder="1" applyAlignment="1" applyProtection="1">
      <alignment horizontal="center" vertical="center"/>
    </xf>
    <xf numFmtId="1" fontId="4" fillId="0" borderId="0" xfId="19" applyNumberFormat="1" applyFont="1" applyBorder="1" applyAlignment="1" applyProtection="1">
      <alignment horizontal="center" vertical="center"/>
    </xf>
    <xf numFmtId="1" fontId="4" fillId="0" borderId="22" xfId="19" applyNumberFormat="1" applyFont="1" applyBorder="1" applyAlignment="1" applyProtection="1">
      <alignment horizontal="center" vertical="center"/>
    </xf>
    <xf numFmtId="0" fontId="1" fillId="0" borderId="37" xfId="19" applyFont="1" applyFill="1" applyBorder="1" applyAlignment="1" applyProtection="1">
      <alignment horizontal="left" indent="2"/>
    </xf>
    <xf numFmtId="0" fontId="1" fillId="0" borderId="17" xfId="19" applyFont="1" applyFill="1" applyBorder="1" applyAlignment="1" applyProtection="1">
      <alignment horizontal="left" indent="2"/>
    </xf>
    <xf numFmtId="1" fontId="1" fillId="11" borderId="27" xfId="19" applyNumberFormat="1" applyFont="1" applyFill="1" applyBorder="1" applyAlignment="1" applyProtection="1">
      <alignment horizontal="center" vertical="center"/>
      <protection locked="0"/>
    </xf>
    <xf numFmtId="1" fontId="1" fillId="11" borderId="5" xfId="19" applyNumberFormat="1" applyFont="1" applyFill="1" applyBorder="1" applyAlignment="1" applyProtection="1">
      <alignment horizontal="center" vertical="center"/>
      <protection locked="0"/>
    </xf>
    <xf numFmtId="1" fontId="1" fillId="11" borderId="28" xfId="19" applyNumberFormat="1" applyFont="1" applyFill="1" applyBorder="1" applyAlignment="1" applyProtection="1">
      <alignment horizontal="center" vertical="center"/>
      <protection locked="0"/>
    </xf>
    <xf numFmtId="1" fontId="1" fillId="0" borderId="17" xfId="19" applyNumberFormat="1" applyFont="1" applyBorder="1" applyAlignment="1" applyProtection="1">
      <alignment horizontal="center" vertical="center"/>
    </xf>
    <xf numFmtId="1" fontId="1" fillId="0" borderId="0" xfId="19" applyNumberFormat="1" applyFont="1" applyBorder="1" applyAlignment="1" applyProtection="1">
      <alignment horizontal="center" vertical="center"/>
    </xf>
    <xf numFmtId="1" fontId="1" fillId="0" borderId="22" xfId="19" applyNumberFormat="1" applyFont="1" applyBorder="1" applyAlignment="1" applyProtection="1">
      <alignment horizontal="center" vertical="center"/>
    </xf>
    <xf numFmtId="1" fontId="1" fillId="10" borderId="55" xfId="19" applyNumberFormat="1" applyFont="1" applyFill="1" applyBorder="1" applyAlignment="1" applyProtection="1">
      <alignment horizontal="center" vertical="center"/>
      <protection locked="0"/>
    </xf>
    <xf numFmtId="1" fontId="1" fillId="10" borderId="8" xfId="19" applyNumberFormat="1" applyFont="1" applyFill="1" applyBorder="1" applyAlignment="1" applyProtection="1">
      <alignment horizontal="center" vertical="center"/>
      <protection locked="0"/>
    </xf>
    <xf numFmtId="1" fontId="1" fillId="10" borderId="56" xfId="19" applyNumberFormat="1" applyFont="1" applyFill="1" applyBorder="1" applyAlignment="1" applyProtection="1">
      <alignment horizontal="center" vertical="center"/>
      <protection locked="0"/>
    </xf>
    <xf numFmtId="1" fontId="1" fillId="10" borderId="1" xfId="19" applyNumberFormat="1" applyFont="1" applyFill="1" applyBorder="1" applyAlignment="1" applyProtection="1">
      <alignment horizontal="center" vertical="center"/>
      <protection locked="0"/>
    </xf>
    <xf numFmtId="1" fontId="1" fillId="11" borderId="55" xfId="19" applyNumberFormat="1" applyFont="1" applyFill="1" applyBorder="1" applyAlignment="1" applyProtection="1">
      <alignment horizontal="center" vertical="center"/>
      <protection locked="0"/>
    </xf>
    <xf numFmtId="1" fontId="1" fillId="11" borderId="8" xfId="19" applyNumberFormat="1" applyFont="1" applyFill="1" applyBorder="1" applyAlignment="1" applyProtection="1">
      <alignment horizontal="center" vertical="center"/>
      <protection locked="0"/>
    </xf>
    <xf numFmtId="1" fontId="1" fillId="11" borderId="56" xfId="19" applyNumberFormat="1" applyFont="1" applyFill="1" applyBorder="1" applyAlignment="1" applyProtection="1">
      <alignment horizontal="center" vertical="center"/>
      <protection locked="0"/>
    </xf>
    <xf numFmtId="0" fontId="4" fillId="0" borderId="40" xfId="19" applyFont="1" applyBorder="1" applyAlignment="1" applyProtection="1">
      <alignment horizontal="left" wrapText="1" indent="1"/>
    </xf>
    <xf numFmtId="1" fontId="4" fillId="10" borderId="29" xfId="19" applyNumberFormat="1" applyFont="1" applyFill="1" applyBorder="1" applyAlignment="1" applyProtection="1">
      <alignment horizontal="center" vertical="center"/>
    </xf>
    <xf numFmtId="1" fontId="4" fillId="10" borderId="30" xfId="19" applyNumberFormat="1" applyFont="1" applyFill="1" applyBorder="1" applyAlignment="1" applyProtection="1">
      <alignment horizontal="center" vertical="center"/>
    </xf>
    <xf numFmtId="1" fontId="4" fillId="10" borderId="31" xfId="19" applyNumberFormat="1" applyFont="1" applyFill="1" applyBorder="1" applyAlignment="1" applyProtection="1">
      <alignment horizontal="center" vertical="center"/>
    </xf>
    <xf numFmtId="0" fontId="4" fillId="0" borderId="0" xfId="19" applyFont="1" applyBorder="1" applyAlignment="1" applyProtection="1">
      <alignment horizontal="left" wrapText="1" indent="1"/>
    </xf>
    <xf numFmtId="0" fontId="4" fillId="0" borderId="52" xfId="19" applyFont="1" applyBorder="1" applyAlignment="1" applyProtection="1">
      <alignment horizontal="center" vertical="center" wrapText="1"/>
    </xf>
    <xf numFmtId="0" fontId="1" fillId="0" borderId="0" xfId="19" applyNumberFormat="1" applyFont="1" applyBorder="1" applyAlignment="1" applyProtection="1">
      <alignment horizontal="center" wrapText="1"/>
    </xf>
    <xf numFmtId="1" fontId="1" fillId="15" borderId="27" xfId="19" applyNumberFormat="1" applyFont="1" applyFill="1" applyBorder="1" applyAlignment="1" applyProtection="1">
      <alignment horizontal="center" vertical="center"/>
      <protection locked="0"/>
    </xf>
    <xf numFmtId="1" fontId="1" fillId="15" borderId="4" xfId="19" applyNumberFormat="1" applyFont="1" applyFill="1" applyBorder="1" applyAlignment="1" applyProtection="1">
      <alignment horizontal="center" vertical="center"/>
      <protection locked="0"/>
    </xf>
    <xf numFmtId="1" fontId="1" fillId="15" borderId="44" xfId="19" applyNumberFormat="1" applyFont="1" applyFill="1" applyBorder="1" applyAlignment="1" applyProtection="1">
      <alignment horizontal="center" vertical="center"/>
      <protection locked="0"/>
    </xf>
    <xf numFmtId="1" fontId="1" fillId="15" borderId="55" xfId="19" applyNumberFormat="1" applyFont="1" applyFill="1" applyBorder="1" applyAlignment="1" applyProtection="1">
      <alignment horizontal="center" vertical="center"/>
      <protection locked="0"/>
    </xf>
    <xf numFmtId="1" fontId="4" fillId="10" borderId="60" xfId="19" applyNumberFormat="1" applyFont="1" applyFill="1" applyBorder="1" applyAlignment="1" applyProtection="1">
      <alignment horizontal="center" vertical="center"/>
    </xf>
    <xf numFmtId="0" fontId="4" fillId="0" borderId="0" xfId="19" applyFont="1" applyAlignment="1" applyProtection="1">
      <alignment horizontal="left" wrapText="1" indent="1"/>
    </xf>
    <xf numFmtId="1" fontId="1" fillId="15" borderId="38" xfId="19" applyNumberFormat="1" applyFont="1" applyFill="1" applyBorder="1" applyAlignment="1" applyProtection="1">
      <alignment horizontal="center" vertical="center"/>
      <protection locked="0"/>
    </xf>
    <xf numFmtId="1" fontId="1" fillId="15" borderId="66" xfId="19" applyNumberFormat="1" applyFont="1" applyFill="1" applyBorder="1" applyAlignment="1" applyProtection="1">
      <alignment horizontal="center" vertical="center"/>
      <protection locked="0"/>
    </xf>
    <xf numFmtId="0" fontId="4" fillId="0" borderId="17" xfId="19" applyFont="1" applyFill="1" applyBorder="1" applyProtection="1"/>
    <xf numFmtId="0" fontId="4" fillId="0" borderId="6" xfId="19" applyFont="1" applyBorder="1" applyAlignment="1" applyProtection="1">
      <alignment horizontal="center"/>
    </xf>
    <xf numFmtId="0" fontId="4" fillId="0" borderId="17" xfId="19" applyFont="1" applyBorder="1" applyAlignment="1" applyProtection="1">
      <alignment horizontal="left" wrapText="1" indent="2"/>
    </xf>
    <xf numFmtId="0" fontId="4" fillId="0" borderId="29" xfId="19" applyFont="1" applyFill="1" applyBorder="1" applyAlignment="1" applyProtection="1">
      <alignment horizontal="left" wrapText="1" indent="2"/>
    </xf>
    <xf numFmtId="0" fontId="1" fillId="0" borderId="30" xfId="19" applyNumberFormat="1" applyFont="1" applyBorder="1" applyAlignment="1" applyProtection="1">
      <alignment horizontal="center" wrapText="1"/>
    </xf>
    <xf numFmtId="167" fontId="1" fillId="15" borderId="30" xfId="19" applyNumberFormat="1" applyFont="1" applyFill="1" applyBorder="1" applyAlignment="1" applyProtection="1">
      <alignment horizontal="center" vertical="center"/>
      <protection locked="0"/>
    </xf>
    <xf numFmtId="167" fontId="1" fillId="15" borderId="30" xfId="19" applyNumberFormat="1" applyFont="1" applyFill="1" applyBorder="1" applyAlignment="1" applyProtection="1">
      <alignment horizontal="center" vertical="center"/>
    </xf>
    <xf numFmtId="167" fontId="1" fillId="15" borderId="31" xfId="19" applyNumberFormat="1" applyFont="1" applyFill="1" applyBorder="1" applyAlignment="1" applyProtection="1">
      <alignment horizontal="center" vertical="center"/>
    </xf>
    <xf numFmtId="167" fontId="1" fillId="10" borderId="30" xfId="19" applyNumberFormat="1" applyFont="1" applyFill="1" applyBorder="1" applyAlignment="1" applyProtection="1">
      <alignment horizontal="center" vertical="center"/>
    </xf>
    <xf numFmtId="167" fontId="1" fillId="10" borderId="31" xfId="19" applyNumberFormat="1" applyFont="1" applyFill="1" applyBorder="1" applyAlignment="1" applyProtection="1">
      <alignment horizontal="center" vertical="center"/>
    </xf>
    <xf numFmtId="0" fontId="4" fillId="0" borderId="29" xfId="19" applyFont="1" applyBorder="1" applyAlignment="1" applyProtection="1">
      <alignment horizontal="left" wrapText="1" indent="2"/>
    </xf>
    <xf numFmtId="0" fontId="1" fillId="0" borderId="0" xfId="19" applyFont="1" applyBorder="1" applyProtection="1"/>
    <xf numFmtId="0" fontId="4" fillId="0" borderId="0" xfId="16" applyFont="1" applyBorder="1" applyAlignment="1" applyProtection="1">
      <alignment horizontal="center" vertical="center"/>
    </xf>
    <xf numFmtId="0" fontId="4" fillId="0" borderId="0" xfId="16" applyFont="1" applyBorder="1" applyAlignment="1" applyProtection="1">
      <alignment horizontal="centerContinuous" vertical="center"/>
    </xf>
    <xf numFmtId="0" fontId="4" fillId="0" borderId="5" xfId="16" applyFont="1" applyBorder="1" applyAlignment="1" applyProtection="1">
      <alignment horizontal="center" vertical="center" wrapText="1"/>
    </xf>
    <xf numFmtId="0" fontId="4" fillId="0" borderId="27" xfId="16" applyFont="1" applyBorder="1" applyAlignment="1" applyProtection="1">
      <alignment horizontal="center" vertical="center"/>
    </xf>
    <xf numFmtId="0" fontId="4" fillId="0" borderId="4" xfId="16" applyFont="1" applyBorder="1" applyAlignment="1" applyProtection="1">
      <alignment horizontal="center" vertical="center"/>
    </xf>
    <xf numFmtId="0" fontId="4" fillId="0" borderId="28" xfId="16" applyFont="1" applyBorder="1" applyAlignment="1" applyProtection="1">
      <alignment horizontal="center" vertical="center"/>
    </xf>
    <xf numFmtId="0" fontId="4" fillId="0" borderId="0" xfId="16" applyFont="1" applyBorder="1" applyAlignment="1" applyProtection="1">
      <alignment horizontal="center" vertical="center" wrapText="1"/>
    </xf>
    <xf numFmtId="0" fontId="4" fillId="0" borderId="49" xfId="16" applyFont="1" applyFill="1" applyBorder="1" applyAlignment="1" applyProtection="1">
      <alignment horizontal="center" vertical="center"/>
    </xf>
    <xf numFmtId="0" fontId="4" fillId="0" borderId="3" xfId="16" applyFont="1" applyFill="1" applyBorder="1" applyAlignment="1" applyProtection="1">
      <alignment horizontal="center" vertical="center"/>
    </xf>
    <xf numFmtId="0" fontId="4" fillId="0" borderId="57" xfId="16" applyFont="1" applyFill="1" applyBorder="1" applyAlignment="1" applyProtection="1">
      <alignment horizontal="center" vertical="center"/>
    </xf>
    <xf numFmtId="0" fontId="4" fillId="0" borderId="12" xfId="16" applyFont="1" applyFill="1" applyBorder="1" applyAlignment="1" applyProtection="1">
      <alignment horizontal="center" vertical="center"/>
    </xf>
    <xf numFmtId="0" fontId="4" fillId="0" borderId="0" xfId="16" applyFont="1" applyFill="1" applyBorder="1" applyAlignment="1" applyProtection="1">
      <alignment horizontal="center" vertical="center"/>
    </xf>
    <xf numFmtId="9" fontId="1" fillId="0" borderId="0" xfId="33" applyFont="1" applyFill="1" applyBorder="1" applyAlignment="1" applyProtection="1">
      <alignment horizontal="center" vertical="center"/>
    </xf>
    <xf numFmtId="0" fontId="1" fillId="0" borderId="17" xfId="16" applyFont="1" applyBorder="1" applyAlignment="1" applyProtection="1">
      <alignment horizontal="left" vertical="center" wrapText="1" indent="1"/>
    </xf>
    <xf numFmtId="164" fontId="1" fillId="0" borderId="0" xfId="33" applyNumberFormat="1" applyFont="1" applyFill="1" applyBorder="1" applyAlignment="1" applyProtection="1">
      <alignment horizontal="center" vertical="center"/>
    </xf>
    <xf numFmtId="164" fontId="4" fillId="10" borderId="28" xfId="16" applyNumberFormat="1" applyFont="1" applyFill="1" applyBorder="1" applyAlignment="1" applyProtection="1">
      <alignment horizontal="center" vertical="center"/>
    </xf>
    <xf numFmtId="164" fontId="4" fillId="0" borderId="0" xfId="16" applyNumberFormat="1" applyFont="1" applyFill="1" applyBorder="1" applyAlignment="1" applyProtection="1">
      <alignment horizontal="center" vertical="center"/>
    </xf>
    <xf numFmtId="164" fontId="1" fillId="0" borderId="22" xfId="33" applyNumberFormat="1" applyFont="1" applyBorder="1" applyAlignment="1" applyProtection="1">
      <alignment horizontal="center" vertical="center"/>
    </xf>
    <xf numFmtId="0" fontId="4" fillId="0" borderId="47" xfId="16" applyFont="1" applyBorder="1" applyAlignment="1" applyProtection="1">
      <alignment horizontal="centerContinuous" vertical="center"/>
    </xf>
    <xf numFmtId="0" fontId="4" fillId="0" borderId="67" xfId="16" applyFont="1" applyBorder="1" applyAlignment="1" applyProtection="1">
      <alignment horizontal="centerContinuous" vertical="center" wrapText="1"/>
    </xf>
    <xf numFmtId="0" fontId="4" fillId="0" borderId="82" xfId="16" applyFont="1" applyBorder="1" applyAlignment="1" applyProtection="1">
      <alignment horizontal="centerContinuous" vertical="center" wrapText="1"/>
    </xf>
    <xf numFmtId="0" fontId="4" fillId="0" borderId="27" xfId="30" applyFont="1" applyFill="1" applyBorder="1" applyAlignment="1" applyProtection="1">
      <alignment horizontal="center"/>
    </xf>
    <xf numFmtId="0" fontId="4" fillId="0" borderId="4" xfId="28" applyFont="1" applyFill="1" applyBorder="1" applyAlignment="1" applyProtection="1">
      <alignment horizontal="center"/>
    </xf>
    <xf numFmtId="0" fontId="4" fillId="0" borderId="28" xfId="28" applyFont="1" applyBorder="1" applyAlignment="1" applyProtection="1">
      <alignment horizontal="center"/>
    </xf>
    <xf numFmtId="0" fontId="4" fillId="0" borderId="27" xfId="28" applyFont="1" applyBorder="1" applyAlignment="1" applyProtection="1">
      <alignment horizontal="center" vertical="center"/>
    </xf>
    <xf numFmtId="0" fontId="4" fillId="0" borderId="28" xfId="28" applyFont="1" applyBorder="1" applyAlignment="1" applyProtection="1">
      <alignment horizontal="center" vertical="center"/>
    </xf>
    <xf numFmtId="0" fontId="1" fillId="3" borderId="63" xfId="28" applyFont="1" applyFill="1" applyBorder="1" applyAlignment="1" applyProtection="1">
      <alignment horizontal="left" vertical="center"/>
    </xf>
    <xf numFmtId="167" fontId="1" fillId="10" borderId="27" xfId="28" applyNumberFormat="1" applyFont="1" applyFill="1" applyBorder="1" applyAlignment="1" applyProtection="1">
      <alignment horizontal="center" vertical="center"/>
    </xf>
    <xf numFmtId="167" fontId="1" fillId="10" borderId="28" xfId="28" applyNumberFormat="1" applyFont="1" applyFill="1" applyBorder="1" applyAlignment="1" applyProtection="1">
      <alignment horizontal="center" vertical="center"/>
    </xf>
    <xf numFmtId="0" fontId="1" fillId="0" borderId="38" xfId="28" applyFont="1" applyFill="1" applyBorder="1" applyAlignment="1" applyProtection="1">
      <alignment horizontal="left" vertical="center"/>
    </xf>
    <xf numFmtId="0" fontId="1" fillId="0" borderId="64" xfId="28" applyFont="1" applyFill="1" applyBorder="1" applyAlignment="1" applyProtection="1">
      <alignment horizontal="left" vertical="center"/>
    </xf>
    <xf numFmtId="10" fontId="1" fillId="0" borderId="29" xfId="28" applyNumberFormat="1" applyFont="1" applyFill="1" applyBorder="1" applyAlignment="1" applyProtection="1">
      <alignment horizontal="center" vertical="center"/>
    </xf>
    <xf numFmtId="10" fontId="1" fillId="0" borderId="30" xfId="28" applyNumberFormat="1" applyFont="1" applyFill="1" applyBorder="1" applyAlignment="1" applyProtection="1">
      <alignment horizontal="center" vertical="center"/>
    </xf>
    <xf numFmtId="10" fontId="1" fillId="0" borderId="31" xfId="28" applyNumberFormat="1" applyFont="1" applyFill="1" applyBorder="1" applyAlignment="1" applyProtection="1">
      <alignment horizontal="center" vertical="center"/>
    </xf>
    <xf numFmtId="1" fontId="1" fillId="10" borderId="29" xfId="28" applyNumberFormat="1" applyFont="1" applyFill="1" applyBorder="1" applyAlignment="1" applyProtection="1">
      <alignment horizontal="center" vertical="center"/>
    </xf>
    <xf numFmtId="1" fontId="1" fillId="10" borderId="31" xfId="28" applyNumberFormat="1" applyFont="1" applyFill="1" applyBorder="1" applyAlignment="1" applyProtection="1">
      <alignment horizontal="center" vertical="center"/>
    </xf>
    <xf numFmtId="0" fontId="1" fillId="0" borderId="0" xfId="28" applyFont="1" applyFill="1" applyBorder="1" applyAlignment="1" applyProtection="1">
      <alignment horizontal="left" vertical="center"/>
    </xf>
    <xf numFmtId="0" fontId="1" fillId="0" borderId="0" xfId="13" applyFont="1" applyProtection="1"/>
    <xf numFmtId="0" fontId="1" fillId="0" borderId="38" xfId="28" applyFont="1" applyFill="1" applyBorder="1" applyAlignment="1" applyProtection="1">
      <alignment horizontal="left" vertical="center" wrapText="1"/>
    </xf>
    <xf numFmtId="164" fontId="1" fillId="0" borderId="27" xfId="35" applyNumberFormat="1" applyFont="1" applyFill="1" applyBorder="1" applyAlignment="1" applyProtection="1">
      <alignment horizontal="center" vertical="center"/>
    </xf>
    <xf numFmtId="164" fontId="1" fillId="0" borderId="4" xfId="35" applyNumberFormat="1" applyFont="1" applyFill="1" applyBorder="1" applyAlignment="1" applyProtection="1">
      <alignment horizontal="center" vertical="center"/>
    </xf>
    <xf numFmtId="164" fontId="1" fillId="0" borderId="28" xfId="35" applyNumberFormat="1" applyFont="1" applyFill="1" applyBorder="1" applyAlignment="1" applyProtection="1">
      <alignment horizontal="center" vertical="center"/>
    </xf>
    <xf numFmtId="9" fontId="1" fillId="10" borderId="27" xfId="33" applyFont="1" applyFill="1" applyBorder="1" applyAlignment="1" applyProtection="1">
      <alignment horizontal="center" vertical="center"/>
    </xf>
    <xf numFmtId="9" fontId="1" fillId="10" borderId="28" xfId="33" applyFont="1" applyFill="1" applyBorder="1" applyAlignment="1" applyProtection="1">
      <alignment horizontal="center" vertical="center"/>
    </xf>
    <xf numFmtId="0" fontId="1" fillId="0" borderId="64" xfId="28" applyFont="1" applyBorder="1" applyAlignment="1" applyProtection="1">
      <alignment horizontal="left" vertical="center" wrapText="1"/>
    </xf>
    <xf numFmtId="167" fontId="1" fillId="10" borderId="29" xfId="28" applyNumberFormat="1" applyFont="1" applyFill="1" applyBorder="1" applyAlignment="1" applyProtection="1">
      <alignment horizontal="center" vertical="center"/>
    </xf>
    <xf numFmtId="167" fontId="1" fillId="10" borderId="31" xfId="28" applyNumberFormat="1" applyFont="1" applyFill="1" applyBorder="1" applyAlignment="1" applyProtection="1">
      <alignment horizontal="center" vertical="center"/>
    </xf>
    <xf numFmtId="0" fontId="4" fillId="0" borderId="61" xfId="16" applyFont="1" applyBorder="1" applyAlignment="1" applyProtection="1">
      <alignment horizontal="center" vertical="center" wrapText="1"/>
    </xf>
    <xf numFmtId="0" fontId="4" fillId="0" borderId="67" xfId="16" applyFont="1" applyBorder="1" applyAlignment="1" applyProtection="1">
      <alignment horizontal="center" vertical="center" wrapText="1"/>
    </xf>
    <xf numFmtId="0" fontId="4" fillId="0" borderId="81" xfId="16" applyFont="1" applyBorder="1" applyAlignment="1" applyProtection="1">
      <alignment horizontal="center" vertical="center" wrapText="1"/>
    </xf>
    <xf numFmtId="0" fontId="4" fillId="0" borderId="82" xfId="16" applyFont="1" applyBorder="1" applyAlignment="1" applyProtection="1">
      <alignment horizontal="center" vertical="center" wrapText="1"/>
    </xf>
    <xf numFmtId="0" fontId="4" fillId="0" borderId="63" xfId="16" applyFont="1" applyFill="1" applyBorder="1" applyAlignment="1" applyProtection="1">
      <alignment horizontal="center" vertical="center" wrapText="1"/>
    </xf>
    <xf numFmtId="0" fontId="4" fillId="0" borderId="4" xfId="16" applyNumberFormat="1" applyFont="1" applyFill="1" applyBorder="1" applyAlignment="1" applyProtection="1">
      <alignment horizontal="center" vertical="center" wrapText="1"/>
    </xf>
    <xf numFmtId="0" fontId="4" fillId="0" borderId="7" xfId="16" applyFont="1" applyBorder="1" applyAlignment="1" applyProtection="1">
      <alignment horizontal="center" vertical="center"/>
    </xf>
    <xf numFmtId="0" fontId="4" fillId="0" borderId="55" xfId="16" applyFont="1" applyFill="1" applyBorder="1" applyAlignment="1" applyProtection="1">
      <alignment horizontal="center" vertical="center" wrapText="1"/>
    </xf>
    <xf numFmtId="0" fontId="4" fillId="0" borderId="1" xfId="16" applyFont="1" applyFill="1" applyBorder="1" applyAlignment="1" applyProtection="1">
      <alignment horizontal="center" vertical="center" wrapText="1"/>
    </xf>
    <xf numFmtId="0" fontId="4" fillId="0" borderId="6" xfId="16" applyFont="1" applyFill="1" applyBorder="1" applyAlignment="1" applyProtection="1">
      <alignment horizontal="center" vertical="center" wrapText="1"/>
    </xf>
    <xf numFmtId="0" fontId="4" fillId="0" borderId="7" xfId="16" applyFont="1" applyFill="1" applyBorder="1" applyAlignment="1" applyProtection="1">
      <alignment horizontal="center" vertical="center"/>
    </xf>
    <xf numFmtId="0" fontId="4" fillId="0" borderId="38" xfId="16" applyFont="1" applyFill="1" applyBorder="1" applyAlignment="1" applyProtection="1">
      <alignment horizontal="center" vertical="center"/>
    </xf>
    <xf numFmtId="0" fontId="4" fillId="0" borderId="38" xfId="16" applyFont="1" applyFill="1" applyBorder="1" applyAlignment="1" applyProtection="1">
      <alignment horizontal="center" vertical="center" wrapText="1"/>
    </xf>
    <xf numFmtId="0" fontId="24" fillId="9" borderId="43" xfId="16" applyNumberFormat="1" applyFont="1" applyFill="1" applyBorder="1" applyAlignment="1" applyProtection="1">
      <alignment horizontal="left" vertical="center"/>
      <protection locked="0"/>
    </xf>
    <xf numFmtId="0" fontId="5" fillId="0" borderId="0" xfId="16" applyAlignment="1" applyProtection="1">
      <alignment horizontal="left"/>
      <protection locked="0"/>
    </xf>
    <xf numFmtId="0" fontId="24" fillId="9" borderId="53" xfId="16" applyNumberFormat="1" applyFont="1" applyFill="1" applyBorder="1" applyAlignment="1" applyProtection="1">
      <alignment horizontal="left" vertical="center"/>
      <protection locked="0"/>
    </xf>
    <xf numFmtId="1" fontId="24" fillId="9" borderId="30" xfId="13" applyNumberFormat="1" applyFont="1" applyFill="1" applyBorder="1" applyAlignment="1" applyProtection="1">
      <alignment horizontal="center"/>
      <protection locked="0"/>
    </xf>
    <xf numFmtId="0" fontId="4" fillId="0" borderId="17" xfId="16" applyFont="1" applyBorder="1" applyAlignment="1" applyProtection="1">
      <alignment horizontal="left" indent="1"/>
    </xf>
    <xf numFmtId="0" fontId="4" fillId="0" borderId="4" xfId="16" applyFont="1" applyBorder="1" applyAlignment="1" applyProtection="1">
      <alignment horizontal="left" indent="1"/>
    </xf>
    <xf numFmtId="0" fontId="4" fillId="0" borderId="0" xfId="0" applyFont="1" applyFill="1" applyBorder="1" applyAlignment="1" applyProtection="1">
      <alignment horizontal="left"/>
    </xf>
    <xf numFmtId="0" fontId="4" fillId="0" borderId="0" xfId="0" applyFont="1" applyFill="1" applyBorder="1" applyAlignment="1" applyProtection="1">
      <alignment horizontal="left" vertical="center"/>
    </xf>
    <xf numFmtId="0" fontId="1" fillId="0" borderId="0" xfId="26" applyFont="1" applyAlignment="1" applyProtection="1">
      <alignment vertical="center"/>
    </xf>
    <xf numFmtId="0" fontId="1" fillId="0" borderId="0" xfId="13" applyFont="1" applyAlignment="1" applyProtection="1">
      <alignment vertical="center"/>
    </xf>
    <xf numFmtId="1" fontId="1" fillId="0" borderId="0" xfId="13" applyNumberFormat="1" applyFont="1" applyAlignment="1" applyProtection="1">
      <alignment vertical="center"/>
    </xf>
    <xf numFmtId="1" fontId="4" fillId="0" borderId="69" xfId="13" applyNumberFormat="1" applyFont="1" applyBorder="1" applyAlignment="1" applyProtection="1">
      <alignment horizontal="centerContinuous" vertical="center"/>
    </xf>
    <xf numFmtId="1" fontId="4" fillId="0" borderId="48" xfId="13" applyNumberFormat="1" applyFont="1" applyBorder="1" applyAlignment="1" applyProtection="1">
      <alignment horizontal="centerContinuous" vertical="center"/>
    </xf>
    <xf numFmtId="1" fontId="4" fillId="0" borderId="47" xfId="13" applyNumberFormat="1" applyFont="1" applyBorder="1" applyAlignment="1" applyProtection="1">
      <alignment horizontal="centerContinuous" vertical="center"/>
    </xf>
    <xf numFmtId="0" fontId="4" fillId="0" borderId="27" xfId="28" applyFont="1" applyFill="1" applyBorder="1" applyAlignment="1" applyProtection="1">
      <alignment horizontal="center" vertical="center"/>
    </xf>
    <xf numFmtId="0" fontId="4" fillId="0" borderId="4" xfId="28" applyFont="1" applyFill="1" applyBorder="1" applyAlignment="1" applyProtection="1">
      <alignment horizontal="center" vertical="center"/>
    </xf>
    <xf numFmtId="0" fontId="4" fillId="0" borderId="28" xfId="28" applyFont="1" applyFill="1" applyBorder="1" applyAlignment="1" applyProtection="1">
      <alignment horizontal="center" vertical="center"/>
    </xf>
    <xf numFmtId="0" fontId="4" fillId="0" borderId="5" xfId="28" applyFont="1" applyFill="1" applyBorder="1" applyAlignment="1" applyProtection="1">
      <alignment horizontal="center" vertical="center"/>
    </xf>
    <xf numFmtId="0" fontId="1" fillId="0" borderId="51" xfId="16" applyFont="1" applyBorder="1" applyAlignment="1" applyProtection="1">
      <alignment horizontal="center" vertical="center"/>
    </xf>
    <xf numFmtId="0" fontId="1" fillId="0" borderId="18" xfId="16" applyFont="1" applyBorder="1" applyAlignment="1" applyProtection="1">
      <alignment horizontal="center" vertical="center"/>
    </xf>
    <xf numFmtId="0" fontId="1" fillId="0" borderId="52" xfId="16" applyFont="1" applyBorder="1" applyAlignment="1" applyProtection="1">
      <alignment horizontal="center" vertical="center"/>
    </xf>
    <xf numFmtId="0" fontId="1" fillId="0" borderId="51" xfId="16" applyFont="1" applyFill="1" applyBorder="1" applyAlignment="1" applyProtection="1">
      <alignment horizontal="center" vertical="center"/>
    </xf>
    <xf numFmtId="0" fontId="1" fillId="0" borderId="52" xfId="16" applyFont="1" applyFill="1" applyBorder="1" applyAlignment="1" applyProtection="1">
      <alignment horizontal="center" vertical="center"/>
    </xf>
    <xf numFmtId="0" fontId="1" fillId="0" borderId="57" xfId="23" applyFont="1" applyFill="1" applyBorder="1" applyAlignment="1" applyProtection="1">
      <alignment vertical="center"/>
    </xf>
    <xf numFmtId="0" fontId="1" fillId="0" borderId="28" xfId="23" applyFont="1" applyFill="1" applyBorder="1" applyAlignment="1" applyProtection="1">
      <alignment vertical="center"/>
    </xf>
    <xf numFmtId="0" fontId="1" fillId="0" borderId="28" xfId="23" applyFont="1" applyBorder="1" applyAlignment="1" applyProtection="1">
      <alignment vertical="center"/>
    </xf>
    <xf numFmtId="0" fontId="4" fillId="0" borderId="59" xfId="23" applyFont="1" applyBorder="1" applyAlignment="1" applyProtection="1">
      <alignment vertical="center"/>
    </xf>
    <xf numFmtId="0" fontId="4" fillId="0" borderId="60" xfId="23" applyFont="1" applyBorder="1" applyAlignment="1" applyProtection="1">
      <alignment vertical="center"/>
    </xf>
    <xf numFmtId="167" fontId="79" fillId="10" borderId="29" xfId="28" applyNumberFormat="1" applyFont="1" applyFill="1" applyBorder="1" applyAlignment="1" applyProtection="1">
      <alignment horizontal="center" vertical="center"/>
    </xf>
    <xf numFmtId="167" fontId="79" fillId="10" borderId="30" xfId="28" applyNumberFormat="1" applyFont="1" applyFill="1" applyBorder="1" applyAlignment="1" applyProtection="1">
      <alignment horizontal="center" vertical="center"/>
    </xf>
    <xf numFmtId="167" fontId="79" fillId="10" borderId="31" xfId="28" applyNumberFormat="1" applyFont="1" applyFill="1" applyBorder="1" applyAlignment="1" applyProtection="1">
      <alignment horizontal="center" vertical="center"/>
    </xf>
    <xf numFmtId="167" fontId="1" fillId="10" borderId="29" xfId="16" applyNumberFormat="1" applyFont="1" applyFill="1" applyBorder="1" applyAlignment="1" applyProtection="1">
      <alignment horizontal="center" vertical="center"/>
    </xf>
    <xf numFmtId="167" fontId="1" fillId="10" borderId="30" xfId="16" applyNumberFormat="1" applyFont="1" applyFill="1" applyBorder="1" applyAlignment="1" applyProtection="1">
      <alignment horizontal="center" vertical="center"/>
    </xf>
    <xf numFmtId="167" fontId="1" fillId="10" borderId="31" xfId="16" applyNumberFormat="1" applyFont="1" applyFill="1" applyBorder="1" applyAlignment="1" applyProtection="1">
      <alignment horizontal="center" vertical="center"/>
    </xf>
    <xf numFmtId="0" fontId="4" fillId="0" borderId="0" xfId="23" applyFont="1" applyBorder="1" applyAlignment="1" applyProtection="1">
      <alignment vertical="center"/>
    </xf>
    <xf numFmtId="0" fontId="54" fillId="0" borderId="0" xfId="28" applyFont="1" applyFill="1" applyBorder="1" applyAlignment="1" applyProtection="1">
      <alignment horizontal="center" vertical="center"/>
    </xf>
    <xf numFmtId="1" fontId="10" fillId="0" borderId="48" xfId="13" applyNumberFormat="1" applyFont="1" applyBorder="1" applyAlignment="1" applyProtection="1">
      <alignment horizontal="centerContinuous"/>
    </xf>
    <xf numFmtId="1" fontId="10" fillId="0" borderId="47" xfId="13" applyNumberFormat="1" applyFont="1" applyBorder="1" applyAlignment="1" applyProtection="1">
      <alignment horizontal="centerContinuous"/>
    </xf>
    <xf numFmtId="1" fontId="10" fillId="0" borderId="69" xfId="13" applyNumberFormat="1" applyFont="1" applyBorder="1" applyAlignment="1" applyProtection="1">
      <alignment horizontal="centerContinuous"/>
    </xf>
    <xf numFmtId="0" fontId="10" fillId="0" borderId="5" xfId="28" applyFont="1" applyFill="1" applyBorder="1" applyAlignment="1" applyProtection="1">
      <alignment horizontal="center" vertical="center"/>
    </xf>
    <xf numFmtId="0" fontId="10" fillId="0" borderId="4" xfId="28" applyFont="1" applyFill="1" applyBorder="1" applyAlignment="1" applyProtection="1">
      <alignment horizontal="center" vertical="center"/>
    </xf>
    <xf numFmtId="0" fontId="10" fillId="0" borderId="28" xfId="28" applyFont="1" applyFill="1" applyBorder="1" applyAlignment="1" applyProtection="1">
      <alignment horizontal="center" vertical="center"/>
    </xf>
    <xf numFmtId="0" fontId="10" fillId="0" borderId="27" xfId="28" applyFont="1" applyFill="1" applyBorder="1" applyAlignment="1" applyProtection="1">
      <alignment horizontal="center" vertical="center"/>
    </xf>
    <xf numFmtId="0" fontId="1" fillId="0" borderId="0" xfId="28" applyFont="1" applyFill="1" applyBorder="1" applyAlignment="1" applyProtection="1">
      <alignment horizontal="left" vertical="center"/>
      <protection locked="0"/>
    </xf>
    <xf numFmtId="0" fontId="1" fillId="0" borderId="56" xfId="23" applyFont="1" applyBorder="1" applyAlignment="1" applyProtection="1">
      <alignment vertical="center"/>
    </xf>
    <xf numFmtId="0" fontId="4" fillId="0" borderId="24" xfId="23" applyFont="1" applyBorder="1" applyAlignment="1" applyProtection="1">
      <alignment vertical="center"/>
    </xf>
    <xf numFmtId="0" fontId="4" fillId="0" borderId="26" xfId="23" applyFont="1" applyBorder="1" applyAlignment="1" applyProtection="1">
      <alignment vertical="center"/>
    </xf>
    <xf numFmtId="167" fontId="10" fillId="10" borderId="74" xfId="28" applyNumberFormat="1" applyFont="1" applyFill="1" applyBorder="1" applyAlignment="1" applyProtection="1">
      <alignment horizontal="center" vertical="center"/>
    </xf>
    <xf numFmtId="167" fontId="10" fillId="10" borderId="72" xfId="28" applyNumberFormat="1" applyFont="1" applyFill="1" applyBorder="1" applyAlignment="1" applyProtection="1">
      <alignment horizontal="center" vertical="center"/>
    </xf>
    <xf numFmtId="167" fontId="10" fillId="10" borderId="73" xfId="28" applyNumberFormat="1" applyFont="1" applyFill="1" applyBorder="1" applyAlignment="1" applyProtection="1">
      <alignment horizontal="center" vertical="center"/>
    </xf>
    <xf numFmtId="167" fontId="10" fillId="10" borderId="68" xfId="28" applyNumberFormat="1" applyFont="1" applyFill="1" applyBorder="1" applyAlignment="1" applyProtection="1">
      <alignment horizontal="center" vertical="center"/>
    </xf>
    <xf numFmtId="167" fontId="10" fillId="10" borderId="45" xfId="28" applyNumberFormat="1" applyFont="1" applyFill="1" applyBorder="1" applyAlignment="1" applyProtection="1">
      <alignment horizontal="center" vertical="center"/>
    </xf>
    <xf numFmtId="167" fontId="10" fillId="10" borderId="30" xfId="28" applyNumberFormat="1" applyFont="1" applyFill="1" applyBorder="1" applyAlignment="1" applyProtection="1">
      <alignment horizontal="center" vertical="center"/>
    </xf>
    <xf numFmtId="167" fontId="10" fillId="10" borderId="31" xfId="28" applyNumberFormat="1" applyFont="1" applyFill="1" applyBorder="1" applyAlignment="1" applyProtection="1">
      <alignment horizontal="center" vertical="center"/>
    </xf>
    <xf numFmtId="167" fontId="10" fillId="10" borderId="29" xfId="28" applyNumberFormat="1" applyFont="1" applyFill="1" applyBorder="1" applyAlignment="1" applyProtection="1">
      <alignment horizontal="center" vertical="center"/>
    </xf>
    <xf numFmtId="0" fontId="1" fillId="0" borderId="28" xfId="28" applyFont="1" applyFill="1" applyBorder="1" applyAlignment="1" applyProtection="1">
      <alignment horizontal="left" vertical="center"/>
    </xf>
    <xf numFmtId="164" fontId="1" fillId="10" borderId="28" xfId="40" applyNumberFormat="1" applyFont="1" applyFill="1" applyBorder="1" applyAlignment="1" applyProtection="1">
      <alignment horizontal="center" vertical="center"/>
    </xf>
    <xf numFmtId="1" fontId="1" fillId="0" borderId="28" xfId="13" applyNumberFormat="1" applyFont="1" applyBorder="1" applyAlignment="1" applyProtection="1">
      <alignment vertical="center"/>
    </xf>
    <xf numFmtId="0" fontId="4" fillId="0" borderId="27" xfId="28" applyFont="1" applyFill="1" applyBorder="1" applyAlignment="1" applyProtection="1">
      <alignment vertical="center"/>
    </xf>
    <xf numFmtId="1" fontId="1" fillId="0" borderId="31" xfId="13" applyNumberFormat="1" applyFont="1" applyBorder="1" applyAlignment="1" applyProtection="1">
      <alignment vertical="center"/>
    </xf>
    <xf numFmtId="167" fontId="8" fillId="10" borderId="45" xfId="28" applyNumberFormat="1" applyFont="1" applyFill="1" applyBorder="1" applyAlignment="1" applyProtection="1">
      <alignment horizontal="center" vertical="center"/>
    </xf>
    <xf numFmtId="167" fontId="8" fillId="10" borderId="60" xfId="28" applyNumberFormat="1" applyFont="1" applyFill="1" applyBorder="1" applyAlignment="1" applyProtection="1">
      <alignment horizontal="center" vertical="center"/>
    </xf>
    <xf numFmtId="167" fontId="8" fillId="10" borderId="29" xfId="28" applyNumberFormat="1" applyFont="1" applyFill="1" applyBorder="1" applyAlignment="1" applyProtection="1">
      <alignment horizontal="center" vertical="center"/>
    </xf>
    <xf numFmtId="164" fontId="1" fillId="10" borderId="31" xfId="40" applyNumberFormat="1" applyFont="1" applyFill="1" applyBorder="1" applyAlignment="1" applyProtection="1">
      <alignment horizontal="center" vertical="center"/>
    </xf>
    <xf numFmtId="0" fontId="4" fillId="0" borderId="17" xfId="25" applyFont="1" applyBorder="1" applyAlignment="1" applyProtection="1">
      <alignment vertical="center"/>
    </xf>
    <xf numFmtId="0" fontId="4" fillId="0" borderId="22" xfId="25" applyFont="1" applyBorder="1" applyAlignment="1" applyProtection="1">
      <alignment vertical="center"/>
    </xf>
    <xf numFmtId="1" fontId="1" fillId="0" borderId="17" xfId="13" applyNumberFormat="1" applyFont="1" applyBorder="1" applyAlignment="1" applyProtection="1">
      <alignment vertical="center"/>
    </xf>
    <xf numFmtId="0" fontId="1" fillId="0" borderId="22" xfId="28" applyFont="1" applyFill="1" applyBorder="1" applyAlignment="1" applyProtection="1">
      <alignment horizontal="left" vertical="center"/>
    </xf>
    <xf numFmtId="0" fontId="1" fillId="0" borderId="17" xfId="28" applyFont="1" applyFill="1" applyBorder="1" applyAlignment="1" applyProtection="1">
      <alignment horizontal="left" vertical="center"/>
    </xf>
    <xf numFmtId="1" fontId="1" fillId="0" borderId="22" xfId="13" applyNumberFormat="1" applyFont="1" applyBorder="1" applyAlignment="1" applyProtection="1">
      <alignment vertical="center"/>
    </xf>
    <xf numFmtId="0" fontId="1" fillId="0" borderId="22" xfId="25" applyFont="1" applyBorder="1" applyAlignment="1" applyProtection="1">
      <alignment horizontal="left" vertical="center"/>
    </xf>
    <xf numFmtId="167" fontId="1" fillId="0" borderId="27" xfId="28" applyNumberFormat="1" applyFont="1" applyFill="1" applyBorder="1" applyAlignment="1" applyProtection="1">
      <alignment horizontal="center" vertical="center"/>
      <protection locked="0"/>
    </xf>
    <xf numFmtId="167" fontId="1" fillId="0" borderId="4" xfId="28" applyNumberFormat="1" applyFont="1" applyFill="1" applyBorder="1" applyAlignment="1" applyProtection="1">
      <alignment horizontal="center" vertical="center"/>
      <protection locked="0"/>
    </xf>
    <xf numFmtId="167" fontId="1" fillId="0" borderId="28" xfId="28" applyNumberFormat="1" applyFont="1" applyFill="1" applyBorder="1" applyAlignment="1" applyProtection="1">
      <alignment horizontal="center" vertical="center"/>
      <protection locked="0"/>
    </xf>
    <xf numFmtId="164" fontId="1" fillId="0" borderId="28" xfId="40" applyNumberFormat="1" applyFont="1" applyFill="1" applyBorder="1" applyAlignment="1" applyProtection="1">
      <alignment horizontal="center" vertical="center"/>
    </xf>
    <xf numFmtId="0" fontId="1" fillId="0" borderId="20" xfId="28" applyFont="1" applyFill="1" applyBorder="1" applyAlignment="1" applyProtection="1">
      <alignment horizontal="left" vertical="center"/>
    </xf>
    <xf numFmtId="0" fontId="1" fillId="0" borderId="0" xfId="26" applyFont="1" applyProtection="1"/>
    <xf numFmtId="1" fontId="1" fillId="0" borderId="0" xfId="13" applyNumberFormat="1" applyFont="1" applyProtection="1"/>
    <xf numFmtId="0" fontId="9" fillId="0" borderId="0" xfId="26" applyFont="1" applyProtection="1"/>
    <xf numFmtId="0" fontId="9" fillId="0" borderId="0" xfId="28" applyFont="1" applyFill="1" applyBorder="1" applyAlignment="1" applyProtection="1">
      <alignment horizontal="left" vertical="center"/>
    </xf>
    <xf numFmtId="1" fontId="9" fillId="0" borderId="0" xfId="13" applyNumberFormat="1" applyFont="1" applyProtection="1"/>
    <xf numFmtId="0" fontId="9" fillId="0" borderId="0" xfId="13" applyFont="1" applyProtection="1"/>
    <xf numFmtId="0" fontId="9" fillId="12" borderId="0" xfId="15" applyFont="1" applyFill="1" applyBorder="1" applyAlignment="1" applyProtection="1"/>
    <xf numFmtId="0" fontId="1" fillId="12" borderId="0" xfId="15" applyFont="1" applyFill="1" applyBorder="1" applyAlignment="1" applyProtection="1"/>
    <xf numFmtId="0" fontId="1" fillId="12" borderId="21" xfId="15" applyFont="1" applyFill="1" applyBorder="1" applyAlignment="1" applyProtection="1"/>
    <xf numFmtId="0" fontId="1" fillId="12" borderId="21" xfId="15" applyFont="1" applyFill="1" applyBorder="1" applyProtection="1"/>
    <xf numFmtId="0" fontId="1" fillId="0" borderId="0" xfId="15" applyFont="1" applyAlignment="1" applyProtection="1">
      <alignment vertical="center"/>
    </xf>
    <xf numFmtId="0" fontId="4" fillId="0" borderId="0" xfId="15" applyFont="1" applyAlignment="1" applyProtection="1">
      <alignment vertical="center"/>
    </xf>
    <xf numFmtId="0" fontId="4" fillId="0" borderId="69" xfId="17" applyFont="1" applyBorder="1" applyAlignment="1" applyProtection="1">
      <alignment horizontal="centerContinuous" vertical="center"/>
    </xf>
    <xf numFmtId="0" fontId="4" fillId="0" borderId="48" xfId="17" applyFont="1" applyBorder="1" applyAlignment="1" applyProtection="1">
      <alignment horizontal="centerContinuous" vertical="center"/>
    </xf>
    <xf numFmtId="0" fontId="1" fillId="0" borderId="47" xfId="17" applyFont="1" applyBorder="1" applyAlignment="1" applyProtection="1">
      <alignment horizontal="centerContinuous" vertical="center"/>
    </xf>
    <xf numFmtId="0" fontId="1" fillId="0" borderId="48" xfId="17" applyFont="1" applyBorder="1" applyAlignment="1" applyProtection="1">
      <alignment horizontal="centerContinuous" vertical="center"/>
    </xf>
    <xf numFmtId="0" fontId="4" fillId="0" borderId="27" xfId="17" applyFont="1" applyBorder="1" applyAlignment="1" applyProtection="1">
      <alignment horizontal="center" vertical="center" wrapText="1"/>
    </xf>
    <xf numFmtId="0" fontId="4" fillId="0" borderId="4" xfId="17" applyFont="1" applyBorder="1" applyAlignment="1" applyProtection="1">
      <alignment horizontal="center" vertical="center" wrapText="1"/>
    </xf>
    <xf numFmtId="0" fontId="4" fillId="0" borderId="28" xfId="17" applyFont="1" applyBorder="1" applyAlignment="1" applyProtection="1">
      <alignment horizontal="center" vertical="center" wrapText="1"/>
    </xf>
    <xf numFmtId="0" fontId="4"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xf>
    <xf numFmtId="0" fontId="1" fillId="0" borderId="27" xfId="15" applyFont="1" applyBorder="1" applyAlignment="1" applyProtection="1">
      <alignment horizontal="left" vertical="center" wrapText="1"/>
    </xf>
    <xf numFmtId="0" fontId="1" fillId="0" borderId="28" xfId="15" applyNumberFormat="1" applyFont="1" applyBorder="1" applyAlignment="1" applyProtection="1">
      <alignment vertical="center" wrapText="1"/>
      <protection locked="0"/>
    </xf>
    <xf numFmtId="0" fontId="1" fillId="0" borderId="0" xfId="15" applyFont="1" applyAlignment="1" applyProtection="1">
      <alignment vertical="center"/>
      <protection locked="0"/>
    </xf>
    <xf numFmtId="0" fontId="4" fillId="0" borderId="59" xfId="15" applyFont="1" applyBorder="1" applyAlignment="1" applyProtection="1">
      <alignment horizontal="left" vertical="center"/>
      <protection locked="0"/>
    </xf>
    <xf numFmtId="0" fontId="1" fillId="0" borderId="31" xfId="15" applyNumberFormat="1" applyFont="1" applyBorder="1" applyAlignment="1" applyProtection="1">
      <alignment vertical="center" wrapText="1"/>
      <protection locked="0"/>
    </xf>
    <xf numFmtId="167" fontId="4" fillId="10" borderId="29" xfId="15" applyNumberFormat="1" applyFont="1" applyFill="1" applyBorder="1" applyAlignment="1" applyProtection="1">
      <alignment horizontal="center" vertical="center"/>
      <protection locked="0"/>
    </xf>
    <xf numFmtId="167" fontId="4" fillId="10" borderId="30" xfId="15" applyNumberFormat="1" applyFont="1" applyFill="1" applyBorder="1" applyAlignment="1" applyProtection="1">
      <alignment horizontal="center" vertical="center"/>
      <protection locked="0"/>
    </xf>
    <xf numFmtId="167" fontId="4" fillId="10" borderId="31" xfId="15" applyNumberFormat="1" applyFont="1" applyFill="1" applyBorder="1" applyAlignment="1" applyProtection="1">
      <alignment horizontal="center" vertical="center"/>
      <protection locked="0"/>
    </xf>
    <xf numFmtId="0" fontId="4" fillId="0" borderId="0" xfId="15" applyFont="1" applyAlignment="1" applyProtection="1">
      <alignment horizontal="left" vertical="center"/>
    </xf>
    <xf numFmtId="0" fontId="1" fillId="0" borderId="0" xfId="15" applyNumberFormat="1" applyFont="1" applyAlignment="1" applyProtection="1">
      <alignment vertical="center" wrapText="1"/>
    </xf>
    <xf numFmtId="0" fontId="1" fillId="0" borderId="0" xfId="15" applyFont="1" applyFill="1" applyAlignment="1" applyProtection="1">
      <alignment vertical="center"/>
    </xf>
    <xf numFmtId="0" fontId="4" fillId="0" borderId="5" xfId="17" applyFont="1" applyBorder="1" applyAlignment="1" applyProtection="1">
      <alignment horizontal="center" vertical="center" wrapText="1"/>
    </xf>
    <xf numFmtId="0" fontId="1" fillId="0" borderId="56" xfId="15" applyNumberFormat="1" applyFont="1" applyBorder="1" applyAlignment="1" applyProtection="1">
      <alignment vertical="center" wrapText="1"/>
    </xf>
    <xf numFmtId="0" fontId="4" fillId="0" borderId="20" xfId="15" applyFont="1" applyBorder="1" applyAlignment="1" applyProtection="1">
      <alignment horizontal="left" vertical="center"/>
    </xf>
    <xf numFmtId="0" fontId="1" fillId="0" borderId="31" xfId="15" applyNumberFormat="1" applyFont="1" applyBorder="1" applyAlignment="1" applyProtection="1">
      <alignment vertical="center" wrapText="1"/>
    </xf>
    <xf numFmtId="167" fontId="4" fillId="10" borderId="45" xfId="15" applyNumberFormat="1" applyFont="1" applyFill="1" applyBorder="1" applyAlignment="1" applyProtection="1">
      <alignment horizontal="center" vertical="center"/>
    </xf>
    <xf numFmtId="167" fontId="4" fillId="10" borderId="30" xfId="15" applyNumberFormat="1" applyFont="1" applyFill="1" applyBorder="1" applyAlignment="1" applyProtection="1">
      <alignment horizontal="center" vertical="center"/>
    </xf>
    <xf numFmtId="167" fontId="4" fillId="10" borderId="31" xfId="15"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xf>
    <xf numFmtId="0" fontId="1" fillId="0" borderId="69" xfId="15" applyFont="1" applyBorder="1" applyAlignment="1" applyProtection="1">
      <alignment vertical="center"/>
    </xf>
    <xf numFmtId="0" fontId="4" fillId="0" borderId="67" xfId="15" applyFont="1" applyBorder="1" applyAlignment="1" applyProtection="1">
      <alignment horizontal="center" vertical="center" wrapText="1"/>
    </xf>
    <xf numFmtId="0" fontId="4" fillId="0" borderId="81" xfId="15" applyFont="1" applyBorder="1" applyAlignment="1" applyProtection="1">
      <alignment horizontal="center" vertical="center" wrapText="1"/>
    </xf>
    <xf numFmtId="0" fontId="4" fillId="0" borderId="82" xfId="15" applyFont="1" applyBorder="1" applyAlignment="1" applyProtection="1">
      <alignment horizontal="center" vertical="center" wrapText="1"/>
    </xf>
    <xf numFmtId="0" fontId="1" fillId="0" borderId="43" xfId="15" applyFont="1" applyBorder="1" applyAlignment="1" applyProtection="1">
      <alignment horizontal="left" vertical="center" wrapText="1"/>
    </xf>
    <xf numFmtId="1" fontId="1" fillId="0" borderId="27" xfId="29" applyNumberFormat="1" applyFont="1" applyFill="1" applyBorder="1" applyAlignment="1" applyProtection="1">
      <alignment horizontal="center" vertical="center"/>
    </xf>
    <xf numFmtId="1" fontId="1" fillId="0" borderId="4" xfId="29" applyNumberFormat="1" applyFont="1" applyFill="1" applyBorder="1" applyAlignment="1" applyProtection="1">
      <alignment horizontal="center" vertical="center"/>
    </xf>
    <xf numFmtId="1" fontId="1" fillId="0" borderId="28" xfId="29" applyNumberFormat="1" applyFont="1" applyFill="1" applyBorder="1" applyAlignment="1" applyProtection="1">
      <alignment horizontal="center" vertical="center"/>
    </xf>
    <xf numFmtId="0" fontId="4" fillId="0" borderId="59" xfId="15" applyFont="1" applyBorder="1" applyAlignment="1" applyProtection="1">
      <alignment horizontal="left" vertical="center"/>
    </xf>
    <xf numFmtId="1" fontId="4" fillId="10" borderId="29" xfId="15" applyNumberFormat="1" applyFont="1" applyFill="1" applyBorder="1" applyAlignment="1" applyProtection="1">
      <alignment horizontal="center" vertical="center" wrapText="1"/>
    </xf>
    <xf numFmtId="1" fontId="4" fillId="10" borderId="30" xfId="15" applyNumberFormat="1" applyFont="1" applyFill="1" applyBorder="1" applyAlignment="1" applyProtection="1">
      <alignment horizontal="center" vertical="center" wrapText="1"/>
    </xf>
    <xf numFmtId="1" fontId="4" fillId="10" borderId="31" xfId="15" applyNumberFormat="1" applyFont="1" applyFill="1" applyBorder="1" applyAlignment="1" applyProtection="1">
      <alignment horizontal="center" vertical="center" wrapText="1"/>
    </xf>
    <xf numFmtId="0" fontId="4" fillId="0" borderId="0" xfId="15" applyFont="1" applyBorder="1" applyAlignment="1" applyProtection="1">
      <alignment vertical="center"/>
    </xf>
    <xf numFmtId="0" fontId="4" fillId="0" borderId="55" xfId="15" applyFont="1" applyBorder="1" applyAlignment="1" applyProtection="1">
      <alignment horizontal="center" vertical="center" wrapText="1"/>
    </xf>
    <xf numFmtId="0" fontId="1" fillId="0" borderId="66" xfId="15" applyFont="1" applyBorder="1" applyAlignment="1" applyProtection="1">
      <alignment horizontal="center" vertical="center" wrapText="1"/>
    </xf>
    <xf numFmtId="0" fontId="4" fillId="0" borderId="37" xfId="15" applyFont="1" applyBorder="1" applyAlignment="1" applyProtection="1">
      <alignment horizontal="center" vertical="center" wrapText="1"/>
    </xf>
    <xf numFmtId="0" fontId="4" fillId="0" borderId="1" xfId="15" applyFont="1" applyFill="1" applyBorder="1" applyAlignment="1" applyProtection="1">
      <alignment horizontal="center" vertical="center" wrapText="1"/>
    </xf>
    <xf numFmtId="0" fontId="4" fillId="0" borderId="28" xfId="15" applyFont="1" applyFill="1" applyBorder="1" applyAlignment="1" applyProtection="1">
      <alignment horizontal="center" vertical="center" wrapText="1"/>
    </xf>
    <xf numFmtId="0" fontId="1" fillId="0" borderId="0" xfId="15" applyFont="1" applyFill="1" applyBorder="1" applyAlignment="1" applyProtection="1">
      <alignment vertical="center"/>
    </xf>
    <xf numFmtId="0" fontId="1" fillId="0" borderId="63" xfId="15" applyFont="1" applyBorder="1" applyAlignment="1" applyProtection="1">
      <alignment horizontal="center" vertical="center" wrapText="1"/>
    </xf>
    <xf numFmtId="0" fontId="4" fillId="0" borderId="49" xfId="15" applyFont="1" applyBorder="1" applyAlignment="1" applyProtection="1">
      <alignment horizontal="center" vertical="center" wrapText="1"/>
    </xf>
    <xf numFmtId="0" fontId="1" fillId="0" borderId="51" xfId="15" applyFont="1" applyBorder="1" applyAlignment="1" applyProtection="1">
      <alignment horizontal="left" vertical="center" wrapText="1"/>
    </xf>
    <xf numFmtId="1" fontId="1" fillId="0" borderId="49" xfId="29" applyNumberFormat="1" applyFont="1" applyFill="1" applyBorder="1" applyAlignment="1" applyProtection="1">
      <alignment horizontal="center" vertical="center"/>
    </xf>
    <xf numFmtId="0" fontId="4" fillId="0" borderId="0" xfId="15" applyFont="1" applyBorder="1" applyAlignment="1" applyProtection="1">
      <alignment horizontal="left" vertical="center"/>
    </xf>
    <xf numFmtId="0" fontId="1" fillId="0" borderId="0" xfId="15" applyNumberFormat="1" applyFont="1" applyFill="1" applyBorder="1" applyAlignment="1" applyProtection="1">
      <alignment vertical="center" wrapText="1"/>
    </xf>
    <xf numFmtId="0" fontId="4" fillId="0" borderId="11" xfId="15" applyFont="1" applyBorder="1" applyAlignment="1" applyProtection="1">
      <alignment horizontal="centerContinuous" vertical="center"/>
    </xf>
    <xf numFmtId="0" fontId="4" fillId="0" borderId="18" xfId="15" applyFont="1" applyBorder="1" applyAlignment="1" applyProtection="1">
      <alignment horizontal="centerContinuous" vertical="center"/>
    </xf>
    <xf numFmtId="0" fontId="4" fillId="0" borderId="52" xfId="15" applyFont="1" applyBorder="1" applyAlignment="1" applyProtection="1">
      <alignment horizontal="centerContinuous" vertical="center"/>
    </xf>
    <xf numFmtId="0" fontId="4" fillId="11" borderId="28" xfId="15" applyFont="1" applyFill="1" applyBorder="1" applyAlignment="1" applyProtection="1">
      <alignment horizontal="center" vertical="center" wrapText="1"/>
    </xf>
    <xf numFmtId="0" fontId="4" fillId="0" borderId="4" xfId="15" applyFont="1" applyFill="1" applyBorder="1" applyAlignment="1" applyProtection="1">
      <alignment horizontal="left" vertical="center" wrapText="1"/>
    </xf>
    <xf numFmtId="0" fontId="1" fillId="0" borderId="63" xfId="15" applyFont="1" applyBorder="1" applyAlignment="1" applyProtection="1">
      <alignment horizontal="left" vertical="center" wrapText="1"/>
    </xf>
    <xf numFmtId="0" fontId="1" fillId="11" borderId="3" xfId="29" applyFont="1" applyFill="1" applyBorder="1" applyAlignment="1" applyProtection="1">
      <alignment horizontal="center" vertical="center"/>
    </xf>
    <xf numFmtId="0" fontId="1" fillId="0" borderId="38" xfId="15" applyFont="1" applyBorder="1" applyAlignment="1" applyProtection="1">
      <alignment horizontal="left" vertical="center" wrapText="1"/>
    </xf>
    <xf numFmtId="0" fontId="1" fillId="11" borderId="4" xfId="29" applyFont="1" applyFill="1" applyBorder="1" applyAlignment="1" applyProtection="1">
      <alignment horizontal="center" vertical="center"/>
    </xf>
    <xf numFmtId="0" fontId="4" fillId="0" borderId="64" xfId="15" applyFont="1" applyBorder="1" applyAlignment="1" applyProtection="1">
      <alignment horizontal="left" vertical="center"/>
    </xf>
    <xf numFmtId="1" fontId="4" fillId="10" borderId="45" xfId="15" applyNumberFormat="1" applyFont="1" applyFill="1" applyBorder="1" applyAlignment="1" applyProtection="1">
      <alignment horizontal="center" vertical="center" wrapText="1"/>
    </xf>
    <xf numFmtId="0" fontId="4" fillId="11" borderId="31" xfId="15" applyNumberFormat="1" applyFont="1" applyFill="1" applyBorder="1" applyAlignment="1" applyProtection="1">
      <alignment horizontal="center" vertical="center" wrapText="1"/>
    </xf>
    <xf numFmtId="0" fontId="4" fillId="0" borderId="14" xfId="15" applyFont="1" applyBorder="1" applyAlignment="1" applyProtection="1">
      <alignment horizontal="left" vertical="center"/>
    </xf>
    <xf numFmtId="0" fontId="1" fillId="0" borderId="14" xfId="15" applyNumberFormat="1" applyFont="1" applyFill="1" applyBorder="1" applyAlignment="1" applyProtection="1">
      <alignment vertical="center" wrapText="1"/>
    </xf>
    <xf numFmtId="167" fontId="1" fillId="0" borderId="49" xfId="29" applyNumberFormat="1" applyFont="1" applyFill="1" applyBorder="1" applyAlignment="1" applyProtection="1">
      <alignment horizontal="center" vertical="center"/>
    </xf>
    <xf numFmtId="167" fontId="4" fillId="10" borderId="29" xfId="15" applyNumberFormat="1" applyFont="1" applyFill="1" applyBorder="1" applyAlignment="1" applyProtection="1">
      <alignment horizontal="center" vertical="center" wrapText="1"/>
    </xf>
    <xf numFmtId="167" fontId="4" fillId="10" borderId="30" xfId="15" applyNumberFormat="1" applyFont="1" applyFill="1" applyBorder="1" applyAlignment="1" applyProtection="1">
      <alignment horizontal="center" vertical="center" wrapText="1"/>
    </xf>
    <xf numFmtId="0" fontId="1" fillId="0" borderId="14" xfId="15" applyFont="1" applyBorder="1" applyAlignment="1" applyProtection="1">
      <alignment vertical="center"/>
    </xf>
    <xf numFmtId="0" fontId="4" fillId="11" borderId="56" xfId="15" applyFont="1" applyFill="1" applyBorder="1" applyAlignment="1" applyProtection="1">
      <alignment horizontal="center" vertical="center" wrapText="1"/>
    </xf>
    <xf numFmtId="167" fontId="1" fillId="0" borderId="3" xfId="29" applyNumberFormat="1" applyFont="1" applyFill="1" applyBorder="1" applyAlignment="1" applyProtection="1">
      <alignment horizontal="center" vertical="center"/>
    </xf>
    <xf numFmtId="167" fontId="1" fillId="0" borderId="27" xfId="29" applyNumberFormat="1" applyFont="1" applyFill="1" applyBorder="1" applyAlignment="1" applyProtection="1">
      <alignment horizontal="center" vertical="center"/>
    </xf>
    <xf numFmtId="167" fontId="1" fillId="0" borderId="4" xfId="29" applyNumberFormat="1" applyFont="1" applyFill="1" applyBorder="1" applyAlignment="1" applyProtection="1">
      <alignment horizontal="center" vertical="center"/>
    </xf>
    <xf numFmtId="0" fontId="1" fillId="0" borderId="59" xfId="15" applyFont="1" applyBorder="1" applyAlignment="1" applyProtection="1">
      <alignment horizontal="left" vertical="center" wrapText="1"/>
    </xf>
    <xf numFmtId="167" fontId="1" fillId="0" borderId="29" xfId="29" applyNumberFormat="1" applyFont="1" applyFill="1" applyBorder="1" applyAlignment="1" applyProtection="1">
      <alignment horizontal="center" vertical="center"/>
    </xf>
    <xf numFmtId="167" fontId="1" fillId="0" borderId="30" xfId="29" applyNumberFormat="1" applyFont="1" applyFill="1" applyBorder="1" applyAlignment="1" applyProtection="1">
      <alignment horizontal="center" vertical="center"/>
    </xf>
    <xf numFmtId="0" fontId="1" fillId="0" borderId="62" xfId="15" applyFont="1" applyBorder="1" applyAlignment="1" applyProtection="1">
      <alignment vertical="center"/>
    </xf>
    <xf numFmtId="1" fontId="1" fillId="0" borderId="3" xfId="29" applyNumberFormat="1" applyFont="1" applyFill="1" applyBorder="1" applyAlignment="1" applyProtection="1">
      <alignment horizontal="center" vertical="center"/>
    </xf>
    <xf numFmtId="1" fontId="1" fillId="0" borderId="57" xfId="29" applyNumberFormat="1" applyFont="1" applyFill="1" applyBorder="1" applyAlignment="1" applyProtection="1">
      <alignment horizontal="center" vertical="center"/>
    </xf>
    <xf numFmtId="0" fontId="4" fillId="0" borderId="7" xfId="15" applyFont="1" applyBorder="1" applyAlignment="1" applyProtection="1">
      <alignment horizontal="centerContinuous" vertical="center"/>
    </xf>
    <xf numFmtId="0" fontId="4" fillId="0" borderId="16" xfId="15" applyFont="1" applyBorder="1" applyAlignment="1" applyProtection="1">
      <alignment horizontal="centerContinuous" vertical="center"/>
    </xf>
    <xf numFmtId="0" fontId="4" fillId="0" borderId="44" xfId="15" applyFont="1" applyBorder="1" applyAlignment="1" applyProtection="1">
      <alignment horizontal="centerContinuous" vertical="center"/>
    </xf>
    <xf numFmtId="0" fontId="4" fillId="11" borderId="65" xfId="15" applyNumberFormat="1" applyFont="1" applyFill="1" applyBorder="1" applyAlignment="1" applyProtection="1">
      <alignment horizontal="center" vertical="center" wrapText="1"/>
    </xf>
    <xf numFmtId="0" fontId="1" fillId="11" borderId="30" xfId="29" applyFont="1" applyFill="1" applyBorder="1" applyAlignment="1" applyProtection="1">
      <alignment horizontal="center" vertical="center"/>
    </xf>
    <xf numFmtId="0" fontId="1" fillId="0" borderId="0" xfId="15" applyFont="1" applyProtection="1"/>
    <xf numFmtId="1" fontId="4" fillId="0" borderId="69" xfId="25" applyNumberFormat="1" applyFont="1" applyBorder="1" applyAlignment="1" applyProtection="1">
      <alignment horizontal="centerContinuous" wrapText="1"/>
    </xf>
    <xf numFmtId="1" fontId="4" fillId="0" borderId="55" xfId="25" applyNumberFormat="1" applyFont="1" applyBorder="1" applyAlignment="1" applyProtection="1">
      <alignment horizontal="center" vertical="center" wrapText="1"/>
    </xf>
    <xf numFmtId="1" fontId="4" fillId="0" borderId="56" xfId="25" applyNumberFormat="1" applyFont="1" applyBorder="1" applyAlignment="1" applyProtection="1">
      <alignment horizontal="center" vertical="center" wrapText="1"/>
    </xf>
    <xf numFmtId="1" fontId="4" fillId="0" borderId="40" xfId="25" applyNumberFormat="1" applyFont="1" applyBorder="1" applyAlignment="1" applyProtection="1">
      <alignment horizontal="center"/>
    </xf>
    <xf numFmtId="1" fontId="4" fillId="0" borderId="58" xfId="25" applyNumberFormat="1" applyFont="1" applyBorder="1" applyAlignment="1" applyProtection="1">
      <alignment horizontal="center"/>
    </xf>
    <xf numFmtId="0" fontId="4" fillId="0" borderId="0" xfId="25" applyFont="1" applyBorder="1" applyAlignment="1" applyProtection="1"/>
    <xf numFmtId="0" fontId="4" fillId="0" borderId="0" xfId="25" applyFont="1" applyBorder="1" applyProtection="1"/>
    <xf numFmtId="1" fontId="4" fillId="0" borderId="20" xfId="25" applyNumberFormat="1" applyFont="1" applyBorder="1" applyProtection="1"/>
    <xf numFmtId="1" fontId="4" fillId="0" borderId="21" xfId="25" applyNumberFormat="1" applyFont="1" applyBorder="1" applyProtection="1"/>
    <xf numFmtId="0" fontId="4" fillId="0" borderId="14" xfId="25" applyFont="1" applyBorder="1" applyAlignment="1" applyProtection="1"/>
    <xf numFmtId="0" fontId="4" fillId="0" borderId="14" xfId="25" applyFont="1" applyBorder="1" applyProtection="1"/>
    <xf numFmtId="0" fontId="4" fillId="0" borderId="21" xfId="25" applyFont="1" applyBorder="1" applyProtection="1"/>
    <xf numFmtId="174" fontId="8" fillId="0" borderId="0" xfId="0" applyNumberFormat="1" applyFont="1" applyAlignment="1">
      <alignment horizontal="right"/>
    </xf>
    <xf numFmtId="174" fontId="16" fillId="9" borderId="62" xfId="0" applyNumberFormat="1" applyFont="1" applyFill="1" applyBorder="1" applyAlignment="1" applyProtection="1">
      <alignment horizontal="right"/>
      <protection locked="0"/>
    </xf>
    <xf numFmtId="174" fontId="16" fillId="9" borderId="38" xfId="0" applyNumberFormat="1" applyFont="1" applyFill="1" applyBorder="1" applyAlignment="1" applyProtection="1">
      <alignment horizontal="right"/>
      <protection locked="0"/>
    </xf>
    <xf numFmtId="174" fontId="16" fillId="9" borderId="49" xfId="0" applyNumberFormat="1" applyFont="1" applyFill="1" applyBorder="1" applyAlignment="1" applyProtection="1">
      <alignment horizontal="right"/>
      <protection locked="0"/>
    </xf>
    <xf numFmtId="174" fontId="8" fillId="2" borderId="63" xfId="0" applyNumberFormat="1" applyFont="1" applyFill="1" applyBorder="1" applyAlignment="1">
      <alignment horizontal="right"/>
    </xf>
    <xf numFmtId="174" fontId="16" fillId="9" borderId="64" xfId="0" applyNumberFormat="1" applyFont="1" applyFill="1" applyBorder="1" applyAlignment="1" applyProtection="1">
      <alignment horizontal="right"/>
      <protection locked="0"/>
    </xf>
    <xf numFmtId="174" fontId="16" fillId="9" borderId="63" xfId="0" applyNumberFormat="1" applyFont="1" applyFill="1" applyBorder="1" applyAlignment="1" applyProtection="1">
      <alignment horizontal="right"/>
      <protection locked="0"/>
    </xf>
    <xf numFmtId="174" fontId="8" fillId="2" borderId="38" xfId="0" applyNumberFormat="1" applyFont="1" applyFill="1" applyBorder="1" applyAlignment="1">
      <alignment horizontal="right"/>
    </xf>
    <xf numFmtId="174" fontId="16" fillId="9" borderId="29" xfId="0" applyNumberFormat="1" applyFont="1" applyFill="1" applyBorder="1" applyAlignment="1" applyProtection="1">
      <alignment horizontal="right"/>
      <protection locked="0"/>
    </xf>
    <xf numFmtId="174" fontId="16" fillId="9" borderId="65" xfId="0" applyNumberFormat="1" applyFont="1" applyFill="1" applyBorder="1" applyAlignment="1" applyProtection="1">
      <alignment horizontal="right"/>
      <protection locked="0"/>
    </xf>
    <xf numFmtId="174" fontId="8" fillId="2" borderId="66" xfId="0" applyNumberFormat="1" applyFont="1" applyFill="1" applyBorder="1" applyAlignment="1">
      <alignment horizontal="right"/>
    </xf>
    <xf numFmtId="174" fontId="16" fillId="9" borderId="66" xfId="0" applyNumberFormat="1" applyFont="1" applyFill="1" applyBorder="1" applyAlignment="1" applyProtection="1">
      <alignment horizontal="right"/>
      <protection locked="0"/>
    </xf>
    <xf numFmtId="174" fontId="8" fillId="2" borderId="62" xfId="0" applyNumberFormat="1" applyFont="1" applyFill="1" applyBorder="1" applyAlignment="1">
      <alignment horizontal="right"/>
    </xf>
    <xf numFmtId="174" fontId="8" fillId="2" borderId="64" xfId="0" applyNumberFormat="1" applyFont="1" applyFill="1" applyBorder="1" applyAlignment="1">
      <alignment horizontal="right"/>
    </xf>
    <xf numFmtId="174" fontId="8" fillId="2" borderId="61" xfId="0" applyNumberFormat="1" applyFont="1" applyFill="1" applyBorder="1" applyAlignment="1">
      <alignment horizontal="right"/>
    </xf>
    <xf numFmtId="174" fontId="16" fillId="9" borderId="61" xfId="0" applyNumberFormat="1" applyFont="1" applyFill="1" applyBorder="1" applyAlignment="1" applyProtection="1">
      <alignment horizontal="right"/>
      <protection locked="0"/>
    </xf>
    <xf numFmtId="174" fontId="16" fillId="11" borderId="20" xfId="0" applyNumberFormat="1" applyFont="1" applyFill="1" applyBorder="1" applyAlignment="1">
      <alignment horizontal="right"/>
    </xf>
    <xf numFmtId="174" fontId="16" fillId="11" borderId="21" xfId="0" applyNumberFormat="1" applyFont="1" applyFill="1" applyBorder="1" applyAlignment="1">
      <alignment horizontal="right"/>
    </xf>
    <xf numFmtId="174" fontId="8" fillId="11" borderId="39" xfId="0" applyNumberFormat="1" applyFont="1" applyFill="1" applyBorder="1" applyAlignment="1">
      <alignment horizontal="right"/>
    </xf>
    <xf numFmtId="174" fontId="8" fillId="0" borderId="0" xfId="0" applyNumberFormat="1" applyFont="1" applyFill="1" applyAlignment="1">
      <alignment horizontal="right"/>
    </xf>
    <xf numFmtId="174" fontId="16" fillId="9" borderId="39" xfId="0" applyNumberFormat="1" applyFont="1" applyFill="1" applyBorder="1" applyAlignment="1" applyProtection="1">
      <alignment horizontal="right"/>
      <protection locked="0"/>
    </xf>
    <xf numFmtId="174" fontId="16" fillId="11" borderId="61" xfId="0" applyNumberFormat="1" applyFont="1" applyFill="1" applyBorder="1" applyAlignment="1" applyProtection="1">
      <alignment horizontal="right"/>
    </xf>
    <xf numFmtId="174" fontId="8" fillId="11" borderId="61" xfId="0" applyNumberFormat="1" applyFont="1" applyFill="1" applyBorder="1" applyAlignment="1" applyProtection="1">
      <alignment horizontal="right"/>
    </xf>
    <xf numFmtId="174" fontId="10" fillId="2" borderId="39" xfId="0" applyNumberFormat="1" applyFont="1" applyFill="1" applyBorder="1" applyAlignment="1">
      <alignment horizontal="right"/>
    </xf>
    <xf numFmtId="174" fontId="10" fillId="0" borderId="0" xfId="0" applyNumberFormat="1" applyFont="1" applyAlignment="1">
      <alignment horizontal="right"/>
    </xf>
    <xf numFmtId="174" fontId="16" fillId="9" borderId="52" xfId="0" applyNumberFormat="1" applyFont="1" applyFill="1" applyBorder="1" applyAlignment="1" applyProtection="1">
      <alignment horizontal="right"/>
      <protection locked="0"/>
    </xf>
    <xf numFmtId="174" fontId="16" fillId="9" borderId="54" xfId="0" applyNumberFormat="1" applyFont="1" applyFill="1" applyBorder="1" applyAlignment="1" applyProtection="1">
      <alignment horizontal="right"/>
      <protection locked="0"/>
    </xf>
    <xf numFmtId="174" fontId="16" fillId="9" borderId="68" xfId="0" applyNumberFormat="1" applyFont="1" applyFill="1" applyBorder="1" applyAlignment="1" applyProtection="1">
      <alignment horizontal="right"/>
      <protection locked="0"/>
    </xf>
    <xf numFmtId="174" fontId="10" fillId="2" borderId="26" xfId="0" applyNumberFormat="1" applyFont="1" applyFill="1" applyBorder="1" applyAlignment="1">
      <alignment horizontal="right"/>
    </xf>
    <xf numFmtId="174" fontId="16" fillId="9" borderId="5" xfId="0" applyNumberFormat="1" applyFont="1" applyFill="1" applyBorder="1" applyAlignment="1" applyProtection="1">
      <protection locked="0"/>
    </xf>
    <xf numFmtId="174" fontId="16" fillId="9" borderId="38" xfId="0" applyNumberFormat="1" applyFont="1" applyFill="1" applyBorder="1" applyAlignment="1" applyProtection="1">
      <protection locked="0"/>
    </xf>
    <xf numFmtId="174" fontId="8" fillId="2" borderId="63" xfId="0" applyNumberFormat="1" applyFont="1" applyFill="1" applyBorder="1" applyAlignment="1"/>
    <xf numFmtId="174" fontId="16" fillId="9" borderId="64" xfId="0" applyNumberFormat="1" applyFont="1" applyFill="1" applyBorder="1" applyAlignment="1" applyProtection="1">
      <protection locked="0"/>
    </xf>
    <xf numFmtId="174" fontId="8" fillId="2" borderId="64" xfId="0" applyNumberFormat="1" applyFont="1" applyFill="1" applyBorder="1" applyAlignment="1"/>
    <xf numFmtId="174" fontId="8" fillId="2" borderId="61" xfId="0" applyNumberFormat="1" applyFont="1" applyFill="1" applyBorder="1" applyAlignment="1"/>
    <xf numFmtId="174" fontId="10" fillId="2" borderId="62" xfId="0" applyNumberFormat="1" applyFont="1" applyFill="1" applyBorder="1" applyAlignment="1"/>
    <xf numFmtId="174" fontId="10" fillId="2" borderId="64" xfId="0" applyNumberFormat="1" applyFont="1" applyFill="1" applyBorder="1" applyAlignment="1"/>
    <xf numFmtId="174" fontId="0" fillId="2" borderId="61" xfId="0" applyNumberFormat="1" applyFill="1" applyBorder="1" applyAlignment="1"/>
    <xf numFmtId="174" fontId="8" fillId="0" borderId="38" xfId="0" applyNumberFormat="1" applyFont="1" applyFill="1" applyBorder="1" applyAlignment="1" applyProtection="1">
      <protection locked="0"/>
    </xf>
    <xf numFmtId="174" fontId="23" fillId="9" borderId="17" xfId="0" applyNumberFormat="1" applyFont="1" applyFill="1" applyBorder="1" applyAlignment="1" applyProtection="1">
      <protection locked="0"/>
    </xf>
    <xf numFmtId="174" fontId="11" fillId="0" borderId="22" xfId="0" applyNumberFormat="1" applyFont="1" applyFill="1" applyBorder="1" applyAlignment="1" applyProtection="1"/>
    <xf numFmtId="174" fontId="23" fillId="9" borderId="51" xfId="0" applyNumberFormat="1" applyFont="1" applyFill="1" applyBorder="1" applyAlignment="1" applyProtection="1">
      <protection locked="0"/>
    </xf>
    <xf numFmtId="174" fontId="11" fillId="0" borderId="17" xfId="0" applyNumberFormat="1" applyFont="1" applyFill="1" applyBorder="1" applyAlignment="1" applyProtection="1"/>
    <xf numFmtId="174" fontId="23" fillId="0" borderId="22" xfId="0" applyNumberFormat="1" applyFont="1" applyFill="1" applyBorder="1" applyAlignment="1" applyProtection="1"/>
    <xf numFmtId="174" fontId="11" fillId="0" borderId="20" xfId="0" applyNumberFormat="1" applyFont="1" applyFill="1" applyBorder="1" applyAlignment="1" applyProtection="1"/>
    <xf numFmtId="174" fontId="12" fillId="2" borderId="85" xfId="0" applyNumberFormat="1" applyFont="1" applyFill="1" applyBorder="1" applyAlignment="1" applyProtection="1"/>
    <xf numFmtId="174" fontId="23" fillId="9" borderId="33" xfId="0" applyNumberFormat="1" applyFont="1" applyFill="1" applyBorder="1" applyAlignment="1" applyProtection="1">
      <protection locked="0"/>
    </xf>
    <xf numFmtId="174" fontId="12" fillId="2" borderId="77" xfId="0" applyNumberFormat="1" applyFont="1" applyFill="1" applyBorder="1" applyAlignment="1" applyProtection="1">
      <protection locked="0"/>
    </xf>
    <xf numFmtId="178" fontId="38" fillId="9" borderId="2" xfId="0" applyNumberFormat="1" applyFont="1" applyFill="1" applyBorder="1" applyAlignment="1" applyProtection="1">
      <alignment horizontal="left"/>
      <protection locked="0"/>
    </xf>
    <xf numFmtId="174" fontId="23" fillId="9" borderId="9" xfId="0" applyNumberFormat="1" applyFont="1" applyFill="1" applyBorder="1" applyAlignment="1" applyProtection="1">
      <alignment horizontal="right"/>
      <protection locked="0"/>
    </xf>
    <xf numFmtId="174" fontId="11" fillId="2" borderId="2" xfId="27" applyNumberFormat="1" applyFont="1" applyFill="1" applyBorder="1"/>
    <xf numFmtId="178" fontId="38" fillId="9" borderId="1" xfId="0" applyNumberFormat="1" applyFont="1" applyFill="1" applyBorder="1" applyAlignment="1" applyProtection="1">
      <alignment horizontal="left"/>
      <protection locked="0"/>
    </xf>
    <xf numFmtId="178" fontId="38" fillId="9" borderId="3" xfId="0" applyNumberFormat="1" applyFont="1" applyFill="1" applyBorder="1" applyAlignment="1" applyProtection="1">
      <alignment horizontal="left"/>
      <protection locked="0"/>
    </xf>
    <xf numFmtId="174" fontId="12" fillId="2" borderId="38" xfId="0" applyNumberFormat="1" applyFont="1" applyFill="1" applyBorder="1" applyAlignment="1" applyProtection="1"/>
    <xf numFmtId="0" fontId="11" fillId="0" borderId="0" xfId="0" applyFont="1" applyFill="1" applyBorder="1" applyAlignment="1"/>
    <xf numFmtId="0" fontId="17" fillId="0" borderId="0" xfId="11" applyFont="1" applyAlignment="1" applyProtection="1"/>
    <xf numFmtId="0" fontId="2" fillId="0" borderId="0" xfId="0" applyFont="1" applyBorder="1"/>
    <xf numFmtId="0" fontId="2" fillId="0" borderId="0" xfId="0" applyFont="1" applyFill="1" applyBorder="1" applyAlignment="1">
      <alignment vertical="top" wrapText="1"/>
    </xf>
    <xf numFmtId="0" fontId="2" fillId="0" borderId="22" xfId="0" applyFont="1" applyBorder="1"/>
    <xf numFmtId="0" fontId="9" fillId="0" borderId="0" xfId="0" applyFont="1" applyFill="1" applyBorder="1"/>
    <xf numFmtId="166" fontId="9" fillId="4" borderId="0" xfId="7" applyNumberFormat="1" applyFont="1" applyFill="1"/>
    <xf numFmtId="166" fontId="9" fillId="0" borderId="18" xfId="7" applyNumberFormat="1" applyFont="1" applyBorder="1"/>
    <xf numFmtId="166" fontId="9" fillId="5" borderId="0" xfId="7" applyNumberFormat="1" applyFont="1" applyFill="1" applyBorder="1"/>
    <xf numFmtId="166" fontId="9" fillId="0" borderId="0" xfId="7" applyNumberFormat="1" applyFont="1"/>
    <xf numFmtId="166" fontId="9" fillId="5" borderId="16" xfId="7" applyNumberFormat="1" applyFont="1" applyFill="1" applyBorder="1"/>
    <xf numFmtId="166" fontId="9" fillId="0" borderId="0" xfId="0" applyNumberFormat="1" applyFont="1"/>
    <xf numFmtId="166" fontId="9" fillId="14" borderId="0" xfId="7" applyNumberFormat="1" applyFont="1" applyFill="1"/>
    <xf numFmtId="166" fontId="9" fillId="5" borderId="16" xfId="0" applyNumberFormat="1" applyFont="1" applyFill="1" applyBorder="1"/>
    <xf numFmtId="166" fontId="9" fillId="4" borderId="0" xfId="0" applyNumberFormat="1" applyFont="1" applyFill="1"/>
    <xf numFmtId="0" fontId="9" fillId="0" borderId="0" xfId="0" applyFont="1" applyBorder="1"/>
    <xf numFmtId="1" fontId="12" fillId="0" borderId="32" xfId="25" applyNumberFormat="1" applyFont="1" applyBorder="1" applyAlignment="1" applyProtection="1">
      <alignment horizontal="center" vertical="center" wrapText="1"/>
    </xf>
    <xf numFmtId="1" fontId="12" fillId="0" borderId="33" xfId="25" applyNumberFormat="1" applyFont="1" applyBorder="1" applyAlignment="1" applyProtection="1">
      <alignment horizontal="center" vertical="center" wrapText="1"/>
    </xf>
    <xf numFmtId="1" fontId="12" fillId="0" borderId="39" xfId="25" applyNumberFormat="1" applyFont="1" applyBorder="1" applyAlignment="1" applyProtection="1">
      <alignment horizontal="center" vertical="center" wrapText="1"/>
    </xf>
    <xf numFmtId="1" fontId="12" fillId="0" borderId="13" xfId="25" applyNumberFormat="1" applyFont="1" applyBorder="1" applyAlignment="1" applyProtection="1">
      <alignment horizontal="center" vertical="center" wrapText="1"/>
    </xf>
    <xf numFmtId="1" fontId="12" fillId="0" borderId="14" xfId="25" applyNumberFormat="1" applyFont="1" applyBorder="1" applyAlignment="1" applyProtection="1">
      <alignment horizontal="center" vertical="center" wrapText="1"/>
    </xf>
    <xf numFmtId="1" fontId="12" fillId="0" borderId="19" xfId="25" applyNumberFormat="1" applyFont="1" applyBorder="1" applyAlignment="1" applyProtection="1">
      <alignment horizontal="center" vertical="center" wrapText="1"/>
    </xf>
    <xf numFmtId="1" fontId="12" fillId="0" borderId="17" xfId="25" applyNumberFormat="1" applyFont="1" applyBorder="1" applyAlignment="1" applyProtection="1">
      <alignment horizontal="center" vertical="center" wrapText="1"/>
    </xf>
    <xf numFmtId="1" fontId="12" fillId="0" borderId="0" xfId="25" applyNumberFormat="1" applyFont="1" applyBorder="1" applyAlignment="1" applyProtection="1">
      <alignment horizontal="center" vertical="center" wrapText="1"/>
    </xf>
    <xf numFmtId="1" fontId="12" fillId="0" borderId="22" xfId="25" applyNumberFormat="1" applyFont="1" applyBorder="1" applyAlignment="1" applyProtection="1">
      <alignment horizontal="center" vertical="center" wrapText="1"/>
    </xf>
    <xf numFmtId="1" fontId="12" fillId="0" borderId="20" xfId="25" applyNumberFormat="1" applyFont="1" applyBorder="1" applyAlignment="1" applyProtection="1">
      <alignment horizontal="center" vertical="center" wrapText="1"/>
    </xf>
    <xf numFmtId="1" fontId="12" fillId="0" borderId="21" xfId="25" applyNumberFormat="1" applyFont="1" applyBorder="1" applyAlignment="1" applyProtection="1">
      <alignment horizontal="center" vertical="center" wrapText="1"/>
    </xf>
    <xf numFmtId="1" fontId="12" fillId="0" borderId="23" xfId="25" applyNumberFormat="1" applyFont="1" applyBorder="1" applyAlignment="1" applyProtection="1">
      <alignment horizontal="center" vertical="center" wrapText="1"/>
    </xf>
    <xf numFmtId="1" fontId="12" fillId="0" borderId="25" xfId="25" quotePrefix="1" applyNumberFormat="1" applyFont="1" applyBorder="1" applyAlignment="1" applyProtection="1">
      <alignment horizontal="center"/>
    </xf>
    <xf numFmtId="1" fontId="12" fillId="0" borderId="25" xfId="25" applyNumberFormat="1" applyFont="1" applyBorder="1" applyAlignment="1" applyProtection="1">
      <alignment horizontal="center"/>
    </xf>
    <xf numFmtId="1" fontId="12" fillId="0" borderId="26" xfId="25" applyNumberFormat="1" applyFont="1" applyBorder="1" applyAlignment="1" applyProtection="1">
      <alignment horizontal="center"/>
    </xf>
    <xf numFmtId="0" fontId="4" fillId="0" borderId="34" xfId="16" applyFont="1" applyBorder="1" applyAlignment="1" applyProtection="1">
      <alignment horizontal="center" vertical="center"/>
    </xf>
    <xf numFmtId="0" fontId="4" fillId="0" borderId="49" xfId="16" applyFont="1" applyBorder="1" applyAlignment="1" applyProtection="1">
      <alignment horizontal="center" vertical="center"/>
    </xf>
    <xf numFmtId="0" fontId="5" fillId="0" borderId="34" xfId="16" applyBorder="1" applyAlignment="1" applyProtection="1">
      <alignment horizontal="center"/>
    </xf>
    <xf numFmtId="0" fontId="5" fillId="0" borderId="49" xfId="16" applyBorder="1" applyAlignment="1" applyProtection="1">
      <alignment horizontal="center"/>
    </xf>
    <xf numFmtId="0" fontId="4" fillId="0" borderId="46" xfId="16" applyFont="1" applyBorder="1" applyAlignment="1" applyProtection="1">
      <alignment horizontal="center" vertical="center"/>
    </xf>
    <xf numFmtId="0" fontId="4" fillId="0" borderId="57" xfId="16" applyFont="1" applyBorder="1" applyAlignment="1" applyProtection="1">
      <alignment horizontal="center" vertical="center"/>
    </xf>
    <xf numFmtId="0" fontId="4" fillId="0" borderId="34" xfId="19" applyFont="1" applyFill="1" applyBorder="1" applyAlignment="1" applyProtection="1">
      <alignment horizontal="center" vertical="center"/>
    </xf>
    <xf numFmtId="0" fontId="4" fillId="0" borderId="49" xfId="19" applyFont="1" applyFill="1" applyBorder="1" applyAlignment="1" applyProtection="1">
      <alignment horizontal="center" vertical="center"/>
    </xf>
    <xf numFmtId="0" fontId="4" fillId="0" borderId="46" xfId="19" applyFont="1" applyBorder="1" applyAlignment="1" applyProtection="1">
      <alignment horizontal="center" vertical="center"/>
    </xf>
    <xf numFmtId="0" fontId="4" fillId="0" borderId="57" xfId="19" applyFont="1" applyBorder="1" applyAlignment="1" applyProtection="1">
      <alignment horizontal="center" vertical="center"/>
    </xf>
    <xf numFmtId="0" fontId="4" fillId="0" borderId="34" xfId="19" applyFont="1" applyBorder="1" applyAlignment="1" applyProtection="1">
      <alignment horizontal="center"/>
    </xf>
    <xf numFmtId="0" fontId="4" fillId="0" borderId="49" xfId="19" applyFont="1" applyBorder="1" applyAlignment="1" applyProtection="1">
      <alignment horizontal="center"/>
    </xf>
    <xf numFmtId="0" fontId="4" fillId="0" borderId="32" xfId="16" applyFont="1" applyBorder="1" applyAlignment="1" applyProtection="1">
      <alignment horizontal="center" vertical="center" wrapText="1"/>
    </xf>
    <xf numFmtId="0" fontId="4" fillId="0" borderId="63" xfId="16" applyFont="1" applyBorder="1" applyAlignment="1" applyProtection="1">
      <alignment horizontal="center" vertical="center" wrapText="1"/>
    </xf>
    <xf numFmtId="0" fontId="4" fillId="0" borderId="51" xfId="16" applyFont="1" applyBorder="1" applyAlignment="1" applyProtection="1">
      <alignment horizontal="center" vertical="center" wrapText="1"/>
    </xf>
    <xf numFmtId="0" fontId="4" fillId="0" borderId="18" xfId="16" applyFont="1" applyBorder="1" applyAlignment="1" applyProtection="1">
      <alignment horizontal="center" vertical="center" wrapText="1"/>
    </xf>
    <xf numFmtId="0" fontId="4" fillId="0" borderId="69" xfId="16" applyFont="1" applyBorder="1" applyAlignment="1" applyProtection="1">
      <alignment horizontal="center" vertical="center"/>
    </xf>
    <xf numFmtId="0" fontId="4" fillId="0" borderId="47" xfId="16" applyFont="1" applyBorder="1" applyAlignment="1" applyProtection="1">
      <alignment horizontal="center" vertical="center"/>
    </xf>
    <xf numFmtId="0" fontId="4" fillId="0" borderId="13" xfId="16" applyFont="1" applyBorder="1" applyAlignment="1" applyProtection="1">
      <alignment horizontal="center" vertical="center"/>
    </xf>
    <xf numFmtId="0" fontId="0" fillId="0" borderId="14" xfId="0" applyBorder="1" applyAlignment="1"/>
    <xf numFmtId="0" fontId="0" fillId="0" borderId="19" xfId="0" applyBorder="1" applyAlignment="1"/>
    <xf numFmtId="0" fontId="0" fillId="0" borderId="48" xfId="0" applyBorder="1" applyAlignment="1">
      <alignment horizontal="center" vertical="center"/>
    </xf>
    <xf numFmtId="0" fontId="0" fillId="0" borderId="47" xfId="0" applyBorder="1" applyAlignment="1">
      <alignment horizontal="center" vertical="center"/>
    </xf>
    <xf numFmtId="0" fontId="4" fillId="0" borderId="24" xfId="16" applyFont="1" applyFill="1" applyBorder="1" applyAlignment="1" applyProtection="1">
      <alignment horizontal="center"/>
    </xf>
    <xf numFmtId="0" fontId="4" fillId="0" borderId="25" xfId="16" applyFont="1" applyFill="1" applyBorder="1" applyAlignment="1" applyProtection="1">
      <alignment horizontal="center"/>
    </xf>
    <xf numFmtId="0" fontId="4" fillId="0" borderId="26" xfId="16" applyFont="1" applyFill="1" applyBorder="1" applyAlignment="1" applyProtection="1">
      <alignment horizontal="center"/>
    </xf>
    <xf numFmtId="0" fontId="4" fillId="0" borderId="32" xfId="16" applyFont="1" applyBorder="1" applyAlignment="1" applyProtection="1">
      <alignment horizontal="center"/>
    </xf>
    <xf numFmtId="0" fontId="4" fillId="0" borderId="33" xfId="16" applyFont="1" applyBorder="1" applyAlignment="1" applyProtection="1">
      <alignment horizontal="center"/>
    </xf>
    <xf numFmtId="0" fontId="4" fillId="0" borderId="63" xfId="16" applyFont="1" applyBorder="1" applyAlignment="1" applyProtection="1">
      <alignment horizontal="center"/>
    </xf>
    <xf numFmtId="0" fontId="4" fillId="0" borderId="32" xfId="28" applyFont="1" applyFill="1" applyBorder="1" applyAlignment="1" applyProtection="1">
      <alignment horizontal="center" vertical="center" wrapText="1"/>
    </xf>
    <xf numFmtId="0" fontId="4" fillId="0" borderId="63" xfId="28" applyFont="1" applyFill="1" applyBorder="1" applyAlignment="1" applyProtection="1">
      <alignment horizontal="center" vertical="center" wrapText="1"/>
    </xf>
    <xf numFmtId="0" fontId="4" fillId="0" borderId="48" xfId="16" applyFont="1" applyBorder="1" applyAlignment="1" applyProtection="1">
      <alignment horizontal="center" vertical="center"/>
    </xf>
    <xf numFmtId="0" fontId="1" fillId="0" borderId="53" xfId="13" applyFont="1" applyBorder="1" applyAlignment="1" applyProtection="1">
      <alignment horizontal="left"/>
    </xf>
    <xf numFmtId="0" fontId="1" fillId="0" borderId="54" xfId="13" applyFont="1" applyBorder="1" applyAlignment="1" applyProtection="1">
      <alignment horizontal="left"/>
    </xf>
    <xf numFmtId="0" fontId="1" fillId="0" borderId="59" xfId="13" applyFont="1" applyBorder="1" applyAlignment="1" applyProtection="1">
      <alignment horizontal="left"/>
    </xf>
    <xf numFmtId="0" fontId="1" fillId="0" borderId="60" xfId="13" applyFont="1" applyBorder="1" applyAlignment="1" applyProtection="1">
      <alignment horizontal="left"/>
    </xf>
    <xf numFmtId="0" fontId="1" fillId="0" borderId="67" xfId="13" applyFont="1" applyBorder="1" applyAlignment="1" applyProtection="1">
      <alignment horizontal="center"/>
    </xf>
    <xf numFmtId="0" fontId="1" fillId="0" borderId="82" xfId="13" applyFont="1" applyBorder="1" applyAlignment="1" applyProtection="1">
      <alignment horizontal="center"/>
    </xf>
    <xf numFmtId="0" fontId="1" fillId="0" borderId="27" xfId="13" applyFont="1" applyBorder="1" applyAlignment="1" applyProtection="1">
      <alignment horizontal="center"/>
    </xf>
    <xf numFmtId="0" fontId="1" fillId="0" borderId="28" xfId="13" applyFont="1" applyBorder="1" applyAlignment="1" applyProtection="1">
      <alignment horizontal="center"/>
    </xf>
    <xf numFmtId="0" fontId="1" fillId="0" borderId="27" xfId="13" applyFont="1" applyBorder="1" applyAlignment="1" applyProtection="1">
      <alignment horizontal="left" vertical="center" wrapText="1"/>
    </xf>
    <xf numFmtId="0" fontId="1" fillId="0" borderId="28" xfId="13" applyFont="1" applyBorder="1" applyAlignment="1" applyProtection="1">
      <alignment horizontal="left" vertical="center" wrapText="1"/>
    </xf>
    <xf numFmtId="0" fontId="1" fillId="0" borderId="27" xfId="13" applyFont="1" applyBorder="1" applyAlignment="1" applyProtection="1">
      <alignment horizontal="left" vertical="center"/>
    </xf>
    <xf numFmtId="0" fontId="1" fillId="0" borderId="28" xfId="13" applyFont="1" applyBorder="1" applyAlignment="1" applyProtection="1">
      <alignment horizontal="left" vertical="center"/>
    </xf>
    <xf numFmtId="0" fontId="1" fillId="0" borderId="29" xfId="13" applyFont="1" applyBorder="1" applyAlignment="1" applyProtection="1">
      <alignment horizontal="left" vertical="center" wrapText="1"/>
    </xf>
    <xf numFmtId="0" fontId="1" fillId="0" borderId="31" xfId="13" applyFont="1" applyBorder="1" applyAlignment="1" applyProtection="1">
      <alignment horizontal="left" vertical="center" wrapText="1"/>
    </xf>
    <xf numFmtId="0" fontId="1" fillId="0" borderId="13" xfId="13" applyFont="1" applyBorder="1" applyAlignment="1" applyProtection="1">
      <alignment horizontal="left" vertical="center"/>
    </xf>
    <xf numFmtId="0" fontId="1" fillId="0" borderId="19" xfId="13" applyFont="1" applyBorder="1" applyAlignment="1" applyProtection="1">
      <alignment horizontal="left" vertical="center"/>
    </xf>
    <xf numFmtId="0" fontId="1" fillId="0" borderId="51" xfId="13" applyFont="1" applyBorder="1" applyAlignment="1" applyProtection="1">
      <alignment horizontal="left" vertical="center"/>
    </xf>
    <xf numFmtId="0" fontId="1" fillId="0" borderId="52" xfId="13" applyFont="1" applyBorder="1" applyAlignment="1" applyProtection="1">
      <alignment horizontal="left" vertical="center"/>
    </xf>
    <xf numFmtId="0" fontId="4" fillId="0" borderId="13" xfId="23" applyFont="1" applyFill="1" applyBorder="1" applyAlignment="1" applyProtection="1">
      <alignment horizontal="center" vertical="center"/>
    </xf>
    <xf numFmtId="0" fontId="4" fillId="0" borderId="19" xfId="23" applyFont="1" applyFill="1" applyBorder="1" applyAlignment="1" applyProtection="1">
      <alignment horizontal="center" vertical="center"/>
    </xf>
    <xf numFmtId="0" fontId="4" fillId="0" borderId="17" xfId="23" applyFont="1" applyFill="1" applyBorder="1" applyAlignment="1" applyProtection="1">
      <alignment horizontal="center" vertical="center"/>
    </xf>
    <xf numFmtId="0" fontId="4" fillId="0" borderId="22" xfId="23" applyFont="1" applyFill="1" applyBorder="1" applyAlignment="1" applyProtection="1">
      <alignment horizontal="center" vertical="center"/>
    </xf>
    <xf numFmtId="0" fontId="4" fillId="0" borderId="51" xfId="23" applyFont="1" applyFill="1" applyBorder="1" applyAlignment="1" applyProtection="1">
      <alignment horizontal="center" vertical="center"/>
    </xf>
    <xf numFmtId="0" fontId="4" fillId="0" borderId="52" xfId="23" applyFont="1" applyFill="1" applyBorder="1" applyAlignment="1" applyProtection="1">
      <alignment horizontal="center" vertical="center"/>
    </xf>
    <xf numFmtId="0" fontId="4" fillId="0" borderId="55" xfId="28" applyFont="1" applyFill="1" applyBorder="1" applyAlignment="1" applyProtection="1">
      <alignment horizontal="left" vertical="center"/>
    </xf>
    <xf numFmtId="0" fontId="4" fillId="0" borderId="37" xfId="28" applyFont="1" applyFill="1" applyBorder="1" applyAlignment="1" applyProtection="1">
      <alignment horizontal="left" vertical="center"/>
    </xf>
    <xf numFmtId="0" fontId="4" fillId="0" borderId="27" xfId="23" applyFont="1" applyBorder="1" applyAlignment="1" applyProtection="1">
      <alignment horizontal="left" vertical="center"/>
    </xf>
    <xf numFmtId="0" fontId="27" fillId="0" borderId="37" xfId="0" applyFont="1" applyBorder="1" applyAlignment="1" applyProtection="1">
      <alignment horizontal="left" vertical="center"/>
    </xf>
    <xf numFmtId="0" fontId="27" fillId="0" borderId="49" xfId="0" applyFont="1" applyBorder="1" applyAlignment="1" applyProtection="1">
      <alignment horizontal="left" vertical="center"/>
    </xf>
    <xf numFmtId="0" fontId="4" fillId="0" borderId="49" xfId="23" applyFont="1" applyBorder="1" applyAlignment="1" applyProtection="1">
      <alignment horizontal="left" vertical="center" wrapText="1"/>
    </xf>
    <xf numFmtId="0" fontId="4" fillId="0" borderId="27" xfId="23" applyFont="1" applyBorder="1" applyAlignment="1" applyProtection="1">
      <alignment horizontal="left" vertical="center" wrapText="1"/>
    </xf>
    <xf numFmtId="0" fontId="4" fillId="0" borderId="55" xfId="23" applyFont="1" applyBorder="1" applyAlignment="1" applyProtection="1">
      <alignment horizontal="left" vertical="center"/>
    </xf>
    <xf numFmtId="0" fontId="4" fillId="0" borderId="7" xfId="15" applyFont="1" applyBorder="1" applyAlignment="1" applyProtection="1">
      <alignment horizontal="center" vertical="center"/>
    </xf>
    <xf numFmtId="0" fontId="4" fillId="0" borderId="16" xfId="15" applyFont="1" applyBorder="1" applyAlignment="1" applyProtection="1">
      <alignment horizontal="center" vertical="center"/>
    </xf>
    <xf numFmtId="0" fontId="4" fillId="0" borderId="44" xfId="15" applyFont="1" applyBorder="1" applyAlignment="1" applyProtection="1">
      <alignment horizontal="center" vertical="center"/>
    </xf>
    <xf numFmtId="0" fontId="1" fillId="0" borderId="66" xfId="15" applyFont="1" applyBorder="1" applyAlignment="1" applyProtection="1">
      <alignment horizontal="center" vertical="center"/>
    </xf>
    <xf numFmtId="0" fontId="1" fillId="0" borderId="63" xfId="15" applyFont="1" applyBorder="1" applyAlignment="1" applyProtection="1">
      <alignment horizontal="center" vertical="center"/>
    </xf>
    <xf numFmtId="0" fontId="4" fillId="0" borderId="69" xfId="15" applyFont="1" applyBorder="1" applyAlignment="1" applyProtection="1">
      <alignment horizontal="center" vertical="center"/>
    </xf>
    <xf numFmtId="0" fontId="4" fillId="0" borderId="48" xfId="15" applyFont="1" applyBorder="1" applyAlignment="1" applyProtection="1">
      <alignment horizontal="center" vertical="center"/>
    </xf>
    <xf numFmtId="0" fontId="4" fillId="0" borderId="47" xfId="15" applyFont="1" applyBorder="1" applyAlignment="1" applyProtection="1">
      <alignment horizontal="center" vertical="center"/>
    </xf>
    <xf numFmtId="0" fontId="4" fillId="0" borderId="55" xfId="15" applyFont="1" applyBorder="1" applyAlignment="1" applyProtection="1">
      <alignment horizontal="center" vertical="center" wrapText="1"/>
    </xf>
    <xf numFmtId="0" fontId="0" fillId="0" borderId="49" xfId="0" applyBorder="1"/>
    <xf numFmtId="0" fontId="4" fillId="0" borderId="37" xfId="15" applyFont="1" applyBorder="1" applyAlignment="1" applyProtection="1">
      <alignment horizontal="center" vertical="center" wrapText="1"/>
    </xf>
    <xf numFmtId="0" fontId="4" fillId="0" borderId="49" xfId="15" applyFont="1" applyBorder="1" applyAlignment="1" applyProtection="1">
      <alignment horizontal="center" vertical="center"/>
    </xf>
    <xf numFmtId="0" fontId="1" fillId="0" borderId="13" xfId="15" applyFont="1" applyBorder="1" applyAlignment="1" applyProtection="1">
      <alignment horizontal="center" vertical="center"/>
    </xf>
    <xf numFmtId="0" fontId="1" fillId="0" borderId="19" xfId="15" applyFont="1" applyBorder="1" applyAlignment="1" applyProtection="1">
      <alignment horizontal="center" vertical="center"/>
    </xf>
    <xf numFmtId="0" fontId="1" fillId="0" borderId="51" xfId="15" applyFont="1" applyBorder="1" applyAlignment="1" applyProtection="1">
      <alignment horizontal="center" vertical="center"/>
    </xf>
    <xf numFmtId="0" fontId="1" fillId="0" borderId="52" xfId="15" applyFont="1" applyBorder="1" applyAlignment="1" applyProtection="1">
      <alignment horizontal="center" vertical="center"/>
    </xf>
    <xf numFmtId="0" fontId="0" fillId="0" borderId="48" xfId="0" applyBorder="1"/>
    <xf numFmtId="0" fontId="0" fillId="0" borderId="47" xfId="0" applyBorder="1"/>
    <xf numFmtId="0" fontId="4" fillId="0" borderId="49" xfId="15" applyFont="1" applyBorder="1" applyAlignment="1" applyProtection="1">
      <alignment horizontal="center" vertical="center" wrapText="1"/>
    </xf>
    <xf numFmtId="0" fontId="4" fillId="0" borderId="11" xfId="15" applyFont="1" applyBorder="1" applyAlignment="1" applyProtection="1">
      <alignment horizontal="center" vertical="center"/>
    </xf>
    <xf numFmtId="0" fontId="4" fillId="0" borderId="18" xfId="15" applyFont="1" applyBorder="1" applyAlignment="1" applyProtection="1">
      <alignment horizontal="center" vertical="center"/>
    </xf>
    <xf numFmtId="0" fontId="4" fillId="0" borderId="52" xfId="15" applyFont="1" applyBorder="1" applyAlignment="1" applyProtection="1">
      <alignment horizontal="center" vertical="center"/>
    </xf>
    <xf numFmtId="0" fontId="4" fillId="0" borderId="55" xfId="15" applyFont="1" applyBorder="1" applyAlignment="1" applyProtection="1">
      <alignment vertical="center" wrapText="1"/>
    </xf>
    <xf numFmtId="0" fontId="4" fillId="0" borderId="49" xfId="15" applyFont="1" applyBorder="1" applyAlignment="1" applyProtection="1">
      <alignment vertical="center"/>
    </xf>
    <xf numFmtId="0" fontId="4" fillId="0" borderId="8" xfId="15" applyFont="1" applyBorder="1" applyAlignment="1" applyProtection="1">
      <alignment horizontal="center" vertical="center" wrapText="1"/>
    </xf>
    <xf numFmtId="0" fontId="4" fillId="0" borderId="12" xfId="15" applyFont="1" applyBorder="1" applyAlignment="1" applyProtection="1">
      <alignment horizontal="center" vertical="center"/>
    </xf>
    <xf numFmtId="0" fontId="4" fillId="0" borderId="69" xfId="15" applyFont="1" applyBorder="1" applyAlignment="1" applyProtection="1">
      <alignment horizontal="center" vertical="center" wrapText="1"/>
    </xf>
    <xf numFmtId="0" fontId="4" fillId="0" borderId="48" xfId="15" applyFont="1" applyBorder="1" applyAlignment="1" applyProtection="1">
      <alignment horizontal="center" vertical="center" wrapText="1"/>
    </xf>
    <xf numFmtId="0" fontId="4" fillId="0" borderId="47" xfId="15" applyFont="1" applyBorder="1" applyAlignment="1" applyProtection="1">
      <alignment horizontal="center" vertical="center" wrapText="1"/>
    </xf>
    <xf numFmtId="0" fontId="4" fillId="0" borderId="7" xfId="15" applyFont="1" applyBorder="1" applyAlignment="1" applyProtection="1">
      <alignment horizontal="center" vertical="center" wrapText="1"/>
    </xf>
    <xf numFmtId="0" fontId="4" fillId="0" borderId="16" xfId="15" applyFont="1" applyBorder="1" applyAlignment="1" applyProtection="1">
      <alignment horizontal="center" vertical="center" wrapText="1"/>
    </xf>
    <xf numFmtId="0" fontId="4" fillId="0" borderId="44" xfId="15" applyFont="1" applyBorder="1" applyAlignment="1" applyProtection="1">
      <alignment horizontal="center" vertical="center" wrapText="1"/>
    </xf>
    <xf numFmtId="1" fontId="4" fillId="0" borderId="13" xfId="25" applyNumberFormat="1" applyFont="1" applyBorder="1" applyAlignment="1" applyProtection="1">
      <alignment horizontal="center" vertical="center" wrapText="1"/>
    </xf>
    <xf numFmtId="1" fontId="4" fillId="0" borderId="14" xfId="25" applyNumberFormat="1" applyFont="1" applyBorder="1" applyAlignment="1" applyProtection="1">
      <alignment horizontal="center" vertical="center" wrapText="1"/>
    </xf>
    <xf numFmtId="1" fontId="4" fillId="0" borderId="71" xfId="25" applyNumberFormat="1" applyFont="1" applyBorder="1" applyAlignment="1" applyProtection="1">
      <alignment horizontal="center" vertical="center" wrapText="1"/>
    </xf>
    <xf numFmtId="1" fontId="4" fillId="0" borderId="17" xfId="25" applyNumberFormat="1" applyFont="1" applyBorder="1" applyAlignment="1" applyProtection="1">
      <alignment horizontal="center" vertical="center" wrapText="1"/>
    </xf>
    <xf numFmtId="1" fontId="4" fillId="0" borderId="0" xfId="25" applyNumberFormat="1" applyFont="1" applyBorder="1" applyAlignment="1" applyProtection="1">
      <alignment horizontal="center" vertical="center" wrapText="1"/>
    </xf>
    <xf numFmtId="1" fontId="4" fillId="0" borderId="10" xfId="25" applyNumberFormat="1" applyFont="1" applyBorder="1" applyAlignment="1" applyProtection="1">
      <alignment horizontal="center" vertical="center" wrapText="1"/>
    </xf>
    <xf numFmtId="1" fontId="4" fillId="0" borderId="20" xfId="25" applyNumberFormat="1" applyFont="1" applyBorder="1" applyAlignment="1" applyProtection="1">
      <alignment horizontal="center" vertical="center" wrapText="1"/>
    </xf>
    <xf numFmtId="1" fontId="4" fillId="0" borderId="21" xfId="25" applyNumberFormat="1" applyFont="1" applyBorder="1" applyAlignment="1" applyProtection="1">
      <alignment horizontal="center" vertical="center" wrapText="1"/>
    </xf>
    <xf numFmtId="1" fontId="4" fillId="0" borderId="78" xfId="25" applyNumberFormat="1" applyFont="1" applyBorder="1" applyAlignment="1" applyProtection="1">
      <alignment horizontal="center" vertical="center" wrapText="1"/>
    </xf>
    <xf numFmtId="1" fontId="4" fillId="0" borderId="46" xfId="25" applyNumberFormat="1" applyFont="1" applyBorder="1" applyAlignment="1" applyProtection="1">
      <alignment horizontal="center" vertical="center" wrapText="1"/>
    </xf>
    <xf numFmtId="0" fontId="0" fillId="0" borderId="50" xfId="0" applyBorder="1" applyAlignment="1">
      <alignment horizontal="center" vertical="center" wrapText="1"/>
    </xf>
    <xf numFmtId="0" fontId="0" fillId="0" borderId="58" xfId="0" applyBorder="1" applyAlignment="1">
      <alignment horizontal="center" vertical="center" wrapText="1"/>
    </xf>
    <xf numFmtId="0" fontId="4" fillId="0" borderId="7" xfId="0" quotePrefix="1" applyFont="1" applyFill="1" applyBorder="1" applyAlignment="1">
      <alignment horizontal="center" wrapText="1"/>
    </xf>
    <xf numFmtId="0" fontId="4" fillId="0" borderId="16" xfId="0" quotePrefix="1" applyFont="1" applyFill="1" applyBorder="1" applyAlignment="1">
      <alignment horizontal="center" wrapText="1"/>
    </xf>
    <xf numFmtId="0" fontId="4" fillId="0" borderId="5" xfId="0" quotePrefix="1" applyFont="1" applyFill="1" applyBorder="1" applyAlignment="1">
      <alignment horizontal="center" wrapText="1"/>
    </xf>
    <xf numFmtId="0" fontId="0" fillId="0" borderId="6" xfId="0" quotePrefix="1" applyFill="1" applyBorder="1" applyAlignment="1">
      <alignment horizontal="center"/>
    </xf>
    <xf numFmtId="0" fontId="0" fillId="0" borderId="15" xfId="0" applyFill="1" applyBorder="1"/>
    <xf numFmtId="0" fontId="0" fillId="0" borderId="8" xfId="0" applyFill="1" applyBorder="1"/>
    <xf numFmtId="0" fontId="1" fillId="0" borderId="6" xfId="0" quotePrefix="1" applyFont="1" applyFill="1" applyBorder="1" applyAlignment="1">
      <alignment horizontal="center" wrapText="1"/>
    </xf>
    <xf numFmtId="0" fontId="1" fillId="0" borderId="15" xfId="0" quotePrefix="1" applyFont="1" applyFill="1" applyBorder="1" applyAlignment="1">
      <alignment horizontal="center" wrapText="1"/>
    </xf>
    <xf numFmtId="0" fontId="1" fillId="0" borderId="8" xfId="0" quotePrefix="1" applyFont="1" applyFill="1" applyBorder="1" applyAlignment="1">
      <alignment horizontal="center" wrapText="1"/>
    </xf>
    <xf numFmtId="0" fontId="12" fillId="0" borderId="1" xfId="32" applyFont="1" applyBorder="1" applyAlignment="1">
      <alignment horizontal="center" textRotation="90" wrapText="1"/>
    </xf>
    <xf numFmtId="0" fontId="12" fillId="0" borderId="2" xfId="32" applyFont="1" applyBorder="1" applyAlignment="1">
      <alignment horizontal="center" textRotation="90" wrapText="1"/>
    </xf>
    <xf numFmtId="0" fontId="12" fillId="0" borderId="3" xfId="32" applyFont="1" applyBorder="1" applyAlignment="1">
      <alignment horizontal="center" textRotation="90" wrapText="1"/>
    </xf>
    <xf numFmtId="0" fontId="11" fillId="0" borderId="1" xfId="32" applyFont="1" applyBorder="1" applyAlignment="1">
      <alignment horizontal="center" textRotation="90" wrapText="1"/>
    </xf>
    <xf numFmtId="0" fontId="11" fillId="0" borderId="2" xfId="32" applyFont="1" applyBorder="1" applyAlignment="1">
      <alignment horizontal="center" textRotation="90" wrapText="1"/>
    </xf>
    <xf numFmtId="0" fontId="11" fillId="0" borderId="3" xfId="32" applyFont="1" applyBorder="1" applyAlignment="1">
      <alignment horizontal="center" textRotation="90" wrapText="1"/>
    </xf>
    <xf numFmtId="0" fontId="11" fillId="5" borderId="7" xfId="32" applyFont="1" applyFill="1" applyBorder="1" applyAlignment="1">
      <alignment horizontal="center"/>
    </xf>
    <xf numFmtId="0" fontId="11" fillId="5" borderId="16" xfId="32" applyFont="1" applyFill="1" applyBorder="1" applyAlignment="1">
      <alignment horizontal="center"/>
    </xf>
    <xf numFmtId="0" fontId="11" fillId="5" borderId="5" xfId="32" applyFont="1" applyFill="1" applyBorder="1" applyAlignment="1">
      <alignment horizontal="center"/>
    </xf>
    <xf numFmtId="0" fontId="11" fillId="8" borderId="7" xfId="32" applyFont="1" applyFill="1" applyBorder="1" applyAlignment="1">
      <alignment horizontal="center"/>
    </xf>
    <xf numFmtId="0" fontId="11" fillId="8" borderId="16" xfId="32" applyFont="1" applyFill="1" applyBorder="1" applyAlignment="1">
      <alignment horizontal="center"/>
    </xf>
    <xf numFmtId="0" fontId="11" fillId="8" borderId="5" xfId="32" applyFont="1" applyFill="1" applyBorder="1" applyAlignment="1">
      <alignment horizontal="center"/>
    </xf>
    <xf numFmtId="0" fontId="11" fillId="0" borderId="7" xfId="32" applyFont="1" applyBorder="1" applyAlignment="1">
      <alignment horizontal="center"/>
    </xf>
    <xf numFmtId="0" fontId="11" fillId="0" borderId="16" xfId="32" applyFont="1" applyBorder="1" applyAlignment="1">
      <alignment horizontal="center"/>
    </xf>
    <xf numFmtId="0" fontId="11" fillId="0" borderId="5" xfId="32" applyFont="1" applyBorder="1" applyAlignment="1">
      <alignment horizontal="center"/>
    </xf>
    <xf numFmtId="0" fontId="11" fillId="0" borderId="0" xfId="0" applyFont="1" applyBorder="1" applyAlignment="1" applyProtection="1">
      <alignment horizontal="left" wrapText="1"/>
    </xf>
    <xf numFmtId="0" fontId="8" fillId="0" borderId="69" xfId="0" applyFont="1" applyBorder="1" applyAlignment="1" applyProtection="1">
      <alignment horizontal="left" vertical="center" wrapText="1"/>
    </xf>
    <xf numFmtId="0" fontId="8" fillId="0" borderId="48" xfId="0" applyFont="1" applyBorder="1" applyAlignment="1" applyProtection="1">
      <alignment horizontal="left" vertical="center" wrapText="1"/>
    </xf>
    <xf numFmtId="0" fontId="8" fillId="0" borderId="47" xfId="0" applyFont="1" applyBorder="1" applyAlignment="1" applyProtection="1">
      <alignment horizontal="left" vertical="center" wrapText="1"/>
    </xf>
    <xf numFmtId="0" fontId="57" fillId="0" borderId="69" xfId="0" applyFont="1" applyBorder="1" applyAlignment="1" applyProtection="1">
      <alignment horizontal="left" vertical="center" wrapText="1"/>
    </xf>
    <xf numFmtId="0" fontId="57" fillId="0" borderId="48" xfId="0" applyFont="1" applyBorder="1" applyAlignment="1" applyProtection="1">
      <alignment horizontal="left" vertical="center" wrapText="1"/>
    </xf>
    <xf numFmtId="0" fontId="57" fillId="0" borderId="47" xfId="0" applyFont="1" applyBorder="1" applyAlignment="1" applyProtection="1">
      <alignment horizontal="left" vertical="center" wrapText="1"/>
    </xf>
    <xf numFmtId="0" fontId="10" fillId="0" borderId="24" xfId="0" applyFont="1" applyBorder="1" applyAlignment="1" applyProtection="1">
      <alignment horizontal="left" vertical="center" wrapText="1"/>
    </xf>
    <xf numFmtId="0" fontId="10" fillId="0" borderId="25" xfId="0" applyFont="1" applyBorder="1" applyAlignment="1" applyProtection="1">
      <alignment horizontal="left" vertical="center" wrapText="1"/>
    </xf>
    <xf numFmtId="0" fontId="10" fillId="0" borderId="26" xfId="0" applyFont="1" applyBorder="1" applyAlignment="1" applyProtection="1">
      <alignment horizontal="left" vertical="center" wrapText="1"/>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26" xfId="0" applyFont="1" applyBorder="1" applyAlignment="1">
      <alignment horizontal="left" vertical="center"/>
    </xf>
    <xf numFmtId="0" fontId="8" fillId="0" borderId="24" xfId="0" applyFont="1" applyBorder="1" applyAlignment="1" applyProtection="1">
      <alignment horizontal="left" vertical="center" wrapText="1"/>
    </xf>
    <xf numFmtId="0" fontId="8" fillId="0" borderId="26" xfId="0" applyFont="1" applyBorder="1" applyAlignment="1" applyProtection="1">
      <alignment horizontal="left" vertical="center" wrapText="1"/>
    </xf>
    <xf numFmtId="0" fontId="34" fillId="0" borderId="13" xfId="0" applyFont="1" applyBorder="1" applyAlignment="1" applyProtection="1">
      <alignment horizontal="left" vertical="center"/>
    </xf>
    <xf numFmtId="0" fontId="34" fillId="0" borderId="14" xfId="0" applyFont="1" applyBorder="1" applyAlignment="1" applyProtection="1">
      <alignment horizontal="left" vertical="center"/>
    </xf>
    <xf numFmtId="0" fontId="34" fillId="0" borderId="19" xfId="0" applyFont="1" applyBorder="1" applyAlignment="1" applyProtection="1">
      <alignment horizontal="left" vertical="center"/>
    </xf>
    <xf numFmtId="0" fontId="34" fillId="0" borderId="20" xfId="0" applyFont="1" applyBorder="1" applyAlignment="1" applyProtection="1">
      <alignment horizontal="left" vertical="center"/>
    </xf>
    <xf numFmtId="0" fontId="34" fillId="0" borderId="21" xfId="0" applyFont="1" applyBorder="1" applyAlignment="1" applyProtection="1">
      <alignment horizontal="left" vertical="center"/>
    </xf>
    <xf numFmtId="0" fontId="34" fillId="0" borderId="23" xfId="0" applyFont="1" applyBorder="1" applyAlignment="1" applyProtection="1">
      <alignment horizontal="left" vertical="center"/>
    </xf>
    <xf numFmtId="0" fontId="10" fillId="0" borderId="32" xfId="0" applyFont="1" applyBorder="1" applyAlignment="1">
      <alignment horizontal="center" vertical="center"/>
    </xf>
    <xf numFmtId="0" fontId="10" fillId="0" borderId="39" xfId="0" applyFont="1" applyBorder="1" applyAlignment="1">
      <alignment horizontal="center" vertical="center"/>
    </xf>
    <xf numFmtId="0" fontId="10" fillId="0" borderId="24" xfId="0" applyFont="1" applyBorder="1" applyAlignment="1" applyProtection="1">
      <alignment horizontal="center" vertical="center"/>
    </xf>
    <xf numFmtId="0" fontId="10" fillId="0" borderId="25" xfId="0" applyFont="1" applyBorder="1" applyAlignment="1" applyProtection="1">
      <alignment horizontal="center" vertical="center"/>
    </xf>
    <xf numFmtId="0" fontId="10" fillId="0" borderId="26" xfId="0" applyFont="1" applyBorder="1" applyAlignment="1" applyProtection="1">
      <alignment horizontal="center" vertical="center"/>
    </xf>
    <xf numFmtId="0" fontId="8" fillId="0" borderId="69" xfId="0" applyFont="1" applyBorder="1" applyAlignment="1" applyProtection="1">
      <alignment horizontal="left" vertical="center"/>
    </xf>
    <xf numFmtId="0" fontId="8" fillId="0" borderId="48" xfId="0" applyFont="1" applyBorder="1" applyAlignment="1" applyProtection="1">
      <alignment horizontal="left" vertical="center"/>
    </xf>
    <xf numFmtId="0" fontId="8" fillId="0" borderId="47" xfId="0" applyFont="1" applyBorder="1" applyAlignment="1" applyProtection="1">
      <alignment horizontal="left" vertical="center"/>
    </xf>
    <xf numFmtId="0" fontId="8" fillId="0" borderId="59" xfId="0" applyFont="1" applyBorder="1" applyAlignment="1" applyProtection="1">
      <alignment horizontal="left" vertical="center"/>
    </xf>
    <xf numFmtId="0" fontId="8" fillId="0" borderId="70" xfId="0" applyFont="1" applyBorder="1" applyAlignment="1" applyProtection="1">
      <alignment horizontal="left" vertical="center"/>
    </xf>
    <xf numFmtId="0" fontId="8" fillId="0" borderId="60" xfId="0" applyFont="1" applyBorder="1" applyAlignment="1" applyProtection="1">
      <alignment horizontal="left" vertical="center"/>
    </xf>
    <xf numFmtId="0" fontId="35" fillId="0" borderId="24" xfId="0" applyFont="1" applyBorder="1" applyAlignment="1">
      <alignment horizontal="left" vertical="center"/>
    </xf>
    <xf numFmtId="0" fontId="35" fillId="0" borderId="25" xfId="0" applyFont="1" applyBorder="1" applyAlignment="1">
      <alignment horizontal="left" vertical="center"/>
    </xf>
    <xf numFmtId="0" fontId="35" fillId="0" borderId="26" xfId="0" applyFont="1" applyBorder="1" applyAlignment="1">
      <alignment horizontal="left" vertical="center"/>
    </xf>
    <xf numFmtId="0" fontId="35" fillId="0" borderId="67" xfId="0" applyFont="1" applyBorder="1" applyAlignment="1">
      <alignment horizontal="center" vertical="center"/>
    </xf>
    <xf numFmtId="0" fontId="35" fillId="0" borderId="49" xfId="0" applyFont="1" applyBorder="1" applyAlignment="1">
      <alignment horizontal="center" vertical="center"/>
    </xf>
    <xf numFmtId="0" fontId="35" fillId="0" borderId="27" xfId="0" applyFont="1" applyBorder="1" applyAlignment="1">
      <alignment horizontal="center" vertical="center"/>
    </xf>
    <xf numFmtId="0" fontId="35" fillId="0" borderId="29" xfId="0" applyFont="1" applyBorder="1" applyAlignment="1">
      <alignment horizontal="center" vertical="center"/>
    </xf>
    <xf numFmtId="0" fontId="8" fillId="0" borderId="81" xfId="0" applyFont="1" applyFill="1" applyBorder="1" applyAlignment="1" applyProtection="1">
      <alignment horizontal="left" vertical="center"/>
    </xf>
    <xf numFmtId="0" fontId="8" fillId="0" borderId="82" xfId="0" applyFont="1" applyFill="1" applyBorder="1" applyAlignment="1" applyProtection="1">
      <alignment horizontal="left" vertical="center"/>
    </xf>
    <xf numFmtId="0" fontId="8" fillId="0" borderId="1" xfId="0" applyFont="1" applyFill="1" applyBorder="1" applyAlignment="1" applyProtection="1">
      <alignment horizontal="left" vertical="center"/>
    </xf>
    <xf numFmtId="0" fontId="8" fillId="0" borderId="56" xfId="0" applyFont="1" applyFill="1" applyBorder="1" applyAlignment="1" applyProtection="1">
      <alignment horizontal="left" vertical="center"/>
    </xf>
    <xf numFmtId="0" fontId="35" fillId="0" borderId="34" xfId="0" applyFont="1" applyBorder="1" applyAlignment="1">
      <alignment horizontal="center" vertical="center"/>
    </xf>
    <xf numFmtId="0" fontId="35" fillId="0" borderId="37" xfId="0" applyFont="1" applyBorder="1" applyAlignment="1">
      <alignment horizontal="center" vertical="center"/>
    </xf>
    <xf numFmtId="174" fontId="8" fillId="2" borderId="66" xfId="0" applyNumberFormat="1" applyFont="1" applyFill="1" applyBorder="1" applyAlignment="1">
      <alignment horizontal="right" vertical="center"/>
    </xf>
    <xf numFmtId="174" fontId="8" fillId="2" borderId="33" xfId="0" applyNumberFormat="1" applyFont="1" applyFill="1" applyBorder="1" applyAlignment="1">
      <alignment horizontal="right" vertical="center"/>
    </xf>
    <xf numFmtId="174" fontId="8" fillId="2" borderId="63" xfId="0" applyNumberFormat="1" applyFont="1" applyFill="1" applyBorder="1" applyAlignment="1">
      <alignment horizontal="right" vertical="center"/>
    </xf>
    <xf numFmtId="0" fontId="8" fillId="0" borderId="7" xfId="0" applyFont="1" applyFill="1" applyBorder="1" applyAlignment="1" applyProtection="1">
      <alignment horizontal="left" vertical="center"/>
    </xf>
    <xf numFmtId="0" fontId="8" fillId="0" borderId="44" xfId="0" applyFont="1" applyFill="1" applyBorder="1" applyAlignment="1" applyProtection="1">
      <alignment horizontal="left" vertical="center"/>
    </xf>
    <xf numFmtId="0" fontId="8" fillId="0" borderId="30" xfId="0" applyFont="1" applyFill="1" applyBorder="1" applyAlignment="1" applyProtection="1">
      <alignment horizontal="left" vertical="center"/>
    </xf>
    <xf numFmtId="0" fontId="8" fillId="0" borderId="31" xfId="0" applyFont="1" applyFill="1" applyBorder="1" applyAlignment="1" applyProtection="1">
      <alignment horizontal="left" vertical="center"/>
    </xf>
    <xf numFmtId="0" fontId="35" fillId="0" borderId="55" xfId="0" applyFont="1" applyBorder="1" applyAlignment="1">
      <alignment horizontal="center" vertical="center"/>
    </xf>
    <xf numFmtId="0" fontId="8" fillId="0" borderId="3" xfId="0" applyFont="1" applyFill="1" applyBorder="1" applyAlignment="1" applyProtection="1">
      <alignment horizontal="left" vertical="center"/>
    </xf>
    <xf numFmtId="0" fontId="8" fillId="0" borderId="57" xfId="0" applyFont="1" applyFill="1" applyBorder="1" applyAlignment="1" applyProtection="1">
      <alignment horizontal="left" vertical="center"/>
    </xf>
    <xf numFmtId="0" fontId="8" fillId="0" borderId="4" xfId="0" applyFont="1" applyFill="1" applyBorder="1" applyAlignment="1" applyProtection="1">
      <alignment horizontal="left" vertical="center" wrapText="1"/>
    </xf>
    <xf numFmtId="0" fontId="8" fillId="0" borderId="28" xfId="0" applyFont="1" applyFill="1" applyBorder="1" applyAlignment="1" applyProtection="1">
      <alignment horizontal="left" vertical="center" wrapText="1"/>
    </xf>
    <xf numFmtId="0" fontId="35" fillId="0" borderId="55" xfId="0" applyFont="1" applyBorder="1" applyAlignment="1">
      <alignment horizontal="center" vertical="center" wrapText="1"/>
    </xf>
    <xf numFmtId="0" fontId="35" fillId="0" borderId="37" xfId="0" applyFont="1" applyBorder="1" applyAlignment="1">
      <alignment horizontal="center" vertical="center" wrapText="1"/>
    </xf>
    <xf numFmtId="0" fontId="35" fillId="0" borderId="49" xfId="0" applyFont="1" applyBorder="1" applyAlignment="1">
      <alignment horizontal="center" vertical="center" wrapText="1"/>
    </xf>
    <xf numFmtId="0" fontId="9" fillId="0" borderId="11" xfId="0" applyFont="1" applyBorder="1" applyAlignment="1">
      <alignment horizontal="left" vertical="center"/>
    </xf>
    <xf numFmtId="0" fontId="9" fillId="0" borderId="52" xfId="0" applyFont="1" applyBorder="1" applyAlignment="1">
      <alignment horizontal="left" vertical="center"/>
    </xf>
    <xf numFmtId="174" fontId="16" fillId="9" borderId="55" xfId="0" applyNumberFormat="1" applyFont="1" applyFill="1" applyBorder="1" applyAlignment="1" applyProtection="1">
      <alignment horizontal="right" vertical="center"/>
      <protection locked="0"/>
    </xf>
    <xf numFmtId="174" fontId="16" fillId="9" borderId="37" xfId="0" applyNumberFormat="1" applyFont="1" applyFill="1" applyBorder="1" applyAlignment="1" applyProtection="1">
      <alignment horizontal="right" vertical="center"/>
      <protection locked="0"/>
    </xf>
    <xf numFmtId="174" fontId="16" fillId="9" borderId="49" xfId="0" applyNumberFormat="1" applyFont="1" applyFill="1" applyBorder="1" applyAlignment="1" applyProtection="1">
      <alignment horizontal="right" vertical="center"/>
      <protection locked="0"/>
    </xf>
    <xf numFmtId="0" fontId="35" fillId="0" borderId="13" xfId="0" applyFont="1" applyBorder="1" applyAlignment="1">
      <alignment horizontal="left" vertical="center"/>
    </xf>
    <xf numFmtId="0" fontId="35" fillId="0" borderId="14" xfId="0" applyFont="1" applyBorder="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left" vertical="center"/>
    </xf>
    <xf numFmtId="0" fontId="35" fillId="0" borderId="21" xfId="0" applyFont="1" applyBorder="1" applyAlignment="1">
      <alignment horizontal="left" vertical="center"/>
    </xf>
    <xf numFmtId="0" fontId="35" fillId="0" borderId="23" xfId="0" applyFont="1" applyBorder="1" applyAlignment="1">
      <alignment horizontal="left" vertical="center"/>
    </xf>
    <xf numFmtId="174" fontId="16" fillId="9" borderId="34" xfId="0" applyNumberFormat="1" applyFont="1" applyFill="1" applyBorder="1" applyAlignment="1" applyProtection="1">
      <alignment horizontal="right" vertical="center"/>
      <protection locked="0"/>
    </xf>
    <xf numFmtId="0" fontId="8" fillId="0" borderId="4" xfId="0" applyFont="1" applyFill="1" applyBorder="1" applyAlignment="1" applyProtection="1">
      <alignment horizontal="left" vertical="center"/>
    </xf>
    <xf numFmtId="0" fontId="8" fillId="0" borderId="28" xfId="0" applyFont="1" applyFill="1" applyBorder="1" applyAlignment="1" applyProtection="1">
      <alignment horizontal="left" vertical="center"/>
    </xf>
    <xf numFmtId="174" fontId="8" fillId="2" borderId="32" xfId="0" applyNumberFormat="1" applyFont="1" applyFill="1" applyBorder="1" applyAlignment="1">
      <alignment horizontal="right" vertical="center"/>
    </xf>
    <xf numFmtId="0" fontId="12" fillId="16" borderId="24" xfId="0" applyFont="1" applyFill="1" applyBorder="1" applyAlignment="1" applyProtection="1">
      <alignment horizontal="center" vertical="center"/>
    </xf>
    <xf numFmtId="0" fontId="12" fillId="16" borderId="25" xfId="0" applyFont="1" applyFill="1" applyBorder="1" applyAlignment="1" applyProtection="1">
      <alignment horizontal="center" vertical="center"/>
    </xf>
    <xf numFmtId="0" fontId="12" fillId="16" borderId="26" xfId="0" applyFont="1" applyFill="1" applyBorder="1" applyAlignment="1" applyProtection="1">
      <alignment horizontal="center" vertical="center"/>
    </xf>
    <xf numFmtId="0" fontId="12" fillId="8" borderId="24" xfId="0" applyFont="1" applyFill="1" applyBorder="1" applyAlignment="1" applyProtection="1">
      <alignment horizontal="center" vertical="center"/>
    </xf>
    <xf numFmtId="0" fontId="1" fillId="0" borderId="25" xfId="0" applyFont="1" applyBorder="1" applyAlignment="1">
      <alignment horizontal="center" vertical="center"/>
    </xf>
    <xf numFmtId="0" fontId="1" fillId="0" borderId="26" xfId="0" applyFont="1" applyBorder="1" applyAlignment="1">
      <alignment horizontal="center" vertical="center"/>
    </xf>
    <xf numFmtId="0" fontId="12" fillId="5" borderId="24" xfId="0" applyFont="1" applyFill="1" applyBorder="1" applyAlignment="1" applyProtection="1">
      <alignment horizontal="center" vertical="center"/>
    </xf>
    <xf numFmtId="0" fontId="12" fillId="5" borderId="25" xfId="0" applyFont="1" applyFill="1" applyBorder="1" applyAlignment="1" applyProtection="1">
      <alignment horizontal="center" vertical="center"/>
    </xf>
    <xf numFmtId="0" fontId="12" fillId="5" borderId="26" xfId="0" applyFont="1" applyFill="1" applyBorder="1" applyAlignment="1" applyProtection="1">
      <alignment horizontal="center" vertical="center"/>
    </xf>
    <xf numFmtId="0" fontId="12" fillId="0" borderId="24" xfId="0" applyFont="1" applyBorder="1" applyAlignment="1" applyProtection="1">
      <alignment horizontal="center" vertical="center"/>
    </xf>
    <xf numFmtId="0" fontId="12" fillId="0" borderId="25" xfId="0" applyFont="1" applyBorder="1" applyAlignment="1" applyProtection="1">
      <alignment horizontal="center" vertical="center"/>
    </xf>
    <xf numFmtId="0" fontId="12" fillId="0" borderId="26" xfId="0" applyFont="1" applyBorder="1" applyAlignment="1" applyProtection="1">
      <alignment horizontal="center" vertical="center"/>
    </xf>
    <xf numFmtId="0" fontId="12" fillId="0" borderId="24" xfId="0" applyFont="1" applyBorder="1" applyAlignment="1" applyProtection="1">
      <alignment horizontal="center" vertical="center" wrapText="1"/>
    </xf>
    <xf numFmtId="0" fontId="12" fillId="0" borderId="25" xfId="0" applyFont="1" applyBorder="1" applyAlignment="1" applyProtection="1">
      <alignment horizontal="center" vertical="center" wrapText="1"/>
    </xf>
    <xf numFmtId="0" fontId="12" fillId="0" borderId="26" xfId="0" applyFont="1" applyBorder="1" applyAlignment="1" applyProtection="1">
      <alignment horizontal="center" vertical="center" wrapText="1"/>
    </xf>
    <xf numFmtId="0" fontId="8" fillId="0" borderId="43" xfId="0" applyFont="1" applyBorder="1" applyAlignment="1" applyProtection="1">
      <alignment horizontal="left" vertical="center"/>
    </xf>
    <xf numFmtId="0" fontId="8" fillId="0" borderId="44" xfId="0" applyFont="1" applyBorder="1" applyAlignment="1" applyProtection="1">
      <alignment horizontal="left" vertical="center"/>
    </xf>
    <xf numFmtId="0" fontId="8" fillId="0" borderId="24" xfId="0" applyFont="1" applyBorder="1" applyAlignment="1">
      <alignment horizontal="left" vertical="center"/>
    </xf>
    <xf numFmtId="0" fontId="8" fillId="0" borderId="26" xfId="0" applyFont="1" applyBorder="1" applyAlignment="1">
      <alignment horizontal="left" vertical="center"/>
    </xf>
    <xf numFmtId="0" fontId="0" fillId="0" borderId="25" xfId="0" applyBorder="1" applyAlignment="1">
      <alignment horizontal="left" vertical="center"/>
    </xf>
    <xf numFmtId="0" fontId="12" fillId="0" borderId="24" xfId="0" applyFont="1" applyBorder="1" applyAlignment="1" applyProtection="1">
      <alignment horizontal="left" vertical="center"/>
    </xf>
    <xf numFmtId="0" fontId="12" fillId="0" borderId="26" xfId="0" applyFont="1" applyBorder="1" applyAlignment="1" applyProtection="1">
      <alignment horizontal="left" vertical="center"/>
    </xf>
    <xf numFmtId="0" fontId="35" fillId="0" borderId="13" xfId="0" applyFont="1" applyFill="1" applyBorder="1" applyAlignment="1">
      <alignment horizontal="left" vertical="center"/>
    </xf>
    <xf numFmtId="0" fontId="35" fillId="0" borderId="19" xfId="0" applyFont="1" applyFill="1" applyBorder="1" applyAlignment="1">
      <alignment horizontal="left" vertical="center"/>
    </xf>
    <xf numFmtId="0" fontId="35" fillId="0" borderId="20" xfId="0" applyFont="1" applyFill="1" applyBorder="1" applyAlignment="1">
      <alignment horizontal="left" vertical="center"/>
    </xf>
    <xf numFmtId="0" fontId="35" fillId="0" borderId="23" xfId="0" applyFont="1" applyFill="1" applyBorder="1" applyAlignment="1">
      <alignment horizontal="left" vertical="center"/>
    </xf>
    <xf numFmtId="0" fontId="11" fillId="0" borderId="43" xfId="0" applyFont="1" applyBorder="1" applyAlignment="1" applyProtection="1">
      <alignment horizontal="left" vertical="center" indent="1"/>
    </xf>
    <xf numFmtId="0" fontId="11" fillId="0" borderId="44" xfId="0" applyFont="1" applyBorder="1" applyAlignment="1" applyProtection="1">
      <alignment horizontal="left" vertical="center" indent="1"/>
    </xf>
    <xf numFmtId="0" fontId="11" fillId="0" borderId="59" xfId="0" applyFont="1" applyBorder="1" applyAlignment="1" applyProtection="1">
      <alignment horizontal="left" vertical="center" indent="1"/>
    </xf>
    <xf numFmtId="0" fontId="11" fillId="0" borderId="60" xfId="0" applyFont="1" applyBorder="1" applyAlignment="1" applyProtection="1">
      <alignment horizontal="left" vertical="center" indent="1"/>
    </xf>
    <xf numFmtId="0" fontId="11" fillId="0" borderId="24" xfId="0" applyFont="1" applyBorder="1" applyAlignment="1">
      <alignment horizontal="left" vertical="center" indent="1"/>
    </xf>
    <xf numFmtId="0" fontId="11" fillId="0" borderId="26" xfId="0" applyFont="1" applyBorder="1" applyAlignment="1">
      <alignment horizontal="left" vertical="center" indent="1"/>
    </xf>
    <xf numFmtId="0" fontId="11" fillId="0" borderId="69" xfId="0" applyFont="1" applyBorder="1" applyAlignment="1" applyProtection="1">
      <alignment horizontal="left" vertical="center" indent="1"/>
    </xf>
    <xf numFmtId="0" fontId="11" fillId="0" borderId="47" xfId="0" applyFont="1" applyBorder="1" applyAlignment="1" applyProtection="1">
      <alignment horizontal="left" vertical="center" indent="1"/>
    </xf>
    <xf numFmtId="0" fontId="29" fillId="5" borderId="24" xfId="0" applyFont="1" applyFill="1" applyBorder="1" applyAlignment="1">
      <alignment horizontal="left" vertical="center" indent="1"/>
    </xf>
    <xf numFmtId="0" fontId="29" fillId="5" borderId="25" xfId="0" applyFont="1" applyFill="1" applyBorder="1" applyAlignment="1">
      <alignment horizontal="left" vertical="center" indent="1"/>
    </xf>
    <xf numFmtId="0" fontId="29" fillId="8" borderId="24" xfId="0" applyFont="1" applyFill="1" applyBorder="1" applyAlignment="1">
      <alignment horizontal="left" vertical="center" indent="1"/>
    </xf>
    <xf numFmtId="0" fontId="29" fillId="8" borderId="25" xfId="0" applyFont="1" applyFill="1" applyBorder="1" applyAlignment="1">
      <alignment horizontal="left" vertical="center" indent="1"/>
    </xf>
    <xf numFmtId="0" fontId="35" fillId="0" borderId="17" xfId="0" applyFont="1" applyBorder="1" applyAlignment="1">
      <alignment horizontal="left" vertical="center"/>
    </xf>
    <xf numFmtId="0" fontId="35" fillId="0" borderId="22" xfId="0" applyFont="1" applyBorder="1" applyAlignment="1">
      <alignment horizontal="left" vertical="center"/>
    </xf>
    <xf numFmtId="0" fontId="10" fillId="8" borderId="24" xfId="0" applyFont="1" applyFill="1" applyBorder="1" applyAlignment="1">
      <alignment horizontal="left" vertical="center" indent="1"/>
    </xf>
    <xf numFmtId="0" fontId="10" fillId="8" borderId="26" xfId="0" applyFont="1" applyFill="1" applyBorder="1" applyAlignment="1">
      <alignment horizontal="left" vertical="center" indent="1"/>
    </xf>
    <xf numFmtId="0" fontId="29" fillId="0" borderId="24" xfId="0" applyFont="1" applyBorder="1" applyAlignment="1">
      <alignment horizontal="left" vertical="center"/>
    </xf>
    <xf numFmtId="0" fontId="29" fillId="0" borderId="26" xfId="0" applyFont="1" applyBorder="1" applyAlignment="1">
      <alignment horizontal="left" vertical="center"/>
    </xf>
    <xf numFmtId="0" fontId="10" fillId="0" borderId="69" xfId="0" applyFont="1" applyBorder="1" applyAlignment="1">
      <alignment horizontal="left" vertical="center"/>
    </xf>
    <xf numFmtId="0" fontId="10" fillId="0" borderId="47" xfId="0" applyFont="1" applyBorder="1" applyAlignment="1">
      <alignment horizontal="left" vertical="center"/>
    </xf>
    <xf numFmtId="0" fontId="10" fillId="0" borderId="43" xfId="0" applyFont="1" applyBorder="1" applyAlignment="1">
      <alignment horizontal="left" vertical="center"/>
    </xf>
    <xf numFmtId="0" fontId="10" fillId="0" borderId="44" xfId="0" applyFont="1" applyBorder="1" applyAlignment="1">
      <alignment horizontal="left" vertical="center"/>
    </xf>
    <xf numFmtId="0" fontId="8" fillId="0" borderId="43" xfId="0" applyFont="1" applyBorder="1" applyAlignment="1">
      <alignment horizontal="left" vertical="center" indent="1"/>
    </xf>
    <xf numFmtId="0" fontId="8" fillId="0" borderId="44" xfId="0" applyFont="1" applyBorder="1" applyAlignment="1">
      <alignment horizontal="left" vertical="center" indent="1"/>
    </xf>
    <xf numFmtId="0" fontId="10" fillId="0" borderId="34" xfId="0" applyFont="1" applyBorder="1" applyAlignment="1">
      <alignment horizontal="center" vertical="center"/>
    </xf>
    <xf numFmtId="0" fontId="10" fillId="0" borderId="37" xfId="0" applyFont="1" applyBorder="1" applyAlignment="1">
      <alignment horizontal="center" vertical="center"/>
    </xf>
    <xf numFmtId="0" fontId="10" fillId="0" borderId="40" xfId="0" applyFont="1" applyBorder="1" applyAlignment="1">
      <alignment horizontal="center" vertical="center"/>
    </xf>
    <xf numFmtId="0" fontId="10" fillId="8" borderId="20" xfId="0" applyFont="1" applyFill="1" applyBorder="1" applyAlignment="1" applyProtection="1">
      <alignment horizontal="center" vertical="center" wrapText="1"/>
    </xf>
    <xf numFmtId="0" fontId="10" fillId="8" borderId="23" xfId="0" applyFont="1" applyFill="1" applyBorder="1" applyAlignment="1" applyProtection="1">
      <alignment horizontal="center" vertical="center" wrapText="1"/>
    </xf>
    <xf numFmtId="0" fontId="10" fillId="0" borderId="34" xfId="0" applyFont="1" applyBorder="1" applyAlignment="1">
      <alignment horizontal="center" vertical="center" wrapText="1"/>
    </xf>
    <xf numFmtId="0" fontId="10" fillId="0" borderId="40" xfId="0" applyFont="1" applyBorder="1" applyAlignment="1">
      <alignment horizontal="center" vertical="center" wrapText="1"/>
    </xf>
    <xf numFmtId="0" fontId="8" fillId="0" borderId="27" xfId="0" applyFont="1" applyBorder="1" applyAlignment="1">
      <alignment horizontal="left" vertical="center" indent="1"/>
    </xf>
    <xf numFmtId="0" fontId="8" fillId="0" borderId="28" xfId="0" applyFont="1" applyBorder="1" applyAlignment="1">
      <alignment horizontal="left" vertical="center" indent="1"/>
    </xf>
    <xf numFmtId="0" fontId="11" fillId="0" borderId="0" xfId="0" applyFont="1" applyBorder="1" applyAlignment="1" applyProtection="1">
      <alignment horizontal="left" vertical="center" wrapText="1"/>
    </xf>
    <xf numFmtId="0" fontId="11" fillId="0" borderId="22" xfId="0" applyFont="1" applyBorder="1" applyAlignment="1" applyProtection="1">
      <alignment horizontal="left" vertical="center" wrapText="1"/>
    </xf>
    <xf numFmtId="0" fontId="11" fillId="0" borderId="0" xfId="0" applyFont="1" applyFill="1" applyBorder="1" applyAlignment="1" applyProtection="1">
      <alignment horizontal="left" vertical="center" wrapText="1"/>
    </xf>
    <xf numFmtId="0" fontId="11" fillId="0" borderId="22" xfId="0" applyFont="1" applyFill="1" applyBorder="1" applyAlignment="1" applyProtection="1">
      <alignment horizontal="left" vertical="center" wrapText="1"/>
    </xf>
    <xf numFmtId="0" fontId="12" fillId="0" borderId="0"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1" fillId="0" borderId="0" xfId="0" applyFont="1" applyBorder="1" applyAlignment="1">
      <alignment horizontal="left" vertical="center" wrapText="1"/>
    </xf>
    <xf numFmtId="0" fontId="11" fillId="0" borderId="22" xfId="0" applyFont="1" applyBorder="1" applyAlignment="1">
      <alignment horizontal="left" vertical="center" wrapText="1"/>
    </xf>
    <xf numFmtId="0" fontId="12" fillId="0" borderId="0" xfId="0" applyFont="1" applyBorder="1" applyAlignment="1">
      <alignment horizontal="left" vertical="center" wrapText="1"/>
    </xf>
    <xf numFmtId="0" fontId="12" fillId="0" borderId="22" xfId="0" applyFont="1" applyBorder="1" applyAlignment="1">
      <alignment horizontal="left" vertical="center" wrapText="1"/>
    </xf>
    <xf numFmtId="178" fontId="53" fillId="9" borderId="51" xfId="0" applyNumberFormat="1" applyFont="1" applyFill="1" applyBorder="1" applyAlignment="1" applyProtection="1">
      <alignment horizontal="center" vertical="center"/>
      <protection locked="0"/>
    </xf>
    <xf numFmtId="178" fontId="53" fillId="9" borderId="12" xfId="0" applyNumberFormat="1" applyFont="1" applyFill="1" applyBorder="1" applyAlignment="1" applyProtection="1">
      <alignment horizontal="center" vertical="center"/>
      <protection locked="0"/>
    </xf>
    <xf numFmtId="178" fontId="12" fillId="0" borderId="43" xfId="0" applyNumberFormat="1" applyFont="1" applyBorder="1" applyAlignment="1">
      <alignment horizontal="center" vertical="center"/>
    </xf>
    <xf numFmtId="178" fontId="12" fillId="0" borderId="5" xfId="0" applyNumberFormat="1" applyFont="1" applyBorder="1" applyAlignment="1">
      <alignment horizontal="center" vertical="center"/>
    </xf>
    <xf numFmtId="178" fontId="53" fillId="9" borderId="17" xfId="0" applyNumberFormat="1" applyFont="1" applyFill="1" applyBorder="1" applyAlignment="1" applyProtection="1">
      <alignment horizontal="center" vertical="center"/>
      <protection locked="0"/>
    </xf>
    <xf numFmtId="178" fontId="53" fillId="9" borderId="10" xfId="0" applyNumberFormat="1" applyFont="1" applyFill="1" applyBorder="1" applyAlignment="1" applyProtection="1">
      <alignment horizontal="center" vertical="center"/>
      <protection locked="0"/>
    </xf>
    <xf numFmtId="0" fontId="12" fillId="0" borderId="32" xfId="0" applyFont="1" applyBorder="1" applyAlignment="1">
      <alignment horizontal="center" vertical="center" wrapText="1"/>
    </xf>
    <xf numFmtId="0" fontId="12" fillId="0" borderId="63" xfId="0" applyFont="1" applyBorder="1" applyAlignment="1">
      <alignment horizontal="center" vertical="center" wrapText="1"/>
    </xf>
    <xf numFmtId="178" fontId="12" fillId="0" borderId="69" xfId="0" applyNumberFormat="1" applyFont="1" applyBorder="1" applyAlignment="1">
      <alignment horizontal="center" vertical="center" wrapText="1"/>
    </xf>
    <xf numFmtId="178" fontId="12" fillId="0" borderId="83" xfId="0" applyNumberFormat="1" applyFont="1" applyBorder="1" applyAlignment="1">
      <alignment horizontal="center" vertical="center" wrapText="1"/>
    </xf>
    <xf numFmtId="0" fontId="34" fillId="0" borderId="0" xfId="0" applyFont="1" applyAlignment="1" applyProtection="1">
      <alignment horizontal="left"/>
    </xf>
    <xf numFmtId="0" fontId="8" fillId="0" borderId="69" xfId="28" applyFont="1" applyFill="1" applyBorder="1" applyAlignment="1" applyProtection="1">
      <alignment horizontal="center" vertical="center"/>
    </xf>
    <xf numFmtId="0" fontId="8" fillId="0" borderId="48" xfId="28" applyFont="1" applyFill="1" applyBorder="1" applyAlignment="1" applyProtection="1">
      <alignment horizontal="center" vertical="center"/>
    </xf>
    <xf numFmtId="0" fontId="8" fillId="0" borderId="7" xfId="28" applyFont="1" applyFill="1" applyBorder="1" applyAlignment="1" applyProtection="1">
      <alignment horizontal="center" vertical="center"/>
    </xf>
    <xf numFmtId="0" fontId="8" fillId="0" borderId="16" xfId="28" applyFont="1" applyFill="1" applyBorder="1" applyAlignment="1" applyProtection="1">
      <alignment horizontal="center" vertical="center"/>
    </xf>
    <xf numFmtId="0" fontId="8" fillId="0" borderId="44" xfId="28" applyFont="1" applyFill="1" applyBorder="1" applyAlignment="1" applyProtection="1">
      <alignment horizontal="center" vertical="center"/>
    </xf>
    <xf numFmtId="0" fontId="4" fillId="4" borderId="7"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3" fillId="0" borderId="7"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1" fillId="0" borderId="7" xfId="0" quotePrefix="1" applyFont="1" applyBorder="1" applyAlignment="1">
      <alignment horizontal="center" vertical="center" wrapText="1"/>
    </xf>
    <xf numFmtId="0" fontId="1" fillId="0" borderId="5" xfId="0" applyFont="1" applyBorder="1" applyAlignment="1">
      <alignment horizontal="center" vertical="center" wrapText="1"/>
    </xf>
    <xf numFmtId="0" fontId="4" fillId="4" borderId="7" xfId="0" applyFont="1" applyFill="1" applyBorder="1" applyAlignment="1">
      <alignment horizontal="center" wrapText="1"/>
    </xf>
    <xf numFmtId="0" fontId="4" fillId="4" borderId="5" xfId="0" applyFont="1" applyFill="1" applyBorder="1" applyAlignment="1">
      <alignment horizontal="center" wrapText="1"/>
    </xf>
    <xf numFmtId="0" fontId="1" fillId="0" borderId="7" xfId="0" applyFont="1" applyBorder="1" applyAlignment="1">
      <alignment horizontal="center" vertical="center" wrapText="1"/>
    </xf>
    <xf numFmtId="0" fontId="5" fillId="0" borderId="7" xfId="0" applyFont="1" applyBorder="1" applyAlignment="1">
      <alignment horizontal="center" vertical="center" wrapText="1"/>
    </xf>
    <xf numFmtId="0" fontId="4" fillId="4" borderId="7" xfId="0" quotePrefix="1" applyFont="1" applyFill="1" applyBorder="1" applyAlignment="1">
      <alignment horizontal="center" wrapText="1"/>
    </xf>
    <xf numFmtId="0" fontId="4" fillId="4" borderId="5" xfId="0" quotePrefix="1" applyFont="1" applyFill="1" applyBorder="1" applyAlignment="1">
      <alignment horizontal="center" wrapText="1"/>
    </xf>
    <xf numFmtId="0" fontId="1" fillId="0" borderId="5" xfId="0" quotePrefix="1" applyFont="1" applyBorder="1" applyAlignment="1">
      <alignment horizontal="center" vertical="center" wrapText="1"/>
    </xf>
    <xf numFmtId="0" fontId="0" fillId="0" borderId="1" xfId="0" applyBorder="1" applyAlignment="1">
      <alignment horizontal="center" vertical="center"/>
    </xf>
    <xf numFmtId="0" fontId="4" fillId="4" borderId="4" xfId="0" quotePrefix="1" applyFont="1" applyFill="1" applyBorder="1" applyAlignment="1">
      <alignment horizontal="center" wrapText="1"/>
    </xf>
    <xf numFmtId="0" fontId="4" fillId="4" borderId="4" xfId="0" applyFont="1" applyFill="1" applyBorder="1" applyAlignment="1">
      <alignment horizontal="center" wrapText="1"/>
    </xf>
    <xf numFmtId="0" fontId="4" fillId="4" borderId="16" xfId="0" applyFont="1" applyFill="1" applyBorder="1" applyAlignment="1">
      <alignment horizontal="center" wrapText="1"/>
    </xf>
    <xf numFmtId="0" fontId="1" fillId="0" borderId="7" xfId="0" applyFont="1" applyBorder="1" applyAlignment="1">
      <alignment horizontal="center" wrapText="1"/>
    </xf>
    <xf numFmtId="0" fontId="1" fillId="0" borderId="16" xfId="0" applyFont="1" applyBorder="1" applyAlignment="1">
      <alignment horizontal="center" wrapText="1"/>
    </xf>
    <xf numFmtId="0" fontId="1" fillId="0" borderId="5" xfId="0" applyFont="1" applyBorder="1" applyAlignment="1">
      <alignment horizontal="center" wrapText="1"/>
    </xf>
    <xf numFmtId="0" fontId="19" fillId="0" borderId="18" xfId="0" applyFont="1" applyFill="1" applyBorder="1" applyAlignment="1">
      <alignment horizontal="center" vertical="center" wrapText="1"/>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13" fillId="0" borderId="18" xfId="0" applyFont="1" applyFill="1" applyBorder="1" applyAlignment="1">
      <alignment horizontal="center" vertical="top" wrapText="1"/>
    </xf>
    <xf numFmtId="0" fontId="19" fillId="0" borderId="18" xfId="0" applyFont="1" applyFill="1" applyBorder="1" applyAlignment="1">
      <alignment horizontal="center" vertical="top" wrapText="1"/>
    </xf>
    <xf numFmtId="0" fontId="5" fillId="0" borderId="4" xfId="0" applyFont="1" applyBorder="1" applyAlignment="1">
      <alignment horizontal="center" vertical="center" wrapText="1"/>
    </xf>
    <xf numFmtId="0" fontId="13" fillId="0" borderId="0" xfId="0" applyFont="1" applyFill="1" applyBorder="1" applyAlignment="1">
      <alignment horizontal="center" vertical="top" wrapText="1"/>
    </xf>
    <xf numFmtId="0" fontId="19" fillId="0" borderId="0" xfId="0" applyFont="1" applyFill="1" applyBorder="1" applyAlignment="1">
      <alignment horizontal="center" vertical="top" wrapText="1"/>
    </xf>
    <xf numFmtId="0" fontId="5" fillId="0" borderId="16" xfId="0" applyFont="1" applyBorder="1" applyAlignment="1">
      <alignment vertical="center"/>
    </xf>
    <xf numFmtId="0" fontId="0" fillId="0" borderId="16" xfId="0" applyBorder="1" applyAlignment="1">
      <alignment vertical="center"/>
    </xf>
    <xf numFmtId="0" fontId="0" fillId="0" borderId="5" xfId="0" applyBorder="1" applyAlignment="1">
      <alignment vertical="center"/>
    </xf>
    <xf numFmtId="0" fontId="0" fillId="0" borderId="7"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wrapText="1"/>
    </xf>
    <xf numFmtId="0" fontId="1" fillId="0" borderId="6" xfId="0" applyFont="1" applyBorder="1" applyAlignment="1">
      <alignment horizontal="center" vertical="center" wrapText="1"/>
    </xf>
    <xf numFmtId="0" fontId="0" fillId="0" borderId="15" xfId="0"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horizontal="center" vertical="center" wrapText="1"/>
    </xf>
    <xf numFmtId="2" fontId="4" fillId="0" borderId="7" xfId="0" applyNumberFormat="1" applyFont="1" applyBorder="1" applyAlignment="1">
      <alignment horizontal="center" vertical="center"/>
    </xf>
    <xf numFmtId="2" fontId="4" fillId="0" borderId="16" xfId="0" applyNumberFormat="1" applyFont="1" applyBorder="1" applyAlignment="1">
      <alignment horizontal="center" vertical="center"/>
    </xf>
    <xf numFmtId="2" fontId="4" fillId="0" borderId="5" xfId="0" applyNumberFormat="1" applyFont="1" applyBorder="1" applyAlignment="1">
      <alignment horizontal="center" vertical="center"/>
    </xf>
    <xf numFmtId="167" fontId="4" fillId="0" borderId="7" xfId="0" applyNumberFormat="1" applyFont="1" applyBorder="1" applyAlignment="1">
      <alignment horizontal="center" vertical="center"/>
    </xf>
    <xf numFmtId="167" fontId="4" fillId="0" borderId="16" xfId="0" applyNumberFormat="1" applyFont="1" applyBorder="1" applyAlignment="1">
      <alignment horizontal="center" vertical="center"/>
    </xf>
    <xf numFmtId="167" fontId="4" fillId="0" borderId="5" xfId="0" applyNumberFormat="1" applyFont="1" applyBorder="1" applyAlignment="1">
      <alignment horizontal="center" vertical="center"/>
    </xf>
    <xf numFmtId="167" fontId="11" fillId="0" borderId="7" xfId="32" applyNumberFormat="1" applyFont="1" applyBorder="1" applyAlignment="1" applyProtection="1">
      <alignment horizontal="center" vertical="center" wrapText="1"/>
    </xf>
    <xf numFmtId="167" fontId="11" fillId="0" borderId="16" xfId="32" applyNumberFormat="1" applyFont="1" applyBorder="1" applyAlignment="1" applyProtection="1">
      <alignment horizontal="center" vertical="center" wrapText="1"/>
    </xf>
    <xf numFmtId="167" fontId="11" fillId="0" borderId="5" xfId="32" applyNumberFormat="1" applyFont="1" applyBorder="1" applyAlignment="1" applyProtection="1">
      <alignment horizontal="center" vertical="center" wrapText="1"/>
    </xf>
    <xf numFmtId="0" fontId="0" fillId="0" borderId="16" xfId="0" applyBorder="1"/>
    <xf numFmtId="0" fontId="0" fillId="0" borderId="5" xfId="0" applyBorder="1"/>
    <xf numFmtId="0" fontId="20" fillId="0" borderId="0" xfId="32" applyFont="1" applyFill="1" applyBorder="1" applyAlignment="1">
      <alignment horizontal="left" vertical="center" wrapText="1"/>
    </xf>
    <xf numFmtId="0" fontId="1" fillId="0" borderId="4" xfId="0" applyFont="1" applyBorder="1" applyAlignment="1">
      <alignment horizontal="center" vertical="top" wrapText="1"/>
    </xf>
    <xf numFmtId="0" fontId="0" fillId="0" borderId="4" xfId="0" applyBorder="1" applyAlignment="1">
      <alignment horizontal="center" vertical="top" wrapText="1"/>
    </xf>
    <xf numFmtId="0" fontId="11" fillId="5" borderId="1" xfId="32" applyFont="1" applyFill="1" applyBorder="1" applyAlignment="1">
      <alignment horizontal="center" vertical="center" wrapText="1"/>
    </xf>
    <xf numFmtId="0" fontId="11" fillId="5" borderId="2" xfId="32" applyFont="1" applyFill="1" applyBorder="1" applyAlignment="1">
      <alignment horizontal="center" vertical="center" wrapText="1"/>
    </xf>
    <xf numFmtId="0" fontId="11" fillId="5" borderId="3" xfId="32" applyFont="1" applyFill="1" applyBorder="1" applyAlignment="1">
      <alignment horizontal="center" vertical="center" wrapText="1"/>
    </xf>
    <xf numFmtId="0" fontId="11" fillId="6" borderId="1" xfId="32" applyFont="1" applyFill="1" applyBorder="1" applyAlignment="1">
      <alignment horizontal="center" vertical="center" wrapText="1"/>
    </xf>
    <xf numFmtId="0" fontId="11" fillId="6" borderId="2" xfId="32" applyFont="1" applyFill="1" applyBorder="1" applyAlignment="1">
      <alignment horizontal="center" vertical="center" wrapText="1"/>
    </xf>
    <xf numFmtId="0" fontId="11" fillId="6" borderId="3" xfId="32" applyFont="1" applyFill="1" applyBorder="1" applyAlignment="1">
      <alignment horizontal="center" vertical="center" wrapText="1"/>
    </xf>
    <xf numFmtId="0" fontId="11" fillId="0" borderId="1" xfId="32" applyFont="1" applyBorder="1" applyAlignment="1">
      <alignment horizontal="center" vertical="center" wrapText="1"/>
    </xf>
    <xf numFmtId="0" fontId="11" fillId="0" borderId="2" xfId="32" applyFont="1" applyBorder="1" applyAlignment="1">
      <alignment horizontal="center" vertical="center" wrapText="1"/>
    </xf>
    <xf numFmtId="0" fontId="11" fillId="0" borderId="3" xfId="32" applyFont="1" applyBorder="1" applyAlignment="1">
      <alignment horizontal="center" vertical="center" wrapText="1"/>
    </xf>
    <xf numFmtId="0" fontId="0" fillId="9" borderId="13" xfId="0" applyFill="1" applyBorder="1" applyAlignment="1">
      <alignment horizontal="center"/>
    </xf>
    <xf numFmtId="0" fontId="0" fillId="9" borderId="14" xfId="0" applyFill="1" applyBorder="1" applyAlignment="1"/>
    <xf numFmtId="0" fontId="0" fillId="9" borderId="14" xfId="0" applyFill="1" applyBorder="1" applyAlignment="1">
      <alignment horizontal="center"/>
    </xf>
    <xf numFmtId="0" fontId="0" fillId="9" borderId="19" xfId="0" applyFill="1" applyBorder="1" applyAlignment="1"/>
    <xf numFmtId="0" fontId="0" fillId="9" borderId="15" xfId="0" applyFill="1" applyBorder="1" applyAlignment="1">
      <alignment horizontal="center"/>
    </xf>
    <xf numFmtId="0" fontId="0" fillId="9" borderId="4" xfId="0" applyFill="1" applyBorder="1" applyAlignment="1">
      <alignment horizontal="center"/>
    </xf>
    <xf numFmtId="9" fontId="0" fillId="17" borderId="9" xfId="33" applyFont="1" applyFill="1" applyBorder="1" applyAlignment="1">
      <alignment horizontal="center"/>
    </xf>
    <xf numFmtId="9" fontId="0" fillId="17" borderId="0" xfId="33" applyFont="1" applyFill="1" applyBorder="1" applyAlignment="1">
      <alignment horizontal="center"/>
    </xf>
    <xf numFmtId="0" fontId="0" fillId="17" borderId="0" xfId="0" applyFill="1" applyBorder="1" applyAlignment="1">
      <alignment horizontal="center"/>
    </xf>
    <xf numFmtId="0" fontId="19" fillId="0" borderId="7" xfId="0" applyFont="1" applyBorder="1" applyAlignment="1">
      <alignment horizontal="center" vertical="top" wrapText="1"/>
    </xf>
    <xf numFmtId="0" fontId="19" fillId="0" borderId="16" xfId="0" applyFont="1" applyBorder="1" applyAlignment="1">
      <alignment horizontal="center" vertical="top" wrapText="1"/>
    </xf>
    <xf numFmtId="0" fontId="19" fillId="0" borderId="5" xfId="0" applyFont="1" applyBorder="1" applyAlignment="1">
      <alignment horizontal="center" vertical="top" wrapText="1"/>
    </xf>
    <xf numFmtId="0" fontId="19" fillId="0" borderId="21" xfId="0" applyFont="1" applyBorder="1" applyAlignment="1">
      <alignment horizontal="center"/>
    </xf>
    <xf numFmtId="0" fontId="4" fillId="4" borderId="4" xfId="0" applyFont="1" applyFill="1" applyBorder="1" applyAlignment="1">
      <alignment horizontal="center" vertical="top" wrapText="1"/>
    </xf>
  </cellXfs>
  <cellStyles count="177">
    <cellStyle name="%" xfId="1"/>
    <cellStyle name="=C:\WINNT\SYSTEM32\COMMAND.COM" xfId="2"/>
    <cellStyle name="=C:\WINNT\SYSTEM32\COMMAND.COM 2" xfId="3"/>
    <cellStyle name="=C:\WINNT\SYSTEM32\COMMAND.COM 2 2" xfId="4"/>
    <cellStyle name="=C:\WINNT\SYSTEM32\COMMAND.COM 3" xfId="5"/>
    <cellStyle name="=C:\WINNT35\SYSTEM32\COMMAND.COM" xfId="6"/>
    <cellStyle name="Comma" xfId="7" builtinId="3"/>
    <cellStyle name="Comma 2" xfId="8"/>
    <cellStyle name="Comma 2 2" xfId="9"/>
    <cellStyle name="Currency 2" xfId="10"/>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Hyperlink" xfId="11" builtinId="8"/>
    <cellStyle name="Normal" xfId="0" builtinId="0"/>
    <cellStyle name="Normal 2" xfId="12"/>
    <cellStyle name="Normal 2 2" xfId="13"/>
    <cellStyle name="Normal 2 3" xfId="14"/>
    <cellStyle name="Normal 2_Appendix B DCP095 changes to WPD Wales METHOD M.xls" xfId="44"/>
    <cellStyle name="Normal 2_EDFE_SPN_Main_FBPQ (v030909) v4.7" xfId="15"/>
    <cellStyle name="Normal 3" xfId="16"/>
    <cellStyle name="Normal 3_EDFE_SPN_Main_FBPQ (v030909) v4.7" xfId="17"/>
    <cellStyle name="Normal 3_EPN FBPQ Connections Aug v 5 0 (opt3) Rounded" xfId="18"/>
    <cellStyle name="Normal 3_SPN FBPQ Connections Aug v 5 0 (opt3) Rounded" xfId="19"/>
    <cellStyle name="Normal 4" xfId="20"/>
    <cellStyle name="Normal 5" xfId="21"/>
    <cellStyle name="Normal 6" xfId="43"/>
    <cellStyle name="Normal_07-08 RRP - Section 5" xfId="22"/>
    <cellStyle name="Normal_CE-NEDL_0607_RRP_RAV_Draft HLFBPQ1" xfId="23"/>
    <cellStyle name="Normal_EDFE_SPN_Main_FBPQ (v030909) v4.7" xfId="24"/>
    <cellStyle name="Normal_Network Tables 07_08" xfId="25"/>
    <cellStyle name="Normal_Network Tables 07_08 2" xfId="26"/>
    <cellStyle name="Normal_Opex Tables" xfId="27"/>
    <cellStyle name="Normal_risk table" xfId="28"/>
    <cellStyle name="Normal_risk table_EDFE_SPN_Main_FBPQ (v030909) v4.7" xfId="29"/>
    <cellStyle name="Normal_RRP table 4_3 update" xfId="30"/>
    <cellStyle name="Normal_SPN FBPQ Connections Aug v 5 0 (opt3) Rounded" xfId="31"/>
    <cellStyle name="Normal_Tables for 2005-06 Cost report (linked data v2)" xfId="32"/>
    <cellStyle name="Percent" xfId="33" builtinId="5"/>
    <cellStyle name="Percent 2" xfId="34"/>
    <cellStyle name="Percent 2 2" xfId="35"/>
    <cellStyle name="Percent 2 3" xfId="36"/>
    <cellStyle name="Percent 2 4" xfId="37"/>
    <cellStyle name="Percent 2 5" xfId="38"/>
    <cellStyle name="Percent 3" xfId="39"/>
    <cellStyle name="Percent 4" xfId="40"/>
    <cellStyle name="Percent 4 2" xfId="41"/>
    <cellStyle name="Percent 6" xfId="4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1F9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calcChain" Target="calcChain.xml"/></Relationships>
</file>

<file path=xl/ctrlProps/ctrlProp1.xml><?xml version="1.0" encoding="utf-8"?>
<formControlPr xmlns="http://schemas.microsoft.com/office/spreadsheetml/2009/9/main" objectType="Radio" checked="Checked" firstButton="1" fmlaLink="$A$20" lockText="1" noThreeD="1"/>
</file>

<file path=xl/ctrlProps/ctrlProp2.xml><?xml version="1.0" encoding="utf-8"?>
<formControlPr xmlns="http://schemas.microsoft.com/office/spreadsheetml/2009/9/main" objectType="Radio" lockText="1" noThreeD="1"/>
</file>

<file path=xl/drawings/_rels/drawing2.xml.rels><?xml version="1.0" encoding="UTF-8" standalone="yes"?>
<Relationships xmlns="http://schemas.openxmlformats.org/package/2006/relationships"><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1" Type="http://schemas.openxmlformats.org/officeDocument/2006/relationships/hyperlink" Target="#Contents!A1"/></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314325</xdr:colOff>
          <xdr:row>19</xdr:row>
          <xdr:rowOff>47625</xdr:rowOff>
        </xdr:from>
        <xdr:to>
          <xdr:col>1</xdr:col>
          <xdr:colOff>1095375</xdr:colOff>
          <xdr:row>19</xdr:row>
          <xdr:rowOff>381000</xdr:rowOff>
        </xdr:to>
        <xdr:sp macro="" textlink="">
          <xdr:nvSpPr>
            <xdr:cNvPr id="2058" name="Option Button 10" hidden="1">
              <a:extLst>
                <a:ext uri="{63B3BB69-23CF-44E3-9099-C40C66FF867C}">
                  <a14:compatExt spid="_x0000_s2058"/>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xdr:row>
          <xdr:rowOff>47625</xdr:rowOff>
        </xdr:from>
        <xdr:to>
          <xdr:col>3</xdr:col>
          <xdr:colOff>0</xdr:colOff>
          <xdr:row>19</xdr:row>
          <xdr:rowOff>381000</xdr:rowOff>
        </xdr:to>
        <xdr:sp macro="" textlink="">
          <xdr:nvSpPr>
            <xdr:cNvPr id="2059" name="Option Button 11" hidden="1">
              <a:extLst>
                <a:ext uri="{63B3BB69-23CF-44E3-9099-C40C66FF867C}">
                  <a14:compatExt spid="_x0000_s2059"/>
                </a:ext>
              </a:extLst>
            </xdr:cNvPr>
            <xdr:cNvSpPr/>
          </xdr:nvSpPr>
          <xdr:spPr>
            <a:xfrm>
              <a:off x="0" y="0"/>
              <a:ext cx="0" cy="0"/>
            </a:xfrm>
            <a:prstGeom prst="rect">
              <a:avLst/>
            </a:prstGeom>
          </xdr:spPr>
          <xdr:txBody>
            <a:bodyPr vertOverflow="clip" wrap="square" lIns="27432" tIns="22860" rIns="0" bIns="22860" anchor="ctr" upright="1"/>
            <a:lstStyle/>
            <a:p>
              <a:pPr algn="l" rtl="0">
                <a:defRPr sz="1000"/>
              </a:pPr>
              <a:r>
                <a:rPr lang="en-GB" sz="1000" b="0" i="0" u="none" strike="noStrike" baseline="0">
                  <a:solidFill>
                    <a:srgbClr val="000000"/>
                  </a:solidFill>
                  <a:latin typeface="Geneva"/>
                </a:rPr>
                <a:t>LR1 opt 3</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336175</xdr:rowOff>
    </xdr:from>
    <xdr:to>
      <xdr:col>4</xdr:col>
      <xdr:colOff>48025</xdr:colOff>
      <xdr:row>2</xdr:row>
      <xdr:rowOff>112058</xdr:rowOff>
    </xdr:to>
    <xdr:sp macro="" textlink="">
      <xdr:nvSpPr>
        <xdr:cNvPr id="2" name="Rounded Rectangle 1">
          <a:hlinkClick xmlns:r="http://schemas.openxmlformats.org/officeDocument/2006/relationships" r:id="rId1"/>
        </xdr:cNvPr>
        <xdr:cNvSpPr/>
      </xdr:nvSpPr>
      <xdr:spPr>
        <a:xfrm>
          <a:off x="5314950" y="336175"/>
          <a:ext cx="1219600"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3" name="Rounded Rectangle 2">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0</xdr:colOff>
      <xdr:row>0</xdr:row>
      <xdr:rowOff>336175</xdr:rowOff>
    </xdr:from>
    <xdr:to>
      <xdr:col>4</xdr:col>
      <xdr:colOff>48025</xdr:colOff>
      <xdr:row>2</xdr:row>
      <xdr:rowOff>112058</xdr:rowOff>
    </xdr:to>
    <xdr:sp macro="" textlink="">
      <xdr:nvSpPr>
        <xdr:cNvPr id="4" name="Rounded Rectangle 3">
          <a:hlinkClick xmlns:r="http://schemas.openxmlformats.org/officeDocument/2006/relationships" r:id="rId1"/>
        </xdr:cNvPr>
        <xdr:cNvSpPr/>
      </xdr:nvSpPr>
      <xdr:spPr>
        <a:xfrm>
          <a:off x="7267575" y="336175"/>
          <a:ext cx="1210075" cy="337858"/>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1</xdr:row>
      <xdr:rowOff>0</xdr:rowOff>
    </xdr:from>
    <xdr:to>
      <xdr:col>9</xdr:col>
      <xdr:colOff>95250</xdr:colOff>
      <xdr:row>2</xdr:row>
      <xdr:rowOff>122465</xdr:rowOff>
    </xdr:to>
    <xdr:sp macro="" textlink="">
      <xdr:nvSpPr>
        <xdr:cNvPr id="3" name="Rounded Rectangle 2">
          <a:hlinkClick xmlns:r="http://schemas.openxmlformats.org/officeDocument/2006/relationships" r:id="rId1"/>
        </xdr:cNvPr>
        <xdr:cNvSpPr/>
      </xdr:nvSpPr>
      <xdr:spPr>
        <a:xfrm>
          <a:off x="5932714" y="340179"/>
          <a:ext cx="1224643" cy="353786"/>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4" name="Rounded Rectangle 3">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5" name="Rounded Rectangle 4">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8</xdr:col>
      <xdr:colOff>0</xdr:colOff>
      <xdr:row>1</xdr:row>
      <xdr:rowOff>0</xdr:rowOff>
    </xdr:from>
    <xdr:to>
      <xdr:col>9</xdr:col>
      <xdr:colOff>95250</xdr:colOff>
      <xdr:row>2</xdr:row>
      <xdr:rowOff>122465</xdr:rowOff>
    </xdr:to>
    <xdr:sp macro="" textlink="">
      <xdr:nvSpPr>
        <xdr:cNvPr id="6" name="Rounded Rectangle 5">
          <a:hlinkClick xmlns:r="http://schemas.openxmlformats.org/officeDocument/2006/relationships" r:id="rId1"/>
        </xdr:cNvPr>
        <xdr:cNvSpPr/>
      </xdr:nvSpPr>
      <xdr:spPr>
        <a:xfrm>
          <a:off x="7219950" y="333375"/>
          <a:ext cx="828675" cy="35106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2159000</xdr:colOff>
      <xdr:row>0</xdr:row>
      <xdr:rowOff>101599</xdr:rowOff>
    </xdr:from>
    <xdr:to>
      <xdr:col>3</xdr:col>
      <xdr:colOff>690336</xdr:colOff>
      <xdr:row>1</xdr:row>
      <xdr:rowOff>196849</xdr:rowOff>
    </xdr:to>
    <xdr:sp macro="" textlink="">
      <xdr:nvSpPr>
        <xdr:cNvPr id="2" name="Rounded Rectangle 1">
          <a:hlinkClick xmlns:r="http://schemas.openxmlformats.org/officeDocument/2006/relationships" r:id="rId1"/>
        </xdr:cNvPr>
        <xdr:cNvSpPr/>
      </xdr:nvSpPr>
      <xdr:spPr>
        <a:xfrm>
          <a:off x="5511800" y="101599"/>
          <a:ext cx="1223736" cy="3492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3" name="Rounded Rectangle 2">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4" name="Rounded Rectangle 3">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2</xdr:col>
      <xdr:colOff>2159000</xdr:colOff>
      <xdr:row>0</xdr:row>
      <xdr:rowOff>101599</xdr:rowOff>
    </xdr:from>
    <xdr:to>
      <xdr:col>3</xdr:col>
      <xdr:colOff>690336</xdr:colOff>
      <xdr:row>1</xdr:row>
      <xdr:rowOff>196849</xdr:rowOff>
    </xdr:to>
    <xdr:sp macro="" textlink="">
      <xdr:nvSpPr>
        <xdr:cNvPr id="5" name="Rounded Rectangle 4">
          <a:hlinkClick xmlns:r="http://schemas.openxmlformats.org/officeDocument/2006/relationships" r:id="rId1"/>
        </xdr:cNvPr>
        <xdr:cNvSpPr/>
      </xdr:nvSpPr>
      <xdr:spPr>
        <a:xfrm>
          <a:off x="5502275" y="101599"/>
          <a:ext cx="1217386" cy="352425"/>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xdr:rowOff>
    </xdr:from>
    <xdr:to>
      <xdr:col>5</xdr:col>
      <xdr:colOff>1224643</xdr:colOff>
      <xdr:row>2</xdr:row>
      <xdr:rowOff>95249</xdr:rowOff>
    </xdr:to>
    <xdr:sp macro="" textlink="">
      <xdr:nvSpPr>
        <xdr:cNvPr id="2" name="Rounded Rectangle 1">
          <a:hlinkClick xmlns:r="http://schemas.openxmlformats.org/officeDocument/2006/relationships" r:id="rId1"/>
        </xdr:cNvPr>
        <xdr:cNvSpPr/>
      </xdr:nvSpPr>
      <xdr:spPr>
        <a:xfrm>
          <a:off x="5592536" y="340178"/>
          <a:ext cx="1224643" cy="326571"/>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3" name="Rounded Rectangle 2">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4" name="Rounded Rectangle 3">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twoCellAnchor>
    <xdr:from>
      <xdr:col>5</xdr:col>
      <xdr:colOff>0</xdr:colOff>
      <xdr:row>1</xdr:row>
      <xdr:rowOff>-1</xdr:rowOff>
    </xdr:from>
    <xdr:to>
      <xdr:col>5</xdr:col>
      <xdr:colOff>1224643</xdr:colOff>
      <xdr:row>2</xdr:row>
      <xdr:rowOff>95249</xdr:rowOff>
    </xdr:to>
    <xdr:sp macro="" textlink="">
      <xdr:nvSpPr>
        <xdr:cNvPr id="5" name="Rounded Rectangle 4">
          <a:hlinkClick xmlns:r="http://schemas.openxmlformats.org/officeDocument/2006/relationships" r:id="rId1"/>
        </xdr:cNvPr>
        <xdr:cNvSpPr/>
      </xdr:nvSpPr>
      <xdr:spPr>
        <a:xfrm>
          <a:off x="5238750" y="333374"/>
          <a:ext cx="996043" cy="323850"/>
        </a:xfrm>
        <a:prstGeom prst="roundRect">
          <a:avLst/>
        </a:prstGeom>
      </xdr:spPr>
      <xdr:style>
        <a:lnRef idx="1">
          <a:schemeClr val="dk1"/>
        </a:lnRef>
        <a:fillRef idx="2">
          <a:schemeClr val="dk1"/>
        </a:fillRef>
        <a:effectRef idx="1">
          <a:schemeClr val="dk1"/>
        </a:effectRef>
        <a:fontRef idx="minor">
          <a:schemeClr val="dk1"/>
        </a:fontRef>
      </xdr:style>
      <xdr:txBody>
        <a:bodyPr rtlCol="0" anchor="ctr"/>
        <a:lstStyle/>
        <a:p>
          <a:pPr algn="ctr"/>
          <a:r>
            <a:rPr lang="en-GB" sz="1100"/>
            <a:t>Navigate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imperleyr/Downloads/CE-NEDL_0607_RRP_RA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ranck/Documents/Reckon%20LLP/DCUSA%20-%20Model%20maintenance/X_Franck%20mess%2018Nov2013/DCP%20118%20workings%20and%20tests/Transmission%20PCRRP%20tables_SHETL_2007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imperleyr/Downloads/ENW_Main_FBPQ.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Master%20RRP%200708%20v7-1-PR%20(inc%20LPN%20test%20data)%20formatt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Network Analysis Load"/>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iversal dat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igation"/>
      <sheetName val="Cover"/>
      <sheetName val="Contents"/>
      <sheetName val="Check&amp;Bal report"/>
      <sheetName val="Names and date input"/>
      <sheetName val="1.1 DPCR4 Summary Indicators"/>
      <sheetName val="1.2 Activity Analysis"/>
      <sheetName val="1.3 Full Activity costs"/>
      <sheetName val="2.1 Reg Accounts Rec"/>
      <sheetName val="2.2 Detailed Cost Matrix"/>
      <sheetName val="2.3 Insp, maint,tree &amp; Faults"/>
      <sheetName val="2.4 Detailed Capex"/>
      <sheetName val="2.5 Atypicals &amp; provisions"/>
      <sheetName val="2.6 Miscellaneous"/>
      <sheetName val="2.7 FTEs"/>
      <sheetName val="2.8 Detailed IT"/>
      <sheetName val="2.9 Business Support"/>
      <sheetName val="2.10 Excluded Services"/>
      <sheetName val="2.11 Related Party analysis"/>
      <sheetName val="2.12 Cost Mapping"/>
      <sheetName val="2.13 Year movement"/>
      <sheetName val="2.14 TMA &amp; ESQCR Data"/>
      <sheetName val="3.1 Net Debt and Borrowings"/>
      <sheetName val="3.2 Cash Pension contributions"/>
      <sheetName val="3.3 Tax Capital allowances"/>
      <sheetName val="3.4 Tax computation"/>
      <sheetName val="4.1 RAV rollforward"/>
      <sheetName val="4.2 Indirect Cost Adjustment"/>
      <sheetName val="4.3 DPCR4 basis"/>
      <sheetName val="4.4 RP Margin Adjustment"/>
      <sheetName val="5.1 Network Data"/>
      <sheetName val="5.2 DPCR4 Capex Plan"/>
      <sheetName val="5.3 Asset data"/>
      <sheetName val="5.4 Asset age profile"/>
      <sheetName val="5.5 Capex scheme analysis"/>
      <sheetName val="5.6 OHL Refurb"/>
      <sheetName val="5.7 Veg management"/>
      <sheetName val="5.8 Network Analysis Load"/>
      <sheetName val="5.9 Network Fault Levels"/>
      <sheetName val="5.10 Network Analysis Non-Loa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12">
          <cell r="C12">
            <v>59.2</v>
          </cell>
          <cell r="AI12" t="str">
            <v>Yes</v>
          </cell>
        </row>
        <row r="13">
          <cell r="C13">
            <v>0</v>
          </cell>
        </row>
        <row r="14">
          <cell r="C14">
            <v>0.1</v>
          </cell>
          <cell r="AJ14" t="str">
            <v>Yes</v>
          </cell>
        </row>
        <row r="15">
          <cell r="C15">
            <v>0</v>
          </cell>
          <cell r="AI15" t="str">
            <v>Yes</v>
          </cell>
        </row>
        <row r="16">
          <cell r="C16">
            <v>0.2</v>
          </cell>
          <cell r="AI16" t="str">
            <v>Yes</v>
          </cell>
        </row>
        <row r="17">
          <cell r="C17">
            <v>0.3</v>
          </cell>
          <cell r="AI17" t="str">
            <v>Yes</v>
          </cell>
        </row>
        <row r="18">
          <cell r="C18">
            <v>1.7</v>
          </cell>
          <cell r="AI18" t="str">
            <v>Yes</v>
          </cell>
        </row>
        <row r="19">
          <cell r="C19">
            <v>0.30000000000000004</v>
          </cell>
          <cell r="AI19" t="str">
            <v>Yes</v>
          </cell>
        </row>
        <row r="20">
          <cell r="C20">
            <v>2.8000000000000003</v>
          </cell>
          <cell r="AI20" t="str">
            <v>Yes</v>
          </cell>
        </row>
        <row r="21">
          <cell r="C21">
            <v>0.5</v>
          </cell>
          <cell r="AI21" t="str">
            <v>Yes</v>
          </cell>
        </row>
        <row r="22">
          <cell r="C22">
            <v>2.2000000000000002</v>
          </cell>
          <cell r="AI22" t="str">
            <v>Yes</v>
          </cell>
        </row>
        <row r="23">
          <cell r="C23">
            <v>10.3</v>
          </cell>
          <cell r="AI23" t="str">
            <v>Yes</v>
          </cell>
        </row>
        <row r="24">
          <cell r="C24">
            <v>8.2000000000000011</v>
          </cell>
          <cell r="AI24" t="str">
            <v>Yes</v>
          </cell>
        </row>
        <row r="25">
          <cell r="C25">
            <v>0.7</v>
          </cell>
          <cell r="AI25" t="str">
            <v>Yes</v>
          </cell>
        </row>
        <row r="26">
          <cell r="C26">
            <v>0.4</v>
          </cell>
          <cell r="AI26" t="str">
            <v>Yes</v>
          </cell>
        </row>
        <row r="27">
          <cell r="C27">
            <v>0.7</v>
          </cell>
          <cell r="AI27" t="str">
            <v>Yes</v>
          </cell>
        </row>
        <row r="28">
          <cell r="C28">
            <v>0.4</v>
          </cell>
          <cell r="AI28" t="str">
            <v>Yes</v>
          </cell>
        </row>
        <row r="29">
          <cell r="C29">
            <v>0.4</v>
          </cell>
          <cell r="AI29" t="str">
            <v>Yes</v>
          </cell>
        </row>
        <row r="30">
          <cell r="C30">
            <v>0.1</v>
          </cell>
          <cell r="AI30" t="str">
            <v>Yes</v>
          </cell>
        </row>
        <row r="31">
          <cell r="C31">
            <v>0</v>
          </cell>
        </row>
        <row r="32">
          <cell r="C32">
            <v>0.1</v>
          </cell>
          <cell r="AJ32" t="str">
            <v>Yes</v>
          </cell>
        </row>
        <row r="33">
          <cell r="C33">
            <v>0.1</v>
          </cell>
          <cell r="AJ33" t="str">
            <v>Yes</v>
          </cell>
        </row>
        <row r="34">
          <cell r="C34">
            <v>2.3000000000000003</v>
          </cell>
          <cell r="AI34" t="str">
            <v>Yes</v>
          </cell>
        </row>
        <row r="35">
          <cell r="C35">
            <v>0.1</v>
          </cell>
          <cell r="AJ35" t="str">
            <v>Yes</v>
          </cell>
        </row>
        <row r="36">
          <cell r="C36">
            <v>0</v>
          </cell>
        </row>
        <row r="37">
          <cell r="C37">
            <v>0.1</v>
          </cell>
          <cell r="AJ37" t="str">
            <v>Yes</v>
          </cell>
        </row>
        <row r="38">
          <cell r="C38">
            <v>6.6999999999999993</v>
          </cell>
          <cell r="AI38" t="str">
            <v>Yes</v>
          </cell>
        </row>
        <row r="39">
          <cell r="C39">
            <v>2.5</v>
          </cell>
          <cell r="AI39" t="str">
            <v>Yes</v>
          </cell>
        </row>
        <row r="40">
          <cell r="C40">
            <v>1.4</v>
          </cell>
          <cell r="AI40" t="str">
            <v>Yes</v>
          </cell>
        </row>
        <row r="41">
          <cell r="C41">
            <v>0</v>
          </cell>
        </row>
        <row r="42">
          <cell r="C42">
            <v>0.1</v>
          </cell>
          <cell r="AJ42" t="str">
            <v>Yes</v>
          </cell>
        </row>
        <row r="43">
          <cell r="C43">
            <v>0.1</v>
          </cell>
          <cell r="AJ43" t="str">
            <v>Yes</v>
          </cell>
        </row>
        <row r="44">
          <cell r="C44">
            <v>0</v>
          </cell>
        </row>
        <row r="45">
          <cell r="C45">
            <v>0.2</v>
          </cell>
          <cell r="AJ45" t="str">
            <v>Yes</v>
          </cell>
        </row>
        <row r="46">
          <cell r="C46">
            <v>5.4</v>
          </cell>
          <cell r="AI46" t="str">
            <v>Yes</v>
          </cell>
        </row>
        <row r="47">
          <cell r="C47">
            <v>7.9</v>
          </cell>
          <cell r="AI47" t="str">
            <v>Yes</v>
          </cell>
        </row>
        <row r="48">
          <cell r="C48">
            <v>0</v>
          </cell>
        </row>
        <row r="49">
          <cell r="C49">
            <v>0</v>
          </cell>
        </row>
        <row r="50">
          <cell r="C50">
            <v>0</v>
          </cell>
        </row>
        <row r="51">
          <cell r="C51">
            <v>0.7</v>
          </cell>
          <cell r="AJ51" t="str">
            <v>Yes</v>
          </cell>
        </row>
        <row r="52">
          <cell r="C52">
            <v>0.1</v>
          </cell>
          <cell r="AJ52" t="str">
            <v>Yes</v>
          </cell>
        </row>
        <row r="53">
          <cell r="C53">
            <v>0.4</v>
          </cell>
          <cell r="AJ53" t="str">
            <v>Yes</v>
          </cell>
        </row>
        <row r="54">
          <cell r="C54">
            <v>2.2000000000000002</v>
          </cell>
          <cell r="AJ54" t="str">
            <v>Yes</v>
          </cell>
        </row>
        <row r="55">
          <cell r="C55">
            <v>0.8</v>
          </cell>
          <cell r="AJ55" t="str">
            <v>Yes</v>
          </cell>
        </row>
        <row r="56">
          <cell r="C56">
            <v>0.9</v>
          </cell>
          <cell r="AJ56" t="str">
            <v>Yes</v>
          </cell>
        </row>
        <row r="57">
          <cell r="C57">
            <v>0.1</v>
          </cell>
          <cell r="AJ57" t="str">
            <v>Yes</v>
          </cell>
        </row>
        <row r="58">
          <cell r="C58">
            <v>0.1</v>
          </cell>
          <cell r="AJ58" t="str">
            <v>Yes</v>
          </cell>
        </row>
        <row r="59">
          <cell r="C59">
            <v>0.1</v>
          </cell>
          <cell r="AJ59" t="str">
            <v>Yes</v>
          </cell>
        </row>
        <row r="60">
          <cell r="C60">
            <v>0</v>
          </cell>
        </row>
        <row r="61">
          <cell r="C61">
            <v>0.30000000000000004</v>
          </cell>
          <cell r="AJ61" t="str">
            <v>Yes</v>
          </cell>
        </row>
        <row r="62">
          <cell r="C62">
            <v>0</v>
          </cell>
        </row>
        <row r="63">
          <cell r="C63">
            <v>0.1</v>
          </cell>
          <cell r="AI63" t="str">
            <v>Yes</v>
          </cell>
        </row>
        <row r="64">
          <cell r="C64">
            <v>1.2</v>
          </cell>
          <cell r="AI64" t="str">
            <v>Yes</v>
          </cell>
        </row>
        <row r="65">
          <cell r="C65">
            <v>33.5</v>
          </cell>
          <cell r="AI65" t="str">
            <v>Yes</v>
          </cell>
        </row>
        <row r="66">
          <cell r="C66">
            <v>1.6</v>
          </cell>
          <cell r="AI66" t="str">
            <v>Yes</v>
          </cell>
        </row>
        <row r="67">
          <cell r="C67">
            <v>1.4</v>
          </cell>
          <cell r="AI67" t="str">
            <v>Yes</v>
          </cell>
        </row>
        <row r="68">
          <cell r="C68">
            <v>0.90000000000000013</v>
          </cell>
          <cell r="AI68" t="str">
            <v>Yes</v>
          </cell>
        </row>
        <row r="69">
          <cell r="C69">
            <v>0.5</v>
          </cell>
          <cell r="AI69" t="str">
            <v>Yes</v>
          </cell>
        </row>
        <row r="70">
          <cell r="C70">
            <v>0.4</v>
          </cell>
          <cell r="AI70" t="str">
            <v>Yes</v>
          </cell>
        </row>
        <row r="71">
          <cell r="C71">
            <v>0.1</v>
          </cell>
          <cell r="AI71" t="str">
            <v>Yes</v>
          </cell>
        </row>
        <row r="72">
          <cell r="C72">
            <v>0</v>
          </cell>
        </row>
        <row r="73">
          <cell r="C73">
            <v>0.2</v>
          </cell>
          <cell r="AI73" t="str">
            <v>Yes</v>
          </cell>
        </row>
        <row r="74">
          <cell r="C74">
            <v>0</v>
          </cell>
        </row>
        <row r="75">
          <cell r="C75">
            <v>0.1</v>
          </cell>
          <cell r="AJ75" t="str">
            <v>Yes</v>
          </cell>
        </row>
        <row r="76">
          <cell r="C76">
            <v>0</v>
          </cell>
        </row>
        <row r="77">
          <cell r="C77">
            <v>0.3</v>
          </cell>
          <cell r="AJ77" t="str">
            <v>Yes</v>
          </cell>
        </row>
        <row r="78">
          <cell r="C78">
            <v>0.6</v>
          </cell>
          <cell r="AJ78" t="str">
            <v>Yes</v>
          </cell>
        </row>
        <row r="79">
          <cell r="C79">
            <v>0.6</v>
          </cell>
          <cell r="AJ79" t="str">
            <v>Yes</v>
          </cell>
        </row>
        <row r="80">
          <cell r="C80">
            <v>0.3</v>
          </cell>
          <cell r="AJ80" t="str">
            <v>Yes</v>
          </cell>
        </row>
        <row r="81">
          <cell r="C81">
            <v>0.7</v>
          </cell>
          <cell r="AJ81" t="str">
            <v>Yes</v>
          </cell>
        </row>
        <row r="82">
          <cell r="C82">
            <v>0.8</v>
          </cell>
          <cell r="AJ82" t="str">
            <v>Yes</v>
          </cell>
        </row>
        <row r="83">
          <cell r="C83">
            <v>0.1</v>
          </cell>
          <cell r="AJ83" t="str">
            <v>Yes</v>
          </cell>
        </row>
        <row r="84">
          <cell r="C84">
            <v>0</v>
          </cell>
        </row>
        <row r="85">
          <cell r="C85">
            <v>-0.3</v>
          </cell>
          <cell r="AI85" t="str">
            <v>Yes</v>
          </cell>
        </row>
        <row r="86">
          <cell r="C86">
            <v>0.6</v>
          </cell>
          <cell r="AI86" t="str">
            <v>Yes</v>
          </cell>
        </row>
        <row r="87">
          <cell r="C87">
            <v>0.2</v>
          </cell>
          <cell r="AI87" t="str">
            <v>Yes</v>
          </cell>
        </row>
        <row r="88">
          <cell r="C88">
            <v>0.1</v>
          </cell>
          <cell r="AI88" t="str">
            <v>Yes</v>
          </cell>
        </row>
        <row r="89">
          <cell r="C89">
            <v>0.1</v>
          </cell>
          <cell r="AI89" t="str">
            <v>Yes</v>
          </cell>
        </row>
        <row r="90">
          <cell r="C90">
            <v>0</v>
          </cell>
        </row>
        <row r="91">
          <cell r="C91">
            <v>0.1</v>
          </cell>
          <cell r="AJ91" t="str">
            <v>Yes</v>
          </cell>
        </row>
        <row r="92">
          <cell r="C92">
            <v>0.1</v>
          </cell>
          <cell r="AJ92" t="str">
            <v>Yes</v>
          </cell>
        </row>
        <row r="93">
          <cell r="C93">
            <v>0.5</v>
          </cell>
          <cell r="AJ93" t="str">
            <v>Yes</v>
          </cell>
        </row>
        <row r="94">
          <cell r="C94">
            <v>0.5</v>
          </cell>
          <cell r="AI94" t="str">
            <v>Yes</v>
          </cell>
        </row>
        <row r="95">
          <cell r="C95">
            <v>27.200000000000003</v>
          </cell>
          <cell r="AI95" t="str">
            <v>Yes</v>
          </cell>
        </row>
        <row r="96">
          <cell r="C96">
            <v>58.2</v>
          </cell>
          <cell r="AI96" t="str">
            <v>Yes</v>
          </cell>
        </row>
        <row r="97">
          <cell r="C97">
            <v>0.30000000000000004</v>
          </cell>
          <cell r="AJ97" t="str">
            <v>Yes</v>
          </cell>
        </row>
        <row r="98">
          <cell r="C98">
            <v>0</v>
          </cell>
        </row>
        <row r="99">
          <cell r="C99">
            <v>0.2</v>
          </cell>
          <cell r="AJ99" t="str">
            <v>Yes</v>
          </cell>
        </row>
        <row r="100">
          <cell r="C100">
            <v>0.1</v>
          </cell>
          <cell r="AJ100" t="str">
            <v>Yes</v>
          </cell>
        </row>
        <row r="101">
          <cell r="C101">
            <v>0.1</v>
          </cell>
          <cell r="AJ101" t="str">
            <v>Yes</v>
          </cell>
        </row>
        <row r="102">
          <cell r="C102">
            <v>0</v>
          </cell>
          <cell r="AJ102" t="str">
            <v>Yes</v>
          </cell>
        </row>
        <row r="103">
          <cell r="C103">
            <v>0.2</v>
          </cell>
          <cell r="AJ103" t="str">
            <v>Yes</v>
          </cell>
        </row>
        <row r="104">
          <cell r="C104">
            <v>0.1</v>
          </cell>
          <cell r="AJ104" t="str">
            <v>Yes</v>
          </cell>
        </row>
        <row r="105">
          <cell r="C105">
            <v>0.1</v>
          </cell>
          <cell r="AJ105" t="str">
            <v>Yes</v>
          </cell>
        </row>
        <row r="106">
          <cell r="C106">
            <v>0</v>
          </cell>
        </row>
        <row r="107">
          <cell r="C107">
            <v>0.1</v>
          </cell>
          <cell r="AJ107" t="str">
            <v>Yes</v>
          </cell>
        </row>
        <row r="108">
          <cell r="C108">
            <v>0.1</v>
          </cell>
          <cell r="AJ108" t="str">
            <v>Yes</v>
          </cell>
        </row>
        <row r="109">
          <cell r="C109">
            <v>0.2</v>
          </cell>
          <cell r="AJ109" t="str">
            <v>Yes</v>
          </cell>
        </row>
        <row r="110">
          <cell r="C110">
            <v>0.4</v>
          </cell>
          <cell r="AJ110" t="str">
            <v>Yes</v>
          </cell>
        </row>
        <row r="111">
          <cell r="C111">
            <v>0.8</v>
          </cell>
          <cell r="AJ111" t="str">
            <v>Yes</v>
          </cell>
        </row>
        <row r="112">
          <cell r="C112">
            <v>0.1</v>
          </cell>
          <cell r="AJ112" t="str">
            <v>Yes</v>
          </cell>
        </row>
        <row r="113">
          <cell r="C113">
            <v>0.89999999999999991</v>
          </cell>
          <cell r="AJ113" t="str">
            <v>Yes</v>
          </cell>
        </row>
        <row r="114">
          <cell r="C114">
            <v>0.2</v>
          </cell>
          <cell r="AJ114" t="str">
            <v>Yes</v>
          </cell>
        </row>
        <row r="115">
          <cell r="C115">
            <v>0.1</v>
          </cell>
          <cell r="AJ115" t="str">
            <v>Yes</v>
          </cell>
        </row>
        <row r="116">
          <cell r="C116">
            <v>0.1</v>
          </cell>
          <cell r="AJ116" t="str">
            <v>Yes</v>
          </cell>
        </row>
        <row r="117">
          <cell r="C117">
            <v>0.1</v>
          </cell>
          <cell r="AJ117" t="str">
            <v>Yes</v>
          </cell>
        </row>
        <row r="118">
          <cell r="C118">
            <v>0</v>
          </cell>
        </row>
        <row r="119">
          <cell r="C119">
            <v>0.2</v>
          </cell>
          <cell r="AJ119" t="str">
            <v>Yes</v>
          </cell>
        </row>
        <row r="120">
          <cell r="C120">
            <v>0.3</v>
          </cell>
          <cell r="AJ120" t="str">
            <v>Yes</v>
          </cell>
        </row>
        <row r="121">
          <cell r="C121">
            <v>0.1</v>
          </cell>
          <cell r="AJ121" t="str">
            <v>Yes</v>
          </cell>
        </row>
        <row r="122">
          <cell r="C122">
            <v>0.2</v>
          </cell>
          <cell r="AJ122" t="str">
            <v>Yes</v>
          </cell>
        </row>
        <row r="123">
          <cell r="C123">
            <v>0.1</v>
          </cell>
          <cell r="AJ123" t="str">
            <v>Yes</v>
          </cell>
        </row>
        <row r="124">
          <cell r="C124">
            <v>0.2</v>
          </cell>
          <cell r="AJ124" t="str">
            <v>Yes</v>
          </cell>
        </row>
        <row r="125">
          <cell r="C125">
            <v>0</v>
          </cell>
        </row>
        <row r="126">
          <cell r="C126">
            <v>0.1</v>
          </cell>
          <cell r="AJ126" t="str">
            <v>Yes</v>
          </cell>
        </row>
        <row r="127">
          <cell r="C127">
            <v>0.30000000000000004</v>
          </cell>
          <cell r="AJ127" t="str">
            <v>Yes</v>
          </cell>
        </row>
        <row r="128">
          <cell r="C128">
            <v>0.60000000000000009</v>
          </cell>
          <cell r="AJ128" t="str">
            <v>Yes</v>
          </cell>
        </row>
        <row r="129">
          <cell r="C129">
            <v>0.1</v>
          </cell>
          <cell r="AJ129" t="str">
            <v>Yes</v>
          </cell>
        </row>
        <row r="130">
          <cell r="C130">
            <v>0.2</v>
          </cell>
          <cell r="AJ130" t="str">
            <v>Yes</v>
          </cell>
        </row>
        <row r="131">
          <cell r="C131">
            <v>0.1</v>
          </cell>
          <cell r="AJ131" t="str">
            <v>Yes</v>
          </cell>
        </row>
        <row r="132">
          <cell r="C132">
            <v>0.5</v>
          </cell>
          <cell r="AJ132" t="str">
            <v>Yes</v>
          </cell>
        </row>
        <row r="133">
          <cell r="C133">
            <v>0</v>
          </cell>
        </row>
        <row r="134">
          <cell r="C134">
            <v>3.4000000000000004</v>
          </cell>
          <cell r="AJ134" t="str">
            <v>Yes</v>
          </cell>
        </row>
        <row r="135">
          <cell r="C135">
            <v>8.5</v>
          </cell>
          <cell r="AJ135" t="str">
            <v>Yes</v>
          </cell>
        </row>
        <row r="136">
          <cell r="C136">
            <v>0</v>
          </cell>
        </row>
        <row r="137">
          <cell r="C137">
            <v>3.2</v>
          </cell>
          <cell r="AJ137" t="str">
            <v>Yes</v>
          </cell>
        </row>
        <row r="138">
          <cell r="C138">
            <v>0.2</v>
          </cell>
          <cell r="AJ138" t="str">
            <v>Yes</v>
          </cell>
        </row>
        <row r="139">
          <cell r="C139">
            <v>0.7</v>
          </cell>
          <cell r="AJ139" t="str">
            <v>Yes</v>
          </cell>
        </row>
        <row r="140">
          <cell r="C140">
            <v>0.2</v>
          </cell>
          <cell r="AJ140" t="str">
            <v>Yes</v>
          </cell>
        </row>
        <row r="141">
          <cell r="C141">
            <v>2.4000000000000004</v>
          </cell>
          <cell r="AJ141" t="str">
            <v>Yes</v>
          </cell>
        </row>
        <row r="142">
          <cell r="C142">
            <v>-0.2</v>
          </cell>
          <cell r="AJ142" t="str">
            <v>Yes</v>
          </cell>
        </row>
        <row r="143">
          <cell r="C143">
            <v>0.2</v>
          </cell>
          <cell r="AJ143" t="str">
            <v>Yes</v>
          </cell>
        </row>
        <row r="144">
          <cell r="C144">
            <v>0.5</v>
          </cell>
          <cell r="AJ144" t="str">
            <v>Yes</v>
          </cell>
        </row>
        <row r="145">
          <cell r="C145">
            <v>2.1</v>
          </cell>
          <cell r="AJ145" t="str">
            <v>Yes</v>
          </cell>
        </row>
        <row r="146">
          <cell r="C146">
            <v>0.1</v>
          </cell>
          <cell r="AJ146" t="str">
            <v>Yes</v>
          </cell>
        </row>
        <row r="147">
          <cell r="C147">
            <v>4.8</v>
          </cell>
          <cell r="AJ147" t="str">
            <v>Yes</v>
          </cell>
        </row>
        <row r="148">
          <cell r="C148">
            <v>3.9999999999999996</v>
          </cell>
          <cell r="AJ148" t="str">
            <v>Yes</v>
          </cell>
        </row>
        <row r="149">
          <cell r="C149">
            <v>2.2000000000000006</v>
          </cell>
        </row>
        <row r="150">
          <cell r="C150">
            <v>0</v>
          </cell>
        </row>
        <row r="151">
          <cell r="C151">
            <v>0</v>
          </cell>
        </row>
        <row r="152">
          <cell r="C152">
            <v>0</v>
          </cell>
        </row>
        <row r="153">
          <cell r="C153">
            <v>0</v>
          </cell>
        </row>
        <row r="154">
          <cell r="C154">
            <v>0</v>
          </cell>
        </row>
        <row r="155">
          <cell r="C155">
            <v>0</v>
          </cell>
        </row>
        <row r="156">
          <cell r="C156">
            <v>0</v>
          </cell>
        </row>
        <row r="157">
          <cell r="C157">
            <v>0</v>
          </cell>
        </row>
        <row r="158">
          <cell r="C158">
            <v>0</v>
          </cell>
        </row>
        <row r="159">
          <cell r="C159">
            <v>0</v>
          </cell>
        </row>
        <row r="160">
          <cell r="C160">
            <v>0</v>
          </cell>
        </row>
        <row r="161">
          <cell r="C161">
            <v>0</v>
          </cell>
        </row>
        <row r="162">
          <cell r="C162">
            <v>0</v>
          </cell>
        </row>
        <row r="163">
          <cell r="C163">
            <v>0</v>
          </cell>
        </row>
        <row r="164">
          <cell r="C164">
            <v>0</v>
          </cell>
        </row>
        <row r="165">
          <cell r="C165">
            <v>0</v>
          </cell>
        </row>
        <row r="166">
          <cell r="C166">
            <v>0</v>
          </cell>
        </row>
        <row r="167">
          <cell r="C167">
            <v>0</v>
          </cell>
        </row>
        <row r="168">
          <cell r="C168">
            <v>0</v>
          </cell>
        </row>
        <row r="169">
          <cell r="C169">
            <v>0</v>
          </cell>
        </row>
        <row r="170">
          <cell r="C170">
            <v>0</v>
          </cell>
        </row>
        <row r="171">
          <cell r="C171">
            <v>0</v>
          </cell>
        </row>
        <row r="172">
          <cell r="C172">
            <v>0</v>
          </cell>
        </row>
        <row r="173">
          <cell r="C173">
            <v>0</v>
          </cell>
        </row>
        <row r="174">
          <cell r="C174">
            <v>0</v>
          </cell>
        </row>
        <row r="175">
          <cell r="C175">
            <v>0</v>
          </cell>
        </row>
        <row r="176">
          <cell r="C176">
            <v>0</v>
          </cell>
        </row>
        <row r="177">
          <cell r="C177">
            <v>0</v>
          </cell>
        </row>
        <row r="178">
          <cell r="C178">
            <v>0</v>
          </cell>
        </row>
        <row r="179">
          <cell r="C179">
            <v>0</v>
          </cell>
        </row>
        <row r="180">
          <cell r="C180">
            <v>0</v>
          </cell>
        </row>
        <row r="181">
          <cell r="C181">
            <v>0</v>
          </cell>
        </row>
        <row r="182">
          <cell r="C182">
            <v>0</v>
          </cell>
        </row>
        <row r="183">
          <cell r="C183">
            <v>0</v>
          </cell>
        </row>
        <row r="184">
          <cell r="C184">
            <v>0</v>
          </cell>
        </row>
        <row r="185">
          <cell r="C185">
            <v>0</v>
          </cell>
        </row>
        <row r="186">
          <cell r="C186">
            <v>0</v>
          </cell>
        </row>
        <row r="187">
          <cell r="C187">
            <v>0</v>
          </cell>
        </row>
        <row r="188">
          <cell r="C188">
            <v>0</v>
          </cell>
        </row>
        <row r="189">
          <cell r="C189">
            <v>0</v>
          </cell>
        </row>
        <row r="190">
          <cell r="C190">
            <v>0</v>
          </cell>
        </row>
        <row r="191">
          <cell r="C191">
            <v>0</v>
          </cell>
        </row>
        <row r="192">
          <cell r="C192">
            <v>0</v>
          </cell>
        </row>
        <row r="193">
          <cell r="C193">
            <v>0</v>
          </cell>
        </row>
        <row r="194">
          <cell r="C194">
            <v>0</v>
          </cell>
        </row>
        <row r="195">
          <cell r="C195">
            <v>0</v>
          </cell>
        </row>
        <row r="196">
          <cell r="C196">
            <v>0</v>
          </cell>
        </row>
        <row r="197">
          <cell r="C197">
            <v>0</v>
          </cell>
        </row>
        <row r="198">
          <cell r="C198">
            <v>0</v>
          </cell>
        </row>
        <row r="199">
          <cell r="C199">
            <v>0</v>
          </cell>
        </row>
        <row r="200">
          <cell r="C200">
            <v>0</v>
          </cell>
        </row>
        <row r="201">
          <cell r="C201">
            <v>0</v>
          </cell>
        </row>
        <row r="202">
          <cell r="C202">
            <v>0</v>
          </cell>
        </row>
        <row r="203">
          <cell r="C203">
            <v>0</v>
          </cell>
        </row>
        <row r="204">
          <cell r="C204">
            <v>0</v>
          </cell>
        </row>
        <row r="205">
          <cell r="C205">
            <v>0</v>
          </cell>
        </row>
        <row r="206">
          <cell r="C206">
            <v>0</v>
          </cell>
        </row>
        <row r="207">
          <cell r="C207">
            <v>0</v>
          </cell>
        </row>
        <row r="208">
          <cell r="C208">
            <v>0</v>
          </cell>
        </row>
        <row r="209">
          <cell r="C209">
            <v>0</v>
          </cell>
        </row>
        <row r="210">
          <cell r="C210">
            <v>0</v>
          </cell>
        </row>
        <row r="211">
          <cell r="C211">
            <v>0</v>
          </cell>
        </row>
        <row r="212">
          <cell r="C212">
            <v>0</v>
          </cell>
        </row>
        <row r="213">
          <cell r="C213">
            <v>0</v>
          </cell>
        </row>
        <row r="214">
          <cell r="C214">
            <v>0</v>
          </cell>
        </row>
        <row r="215">
          <cell r="C215">
            <v>0</v>
          </cell>
        </row>
        <row r="216">
          <cell r="C216">
            <v>0</v>
          </cell>
        </row>
        <row r="217">
          <cell r="C217">
            <v>0</v>
          </cell>
        </row>
        <row r="218">
          <cell r="C218">
            <v>0</v>
          </cell>
        </row>
        <row r="219">
          <cell r="C219">
            <v>0</v>
          </cell>
        </row>
        <row r="220">
          <cell r="C220">
            <v>0</v>
          </cell>
        </row>
        <row r="221">
          <cell r="C221">
            <v>0</v>
          </cell>
        </row>
        <row r="222">
          <cell r="C222">
            <v>0</v>
          </cell>
        </row>
        <row r="223">
          <cell r="C223">
            <v>0</v>
          </cell>
        </row>
        <row r="224">
          <cell r="C224">
            <v>0</v>
          </cell>
        </row>
        <row r="225">
          <cell r="C225">
            <v>0</v>
          </cell>
        </row>
        <row r="226">
          <cell r="C226">
            <v>0</v>
          </cell>
        </row>
        <row r="227">
          <cell r="C227">
            <v>0</v>
          </cell>
        </row>
        <row r="228">
          <cell r="C228">
            <v>0</v>
          </cell>
        </row>
        <row r="229">
          <cell r="C229">
            <v>0</v>
          </cell>
        </row>
        <row r="230">
          <cell r="C230">
            <v>0</v>
          </cell>
        </row>
        <row r="231">
          <cell r="C231">
            <v>0</v>
          </cell>
        </row>
        <row r="232">
          <cell r="C232">
            <v>0</v>
          </cell>
        </row>
        <row r="233">
          <cell r="C233">
            <v>0</v>
          </cell>
        </row>
        <row r="234">
          <cell r="C234">
            <v>0</v>
          </cell>
        </row>
        <row r="235">
          <cell r="C235">
            <v>0</v>
          </cell>
        </row>
        <row r="236">
          <cell r="C236">
            <v>0</v>
          </cell>
        </row>
        <row r="237">
          <cell r="C237">
            <v>0</v>
          </cell>
        </row>
        <row r="238">
          <cell r="C238">
            <v>0</v>
          </cell>
        </row>
        <row r="239">
          <cell r="C239">
            <v>0</v>
          </cell>
        </row>
        <row r="240">
          <cell r="C240">
            <v>0</v>
          </cell>
        </row>
        <row r="241">
          <cell r="C241">
            <v>0</v>
          </cell>
        </row>
        <row r="242">
          <cell r="C242">
            <v>0</v>
          </cell>
        </row>
        <row r="243">
          <cell r="C243">
            <v>0</v>
          </cell>
        </row>
        <row r="244">
          <cell r="C244">
            <v>0</v>
          </cell>
        </row>
        <row r="245">
          <cell r="C245">
            <v>0</v>
          </cell>
        </row>
        <row r="246">
          <cell r="C246">
            <v>0</v>
          </cell>
        </row>
        <row r="247">
          <cell r="C247">
            <v>0</v>
          </cell>
        </row>
        <row r="248">
          <cell r="C248">
            <v>0</v>
          </cell>
        </row>
        <row r="249">
          <cell r="C249">
            <v>0</v>
          </cell>
        </row>
        <row r="250">
          <cell r="C250">
            <v>0</v>
          </cell>
        </row>
        <row r="251">
          <cell r="C251">
            <v>0</v>
          </cell>
        </row>
        <row r="252">
          <cell r="C252">
            <v>0</v>
          </cell>
        </row>
        <row r="253">
          <cell r="C253">
            <v>0</v>
          </cell>
        </row>
        <row r="254">
          <cell r="C254">
            <v>0</v>
          </cell>
        </row>
        <row r="255">
          <cell r="C255">
            <v>0</v>
          </cell>
        </row>
        <row r="256">
          <cell r="C256">
            <v>0</v>
          </cell>
        </row>
        <row r="257">
          <cell r="C257">
            <v>0</v>
          </cell>
        </row>
        <row r="258">
          <cell r="C258">
            <v>0</v>
          </cell>
        </row>
        <row r="259">
          <cell r="C259">
            <v>0</v>
          </cell>
        </row>
        <row r="260">
          <cell r="C260">
            <v>0</v>
          </cell>
        </row>
        <row r="261">
          <cell r="C261">
            <v>0</v>
          </cell>
        </row>
        <row r="262">
          <cell r="C262">
            <v>0</v>
          </cell>
        </row>
        <row r="263">
          <cell r="C263">
            <v>0</v>
          </cell>
        </row>
        <row r="264">
          <cell r="C264">
            <v>0</v>
          </cell>
        </row>
        <row r="265">
          <cell r="C265">
            <v>0</v>
          </cell>
        </row>
        <row r="266">
          <cell r="C266">
            <v>0</v>
          </cell>
        </row>
        <row r="267">
          <cell r="C267">
            <v>0</v>
          </cell>
        </row>
        <row r="268">
          <cell r="C268">
            <v>0</v>
          </cell>
        </row>
        <row r="269">
          <cell r="C269">
            <v>0</v>
          </cell>
        </row>
        <row r="270">
          <cell r="C270">
            <v>0</v>
          </cell>
        </row>
        <row r="271">
          <cell r="C271">
            <v>0</v>
          </cell>
        </row>
        <row r="272">
          <cell r="C272">
            <v>0</v>
          </cell>
        </row>
        <row r="273">
          <cell r="C273">
            <v>0</v>
          </cell>
        </row>
        <row r="274">
          <cell r="C274">
            <v>0</v>
          </cell>
        </row>
        <row r="275">
          <cell r="C275">
            <v>0</v>
          </cell>
        </row>
        <row r="276">
          <cell r="C276">
            <v>0</v>
          </cell>
        </row>
        <row r="277">
          <cell r="C277">
            <v>0</v>
          </cell>
        </row>
        <row r="278">
          <cell r="C278">
            <v>0</v>
          </cell>
        </row>
        <row r="279">
          <cell r="C279">
            <v>0</v>
          </cell>
        </row>
        <row r="280">
          <cell r="C280">
            <v>0</v>
          </cell>
        </row>
        <row r="281">
          <cell r="C281">
            <v>0</v>
          </cell>
        </row>
        <row r="282">
          <cell r="C282">
            <v>0</v>
          </cell>
        </row>
        <row r="283">
          <cell r="C283">
            <v>0</v>
          </cell>
        </row>
        <row r="284">
          <cell r="C284">
            <v>0</v>
          </cell>
        </row>
        <row r="285">
          <cell r="C285">
            <v>0</v>
          </cell>
        </row>
        <row r="286">
          <cell r="C286">
            <v>0</v>
          </cell>
        </row>
        <row r="287">
          <cell r="C287">
            <v>0</v>
          </cell>
        </row>
        <row r="288">
          <cell r="C288">
            <v>0</v>
          </cell>
        </row>
        <row r="289">
          <cell r="C289">
            <v>0</v>
          </cell>
        </row>
        <row r="290">
          <cell r="C290">
            <v>0</v>
          </cell>
        </row>
        <row r="291">
          <cell r="C291">
            <v>0</v>
          </cell>
        </row>
        <row r="292">
          <cell r="C292">
            <v>0</v>
          </cell>
        </row>
        <row r="293">
          <cell r="C293">
            <v>0</v>
          </cell>
        </row>
        <row r="294">
          <cell r="C294">
            <v>0</v>
          </cell>
        </row>
        <row r="295">
          <cell r="C295">
            <v>0</v>
          </cell>
        </row>
        <row r="296">
          <cell r="C296">
            <v>0</v>
          </cell>
        </row>
        <row r="297">
          <cell r="C297">
            <v>0</v>
          </cell>
        </row>
        <row r="298">
          <cell r="C298">
            <v>0</v>
          </cell>
        </row>
        <row r="299">
          <cell r="C299">
            <v>0</v>
          </cell>
        </row>
        <row r="300">
          <cell r="C300">
            <v>0</v>
          </cell>
        </row>
        <row r="301">
          <cell r="C301">
            <v>0</v>
          </cell>
        </row>
        <row r="302">
          <cell r="C302">
            <v>0</v>
          </cell>
        </row>
        <row r="303">
          <cell r="C303">
            <v>0</v>
          </cell>
        </row>
        <row r="304">
          <cell r="C304">
            <v>0</v>
          </cell>
        </row>
        <row r="305">
          <cell r="C305">
            <v>0</v>
          </cell>
        </row>
        <row r="306">
          <cell r="C306">
            <v>0</v>
          </cell>
        </row>
        <row r="307">
          <cell r="C307">
            <v>0</v>
          </cell>
        </row>
        <row r="308">
          <cell r="C308">
            <v>0</v>
          </cell>
        </row>
        <row r="309">
          <cell r="C309">
            <v>0</v>
          </cell>
        </row>
        <row r="310">
          <cell r="C310">
            <v>0</v>
          </cell>
        </row>
        <row r="311">
          <cell r="C311">
            <v>0</v>
          </cell>
        </row>
        <row r="312">
          <cell r="C312">
            <v>0</v>
          </cell>
        </row>
        <row r="313">
          <cell r="C313">
            <v>0</v>
          </cell>
        </row>
        <row r="314">
          <cell r="C314">
            <v>0</v>
          </cell>
        </row>
        <row r="315">
          <cell r="C315">
            <v>0</v>
          </cell>
        </row>
        <row r="316">
          <cell r="C316">
            <v>0</v>
          </cell>
        </row>
        <row r="317">
          <cell r="C317">
            <v>0</v>
          </cell>
        </row>
        <row r="318">
          <cell r="C318">
            <v>0</v>
          </cell>
        </row>
        <row r="319">
          <cell r="C319">
            <v>0</v>
          </cell>
        </row>
        <row r="320">
          <cell r="C320">
            <v>0</v>
          </cell>
        </row>
        <row r="321">
          <cell r="C321">
            <v>0</v>
          </cell>
        </row>
        <row r="322">
          <cell r="C322">
            <v>0</v>
          </cell>
        </row>
        <row r="323">
          <cell r="C323">
            <v>0</v>
          </cell>
        </row>
        <row r="324">
          <cell r="C324">
            <v>0</v>
          </cell>
        </row>
        <row r="325">
          <cell r="C325">
            <v>0</v>
          </cell>
        </row>
        <row r="326">
          <cell r="C326">
            <v>0</v>
          </cell>
        </row>
        <row r="327">
          <cell r="C327">
            <v>0</v>
          </cell>
        </row>
        <row r="328">
          <cell r="C328">
            <v>0</v>
          </cell>
        </row>
        <row r="329">
          <cell r="C329">
            <v>0</v>
          </cell>
        </row>
        <row r="330">
          <cell r="C330">
            <v>0</v>
          </cell>
        </row>
        <row r="331">
          <cell r="C331">
            <v>0</v>
          </cell>
        </row>
        <row r="332">
          <cell r="C332">
            <v>0</v>
          </cell>
        </row>
        <row r="333">
          <cell r="C333">
            <v>0</v>
          </cell>
        </row>
        <row r="334">
          <cell r="C334">
            <v>0</v>
          </cell>
        </row>
        <row r="335">
          <cell r="C335">
            <v>0</v>
          </cell>
        </row>
        <row r="336">
          <cell r="C336">
            <v>0</v>
          </cell>
        </row>
        <row r="337">
          <cell r="C337">
            <v>0</v>
          </cell>
        </row>
        <row r="338">
          <cell r="C338">
            <v>0</v>
          </cell>
        </row>
        <row r="339">
          <cell r="C339">
            <v>0</v>
          </cell>
        </row>
        <row r="340">
          <cell r="C340">
            <v>0</v>
          </cell>
        </row>
        <row r="341">
          <cell r="C341">
            <v>0</v>
          </cell>
        </row>
        <row r="342">
          <cell r="C342">
            <v>0</v>
          </cell>
        </row>
        <row r="343">
          <cell r="C343">
            <v>0</v>
          </cell>
        </row>
        <row r="344">
          <cell r="C344">
            <v>0</v>
          </cell>
        </row>
        <row r="345">
          <cell r="C345">
            <v>0</v>
          </cell>
        </row>
        <row r="346">
          <cell r="C346">
            <v>0</v>
          </cell>
        </row>
        <row r="347">
          <cell r="C347">
            <v>0</v>
          </cell>
        </row>
        <row r="348">
          <cell r="C348">
            <v>0</v>
          </cell>
        </row>
        <row r="349">
          <cell r="C349">
            <v>0</v>
          </cell>
        </row>
        <row r="350">
          <cell r="C350">
            <v>0</v>
          </cell>
        </row>
        <row r="351">
          <cell r="C351">
            <v>0</v>
          </cell>
        </row>
        <row r="352">
          <cell r="C352">
            <v>0</v>
          </cell>
        </row>
        <row r="353">
          <cell r="C353">
            <v>0</v>
          </cell>
        </row>
        <row r="354">
          <cell r="C354">
            <v>0</v>
          </cell>
        </row>
        <row r="355">
          <cell r="C355">
            <v>0</v>
          </cell>
        </row>
        <row r="356">
          <cell r="C356">
            <v>0</v>
          </cell>
        </row>
        <row r="357">
          <cell r="C357">
            <v>0</v>
          </cell>
        </row>
        <row r="358">
          <cell r="C358">
            <v>0</v>
          </cell>
        </row>
        <row r="359">
          <cell r="C359">
            <v>0</v>
          </cell>
        </row>
        <row r="360">
          <cell r="C360">
            <v>0</v>
          </cell>
        </row>
        <row r="361">
          <cell r="C361">
            <v>0</v>
          </cell>
        </row>
        <row r="362">
          <cell r="C362">
            <v>0</v>
          </cell>
        </row>
        <row r="363">
          <cell r="C363">
            <v>0</v>
          </cell>
        </row>
        <row r="364">
          <cell r="C364">
            <v>0</v>
          </cell>
        </row>
        <row r="365">
          <cell r="C365">
            <v>0</v>
          </cell>
        </row>
        <row r="366">
          <cell r="C366">
            <v>0</v>
          </cell>
        </row>
        <row r="367">
          <cell r="C367">
            <v>0</v>
          </cell>
        </row>
        <row r="368">
          <cell r="C368">
            <v>0</v>
          </cell>
        </row>
        <row r="369">
          <cell r="C369">
            <v>0</v>
          </cell>
        </row>
        <row r="370">
          <cell r="C370">
            <v>0</v>
          </cell>
        </row>
        <row r="371">
          <cell r="C371">
            <v>0</v>
          </cell>
        </row>
        <row r="372">
          <cell r="C372">
            <v>0</v>
          </cell>
        </row>
        <row r="373">
          <cell r="C373">
            <v>0</v>
          </cell>
        </row>
        <row r="374">
          <cell r="C374">
            <v>0</v>
          </cell>
        </row>
        <row r="375">
          <cell r="C375">
            <v>0</v>
          </cell>
        </row>
        <row r="376">
          <cell r="C376">
            <v>0</v>
          </cell>
        </row>
        <row r="377">
          <cell r="C377">
            <v>0</v>
          </cell>
        </row>
        <row r="378">
          <cell r="C378">
            <v>0</v>
          </cell>
        </row>
        <row r="379">
          <cell r="C379">
            <v>0</v>
          </cell>
        </row>
        <row r="380">
          <cell r="C380">
            <v>0</v>
          </cell>
        </row>
        <row r="381">
          <cell r="C381">
            <v>0</v>
          </cell>
        </row>
        <row r="382">
          <cell r="C382">
            <v>0</v>
          </cell>
        </row>
        <row r="383">
          <cell r="C383">
            <v>0</v>
          </cell>
        </row>
        <row r="384">
          <cell r="C384">
            <v>0</v>
          </cell>
        </row>
        <row r="385">
          <cell r="C385">
            <v>0</v>
          </cell>
        </row>
        <row r="386">
          <cell r="C386">
            <v>0</v>
          </cell>
        </row>
        <row r="387">
          <cell r="C387">
            <v>0</v>
          </cell>
        </row>
        <row r="388">
          <cell r="C388">
            <v>0</v>
          </cell>
        </row>
        <row r="389">
          <cell r="C389">
            <v>0</v>
          </cell>
        </row>
        <row r="390">
          <cell r="C390">
            <v>0</v>
          </cell>
        </row>
        <row r="391">
          <cell r="C391">
            <v>0</v>
          </cell>
        </row>
        <row r="392">
          <cell r="C392">
            <v>0</v>
          </cell>
        </row>
        <row r="393">
          <cell r="C393">
            <v>0</v>
          </cell>
        </row>
        <row r="394">
          <cell r="C394">
            <v>0</v>
          </cell>
        </row>
        <row r="395">
          <cell r="C395">
            <v>0</v>
          </cell>
        </row>
        <row r="396">
          <cell r="C396">
            <v>0</v>
          </cell>
        </row>
        <row r="397">
          <cell r="C397">
            <v>0</v>
          </cell>
        </row>
        <row r="398">
          <cell r="C398">
            <v>0</v>
          </cell>
        </row>
        <row r="399">
          <cell r="C399">
            <v>0</v>
          </cell>
        </row>
        <row r="400">
          <cell r="C400">
            <v>0</v>
          </cell>
        </row>
        <row r="401">
          <cell r="C401">
            <v>0</v>
          </cell>
        </row>
        <row r="402">
          <cell r="C402">
            <v>0</v>
          </cell>
        </row>
        <row r="403">
          <cell r="C403">
            <v>0</v>
          </cell>
        </row>
        <row r="404">
          <cell r="C404">
            <v>0</v>
          </cell>
        </row>
        <row r="405">
          <cell r="C405">
            <v>0</v>
          </cell>
        </row>
        <row r="406">
          <cell r="C406">
            <v>0</v>
          </cell>
        </row>
        <row r="407">
          <cell r="C407">
            <v>0</v>
          </cell>
        </row>
        <row r="408">
          <cell r="C408">
            <v>0</v>
          </cell>
        </row>
        <row r="409">
          <cell r="C409">
            <v>0</v>
          </cell>
        </row>
        <row r="410">
          <cell r="C410">
            <v>0</v>
          </cell>
        </row>
        <row r="411">
          <cell r="C411">
            <v>0</v>
          </cell>
        </row>
        <row r="412">
          <cell r="C412">
            <v>0</v>
          </cell>
        </row>
        <row r="413">
          <cell r="C413">
            <v>0</v>
          </cell>
        </row>
        <row r="414">
          <cell r="C414">
            <v>0</v>
          </cell>
        </row>
        <row r="415">
          <cell r="C415">
            <v>0</v>
          </cell>
        </row>
        <row r="416">
          <cell r="C416">
            <v>0</v>
          </cell>
        </row>
        <row r="417">
          <cell r="C417">
            <v>0</v>
          </cell>
        </row>
        <row r="418">
          <cell r="C418">
            <v>0</v>
          </cell>
        </row>
        <row r="419">
          <cell r="C419">
            <v>0</v>
          </cell>
        </row>
        <row r="420">
          <cell r="C420">
            <v>0</v>
          </cell>
        </row>
        <row r="421">
          <cell r="C421">
            <v>0</v>
          </cell>
        </row>
        <row r="422">
          <cell r="C422">
            <v>0</v>
          </cell>
        </row>
        <row r="423">
          <cell r="C423">
            <v>0</v>
          </cell>
        </row>
        <row r="424">
          <cell r="C424">
            <v>0</v>
          </cell>
        </row>
        <row r="425">
          <cell r="C425">
            <v>0</v>
          </cell>
        </row>
        <row r="426">
          <cell r="C426">
            <v>0</v>
          </cell>
        </row>
        <row r="427">
          <cell r="C427">
            <v>0</v>
          </cell>
        </row>
        <row r="428">
          <cell r="C428">
            <v>0</v>
          </cell>
        </row>
        <row r="429">
          <cell r="C429">
            <v>0</v>
          </cell>
        </row>
        <row r="430">
          <cell r="C430">
            <v>0</v>
          </cell>
        </row>
        <row r="431">
          <cell r="C431">
            <v>0</v>
          </cell>
        </row>
        <row r="432">
          <cell r="C432">
            <v>0</v>
          </cell>
        </row>
        <row r="433">
          <cell r="C433">
            <v>0</v>
          </cell>
        </row>
        <row r="434">
          <cell r="C434">
            <v>0</v>
          </cell>
        </row>
        <row r="435">
          <cell r="C435">
            <v>0</v>
          </cell>
        </row>
        <row r="436">
          <cell r="C436">
            <v>0</v>
          </cell>
        </row>
        <row r="437">
          <cell r="C437">
            <v>0</v>
          </cell>
        </row>
        <row r="438">
          <cell r="C438">
            <v>0</v>
          </cell>
        </row>
        <row r="439">
          <cell r="C439">
            <v>0</v>
          </cell>
        </row>
        <row r="440">
          <cell r="C440">
            <v>0</v>
          </cell>
        </row>
        <row r="441">
          <cell r="C441">
            <v>0</v>
          </cell>
        </row>
        <row r="442">
          <cell r="C442">
            <v>0</v>
          </cell>
        </row>
        <row r="443">
          <cell r="C443">
            <v>0</v>
          </cell>
        </row>
        <row r="444">
          <cell r="C444">
            <v>0</v>
          </cell>
        </row>
        <row r="445">
          <cell r="C445">
            <v>0</v>
          </cell>
        </row>
        <row r="446">
          <cell r="C446">
            <v>0</v>
          </cell>
        </row>
        <row r="447">
          <cell r="C447">
            <v>0</v>
          </cell>
        </row>
        <row r="448">
          <cell r="C448">
            <v>0</v>
          </cell>
        </row>
        <row r="449">
          <cell r="C449">
            <v>0</v>
          </cell>
        </row>
        <row r="450">
          <cell r="C450">
            <v>0</v>
          </cell>
        </row>
        <row r="451">
          <cell r="C451">
            <v>0</v>
          </cell>
        </row>
        <row r="452">
          <cell r="C452">
            <v>0</v>
          </cell>
        </row>
        <row r="453">
          <cell r="C453">
            <v>0</v>
          </cell>
        </row>
        <row r="454">
          <cell r="C454">
            <v>0</v>
          </cell>
        </row>
        <row r="455">
          <cell r="C455">
            <v>0</v>
          </cell>
        </row>
        <row r="456">
          <cell r="C456">
            <v>0</v>
          </cell>
        </row>
        <row r="457">
          <cell r="C457">
            <v>0</v>
          </cell>
        </row>
        <row r="458">
          <cell r="C458">
            <v>0</v>
          </cell>
        </row>
        <row r="459">
          <cell r="C459">
            <v>0</v>
          </cell>
        </row>
        <row r="460">
          <cell r="C460">
            <v>0</v>
          </cell>
        </row>
        <row r="461">
          <cell r="C461">
            <v>0</v>
          </cell>
        </row>
        <row r="462">
          <cell r="C462">
            <v>0</v>
          </cell>
        </row>
        <row r="463">
          <cell r="C463">
            <v>0</v>
          </cell>
        </row>
        <row r="464">
          <cell r="C464">
            <v>0</v>
          </cell>
        </row>
        <row r="465">
          <cell r="C465">
            <v>0</v>
          </cell>
        </row>
        <row r="466">
          <cell r="C466">
            <v>0</v>
          </cell>
        </row>
        <row r="467">
          <cell r="C467">
            <v>0</v>
          </cell>
        </row>
        <row r="468">
          <cell r="C468">
            <v>0</v>
          </cell>
        </row>
        <row r="469">
          <cell r="C469">
            <v>0</v>
          </cell>
        </row>
        <row r="470">
          <cell r="C470">
            <v>0</v>
          </cell>
        </row>
        <row r="471">
          <cell r="C471">
            <v>0</v>
          </cell>
        </row>
        <row r="472">
          <cell r="C472">
            <v>0</v>
          </cell>
        </row>
        <row r="473">
          <cell r="C473">
            <v>0</v>
          </cell>
        </row>
        <row r="474">
          <cell r="C474">
            <v>0</v>
          </cell>
        </row>
        <row r="475">
          <cell r="C475">
            <v>0</v>
          </cell>
        </row>
        <row r="476">
          <cell r="C476">
            <v>0</v>
          </cell>
        </row>
        <row r="477">
          <cell r="C477">
            <v>0</v>
          </cell>
        </row>
        <row r="478">
          <cell r="C478">
            <v>0</v>
          </cell>
        </row>
        <row r="479">
          <cell r="C479">
            <v>0</v>
          </cell>
        </row>
        <row r="480">
          <cell r="C480">
            <v>0</v>
          </cell>
        </row>
        <row r="481">
          <cell r="C481">
            <v>0</v>
          </cell>
        </row>
        <row r="482">
          <cell r="C482">
            <v>0</v>
          </cell>
        </row>
        <row r="483">
          <cell r="C483">
            <v>0</v>
          </cell>
        </row>
        <row r="484">
          <cell r="C484">
            <v>0</v>
          </cell>
        </row>
        <row r="485">
          <cell r="C485">
            <v>0</v>
          </cell>
        </row>
        <row r="486">
          <cell r="C486">
            <v>0</v>
          </cell>
        </row>
        <row r="487">
          <cell r="C487">
            <v>0</v>
          </cell>
        </row>
        <row r="488">
          <cell r="C488">
            <v>0</v>
          </cell>
        </row>
        <row r="489">
          <cell r="C489">
            <v>0</v>
          </cell>
        </row>
        <row r="490">
          <cell r="C490">
            <v>0</v>
          </cell>
        </row>
        <row r="491">
          <cell r="C491">
            <v>0</v>
          </cell>
        </row>
        <row r="492">
          <cell r="C492">
            <v>0</v>
          </cell>
        </row>
        <row r="493">
          <cell r="C493">
            <v>0</v>
          </cell>
        </row>
        <row r="494">
          <cell r="C494">
            <v>0</v>
          </cell>
        </row>
        <row r="495">
          <cell r="C495">
            <v>0</v>
          </cell>
        </row>
        <row r="496">
          <cell r="C496">
            <v>0</v>
          </cell>
        </row>
        <row r="497">
          <cell r="C497">
            <v>0</v>
          </cell>
        </row>
        <row r="498">
          <cell r="C498">
            <v>0</v>
          </cell>
        </row>
        <row r="499">
          <cell r="C499">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hyperlink" Target="http://www.ofgem.gov.uk/Markets/RetMkts/Metrng/Metering/Documents1/9745-5405.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E37"/>
  <sheetViews>
    <sheetView showGridLines="0" workbookViewId="0">
      <selection activeCell="B2" sqref="B2"/>
    </sheetView>
  </sheetViews>
  <sheetFormatPr defaultColWidth="22.28515625" defaultRowHeight="15"/>
  <cols>
    <col min="1" max="1" width="22.28515625" style="1263"/>
    <col min="2" max="2" width="99.85546875" style="1263" customWidth="1"/>
    <col min="3" max="16384" width="22.28515625" style="1263"/>
  </cols>
  <sheetData>
    <row r="1" spans="1:5" ht="19.5">
      <c r="A1" s="1261" t="str">
        <f>"Index for Method M ("&amp;'Calc-Net capex'!B5&amp;") for "&amp;Inputs!B6&amp;" in "&amp;Inputs!C6&amp;"  Status: "&amp;Inputs!D6&amp;""</f>
        <v>Index for Method M (LR1) for WPD South Wales in 2015/16  Status: 2014/15</v>
      </c>
    </row>
    <row r="3" spans="1:5">
      <c r="A3" s="1310" t="s">
        <v>998</v>
      </c>
    </row>
    <row r="4" spans="1:5">
      <c r="A4" s="1310" t="s">
        <v>999</v>
      </c>
    </row>
    <row r="5" spans="1:5">
      <c r="A5" s="1310" t="s">
        <v>1000</v>
      </c>
    </row>
    <row r="6" spans="1:5">
      <c r="A6" s="1310"/>
    </row>
    <row r="7" spans="1:5">
      <c r="A7" s="1310" t="s">
        <v>1001</v>
      </c>
    </row>
    <row r="8" spans="1:5">
      <c r="A8" s="1310"/>
    </row>
    <row r="9" spans="1:5" s="1309" customFormat="1">
      <c r="A9" s="1267" t="s">
        <v>1012</v>
      </c>
      <c r="B9" s="1267" t="s">
        <v>995</v>
      </c>
      <c r="C9" s="1263"/>
      <c r="D9" s="1263"/>
      <c r="E9" s="1263"/>
    </row>
    <row r="10" spans="1:5">
      <c r="A10" s="1263" t="s">
        <v>994</v>
      </c>
      <c r="B10" s="1263" t="s">
        <v>997</v>
      </c>
    </row>
    <row r="11" spans="1:5">
      <c r="A11" s="1263" t="s">
        <v>927</v>
      </c>
      <c r="B11" s="1263" t="s">
        <v>996</v>
      </c>
    </row>
    <row r="12" spans="1:5">
      <c r="A12" s="1263" t="s">
        <v>928</v>
      </c>
      <c r="B12" s="1263" t="s">
        <v>996</v>
      </c>
    </row>
    <row r="13" spans="1:5">
      <c r="A13" s="1263" t="s">
        <v>929</v>
      </c>
      <c r="B13" s="1263" t="s">
        <v>996</v>
      </c>
    </row>
    <row r="14" spans="1:5">
      <c r="A14" s="1263" t="s">
        <v>930</v>
      </c>
      <c r="B14" s="1263" t="s">
        <v>996</v>
      </c>
    </row>
    <row r="15" spans="1:5">
      <c r="A15" s="1263" t="s">
        <v>931</v>
      </c>
      <c r="B15" s="1263" t="s">
        <v>996</v>
      </c>
    </row>
    <row r="16" spans="1:5">
      <c r="A16" s="1263" t="s">
        <v>932</v>
      </c>
      <c r="B16" s="1263" t="s">
        <v>996</v>
      </c>
    </row>
    <row r="17" spans="1:5">
      <c r="A17" s="1263" t="s">
        <v>933</v>
      </c>
      <c r="B17" s="1263" t="s">
        <v>996</v>
      </c>
    </row>
    <row r="18" spans="1:5">
      <c r="A18" s="1263" t="s">
        <v>934</v>
      </c>
      <c r="B18" s="1263" t="s">
        <v>996</v>
      </c>
    </row>
    <row r="19" spans="1:5">
      <c r="A19" s="1263" t="s">
        <v>935</v>
      </c>
      <c r="B19" s="1263" t="s">
        <v>996</v>
      </c>
    </row>
    <row r="20" spans="1:5">
      <c r="A20" s="1263" t="s">
        <v>1007</v>
      </c>
      <c r="B20" s="1263" t="s">
        <v>1016</v>
      </c>
    </row>
    <row r="21" spans="1:5">
      <c r="A21" s="1263" t="s">
        <v>936</v>
      </c>
      <c r="B21" s="1263" t="s">
        <v>996</v>
      </c>
    </row>
    <row r="22" spans="1:5">
      <c r="A22" s="1263" t="s">
        <v>937</v>
      </c>
      <c r="B22" s="1263" t="s">
        <v>996</v>
      </c>
    </row>
    <row r="23" spans="1:5">
      <c r="A23" s="1263" t="s">
        <v>938</v>
      </c>
      <c r="B23" s="1263" t="s">
        <v>996</v>
      </c>
    </row>
    <row r="24" spans="1:5">
      <c r="A24" s="1263" t="s">
        <v>939</v>
      </c>
      <c r="B24" s="1263" t="s">
        <v>996</v>
      </c>
    </row>
    <row r="25" spans="1:5">
      <c r="A25" s="1263" t="s">
        <v>940</v>
      </c>
      <c r="B25" s="1263" t="s">
        <v>996</v>
      </c>
    </row>
    <row r="26" spans="1:5">
      <c r="A26" s="1263" t="s">
        <v>926</v>
      </c>
      <c r="B26" s="1263" t="s">
        <v>1008</v>
      </c>
    </row>
    <row r="27" spans="1:5">
      <c r="A27" s="1263" t="s">
        <v>1009</v>
      </c>
      <c r="B27" s="1263" t="s">
        <v>996</v>
      </c>
    </row>
    <row r="28" spans="1:5">
      <c r="A28" s="1310"/>
    </row>
    <row r="29" spans="1:5" s="1309" customFormat="1">
      <c r="A29" s="1267" t="s">
        <v>1011</v>
      </c>
      <c r="B29" s="1267" t="s">
        <v>995</v>
      </c>
      <c r="C29" s="1263"/>
      <c r="D29" s="1263"/>
      <c r="E29" s="1263"/>
    </row>
    <row r="30" spans="1:5">
      <c r="A30" s="1263" t="s">
        <v>941</v>
      </c>
      <c r="B30" s="1263" t="s">
        <v>1002</v>
      </c>
    </row>
    <row r="31" spans="1:5">
      <c r="A31" s="1263" t="s">
        <v>942</v>
      </c>
      <c r="B31" s="1263" t="s">
        <v>1002</v>
      </c>
    </row>
    <row r="32" spans="1:5">
      <c r="A32" s="1263" t="s">
        <v>943</v>
      </c>
      <c r="B32" s="1263" t="s">
        <v>1002</v>
      </c>
    </row>
    <row r="33" spans="1:2">
      <c r="A33" s="1263" t="s">
        <v>944</v>
      </c>
      <c r="B33" s="1263" t="s">
        <v>1002</v>
      </c>
    </row>
    <row r="34" spans="1:2">
      <c r="A34" s="1263" t="s">
        <v>945</v>
      </c>
      <c r="B34" s="1263" t="s">
        <v>1002</v>
      </c>
    </row>
    <row r="35" spans="1:2">
      <c r="A35" s="1263" t="s">
        <v>946</v>
      </c>
      <c r="B35" s="1263" t="s">
        <v>1002</v>
      </c>
    </row>
    <row r="36" spans="1:2">
      <c r="A36" s="1263" t="s">
        <v>947</v>
      </c>
      <c r="B36" s="1263" t="s">
        <v>1002</v>
      </c>
    </row>
    <row r="37" spans="1:2">
      <c r="A37" s="1263" t="s">
        <v>949</v>
      </c>
      <c r="B37" s="1263" t="s">
        <v>1013</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enableFormatConditionsCalculation="0">
    <tabColor rgb="FFC1DFFF"/>
    <pageSetUpPr fitToPage="1"/>
  </sheetPr>
  <dimension ref="A1:X137"/>
  <sheetViews>
    <sheetView view="pageBreakPreview" zoomScaleSheetLayoutView="85" workbookViewId="0">
      <selection sqref="A1:XFD1048576"/>
    </sheetView>
  </sheetViews>
  <sheetFormatPr defaultColWidth="10.28515625" defaultRowHeight="12.75"/>
  <cols>
    <col min="1" max="1" width="3.28515625" style="1787" customWidth="1"/>
    <col min="2" max="2" width="30.85546875" style="1787" customWidth="1"/>
    <col min="3" max="3" width="14.42578125" style="1787" customWidth="1"/>
    <col min="4" max="25" width="15" style="1787" customWidth="1"/>
    <col min="26" max="16384" width="10.28515625" style="1787"/>
  </cols>
  <sheetData>
    <row r="1" spans="1:13" s="1696" customFormat="1" ht="26.25">
      <c r="A1" s="675" t="s">
        <v>167</v>
      </c>
      <c r="B1" s="676"/>
      <c r="C1" s="1695"/>
      <c r="D1" s="1695"/>
      <c r="E1" s="1695"/>
      <c r="F1" s="1695"/>
      <c r="G1" s="677"/>
    </row>
    <row r="2" spans="1:13" s="1696" customFormat="1" ht="18">
      <c r="A2" s="676" t="s">
        <v>168</v>
      </c>
      <c r="B2" s="678"/>
    </row>
    <row r="3" spans="1:13" s="1697" customFormat="1" ht="27" thickBot="1">
      <c r="A3" s="679" t="s">
        <v>784</v>
      </c>
      <c r="B3" s="680"/>
      <c r="D3" s="1698"/>
    </row>
    <row r="5" spans="1:13" s="1699" customFormat="1" ht="15.75" customHeight="1">
      <c r="B5" s="1700" t="s">
        <v>785</v>
      </c>
    </row>
    <row r="6" spans="1:13" s="1699" customFormat="1" ht="15.75" customHeight="1" thickBot="1"/>
    <row r="7" spans="1:13" s="1699" customFormat="1" ht="15.75" customHeight="1">
      <c r="B7" s="1961"/>
      <c r="C7" s="1962"/>
      <c r="D7" s="1701" t="s">
        <v>116</v>
      </c>
      <c r="E7" s="1702"/>
      <c r="F7" s="1702"/>
      <c r="G7" s="1702"/>
      <c r="H7" s="1703"/>
      <c r="I7" s="1701" t="s">
        <v>117</v>
      </c>
      <c r="J7" s="1704"/>
      <c r="K7" s="1704"/>
      <c r="L7" s="1704"/>
      <c r="M7" s="1703"/>
    </row>
    <row r="8" spans="1:13" s="1699" customFormat="1" ht="15.75" customHeight="1">
      <c r="B8" s="1963"/>
      <c r="C8" s="1964"/>
      <c r="D8" s="1705" t="s">
        <v>32</v>
      </c>
      <c r="E8" s="1706" t="s">
        <v>33</v>
      </c>
      <c r="F8" s="1706" t="s">
        <v>29</v>
      </c>
      <c r="G8" s="1706" t="s">
        <v>34</v>
      </c>
      <c r="H8" s="1707" t="s">
        <v>35</v>
      </c>
      <c r="I8" s="1705" t="s">
        <v>118</v>
      </c>
      <c r="J8" s="1706" t="s">
        <v>136</v>
      </c>
      <c r="K8" s="1706" t="s">
        <v>137</v>
      </c>
      <c r="L8" s="1706" t="s">
        <v>138</v>
      </c>
      <c r="M8" s="1707" t="s">
        <v>139</v>
      </c>
    </row>
    <row r="9" spans="1:13" s="1699" customFormat="1" ht="15.75" customHeight="1">
      <c r="B9" s="1708" t="s">
        <v>123</v>
      </c>
      <c r="C9" s="1709"/>
      <c r="D9" s="681"/>
      <c r="E9" s="682"/>
      <c r="F9" s="682"/>
      <c r="G9" s="682"/>
      <c r="H9" s="683"/>
      <c r="I9" s="681"/>
      <c r="J9" s="682"/>
      <c r="K9" s="682"/>
      <c r="L9" s="682"/>
      <c r="M9" s="683"/>
    </row>
    <row r="10" spans="1:13" s="1699" customFormat="1" ht="15.75" customHeight="1">
      <c r="B10" s="1710" t="s">
        <v>786</v>
      </c>
      <c r="C10" s="1709" t="s">
        <v>14</v>
      </c>
      <c r="D10" s="684">
        <f t="shared" ref="D10:M10" si="0">D37+D46</f>
        <v>0</v>
      </c>
      <c r="E10" s="685">
        <f t="shared" si="0"/>
        <v>0</v>
      </c>
      <c r="F10" s="685">
        <f t="shared" si="0"/>
        <v>0</v>
      </c>
      <c r="G10" s="685">
        <f t="shared" si="0"/>
        <v>0</v>
      </c>
      <c r="H10" s="683">
        <f t="shared" si="0"/>
        <v>0</v>
      </c>
      <c r="I10" s="684">
        <f t="shared" si="0"/>
        <v>0</v>
      </c>
      <c r="J10" s="686">
        <f t="shared" si="0"/>
        <v>0</v>
      </c>
      <c r="K10" s="686">
        <f t="shared" si="0"/>
        <v>0</v>
      </c>
      <c r="L10" s="686">
        <f t="shared" si="0"/>
        <v>0</v>
      </c>
      <c r="M10" s="687">
        <f t="shared" si="0"/>
        <v>0</v>
      </c>
    </row>
    <row r="11" spans="1:13" s="1699" customFormat="1" ht="15.75" customHeight="1">
      <c r="B11" s="1710" t="s">
        <v>787</v>
      </c>
      <c r="C11" s="1709" t="s">
        <v>14</v>
      </c>
      <c r="D11" s="688"/>
      <c r="E11" s="688"/>
      <c r="F11" s="688"/>
      <c r="G11" s="688"/>
      <c r="H11" s="689"/>
      <c r="I11" s="690"/>
      <c r="J11" s="691"/>
      <c r="K11" s="691"/>
      <c r="L11" s="691"/>
      <c r="M11" s="692"/>
    </row>
    <row r="12" spans="1:13" s="1699" customFormat="1" ht="15.75" customHeight="1">
      <c r="B12" s="1710" t="s">
        <v>788</v>
      </c>
      <c r="C12" s="1709" t="s">
        <v>14</v>
      </c>
      <c r="D12" s="688"/>
      <c r="E12" s="688"/>
      <c r="F12" s="688"/>
      <c r="G12" s="688"/>
      <c r="H12" s="689"/>
      <c r="I12" s="690"/>
      <c r="J12" s="691"/>
      <c r="K12" s="691"/>
      <c r="L12" s="691"/>
      <c r="M12" s="692"/>
    </row>
    <row r="13" spans="1:13" s="1699" customFormat="1" ht="15.75" customHeight="1">
      <c r="B13" s="1708" t="s">
        <v>789</v>
      </c>
      <c r="C13" s="1709"/>
      <c r="D13" s="681"/>
      <c r="E13" s="682"/>
      <c r="F13" s="682"/>
      <c r="G13" s="682"/>
      <c r="H13" s="683"/>
      <c r="I13" s="681"/>
      <c r="J13" s="682"/>
      <c r="K13" s="682"/>
      <c r="L13" s="682"/>
      <c r="M13" s="683"/>
    </row>
    <row r="14" spans="1:13" s="1699" customFormat="1" ht="15.75" customHeight="1">
      <c r="B14" s="1710" t="s">
        <v>790</v>
      </c>
      <c r="C14" s="1709" t="s">
        <v>14</v>
      </c>
      <c r="D14" s="688"/>
      <c r="E14" s="688"/>
      <c r="F14" s="688"/>
      <c r="G14" s="688"/>
      <c r="H14" s="689"/>
      <c r="I14" s="690"/>
      <c r="J14" s="691"/>
      <c r="K14" s="691"/>
      <c r="L14" s="691"/>
      <c r="M14" s="692"/>
    </row>
    <row r="15" spans="1:13" s="1699" customFormat="1" ht="15.75" customHeight="1">
      <c r="B15" s="1710" t="s">
        <v>791</v>
      </c>
      <c r="C15" s="1709" t="s">
        <v>14</v>
      </c>
      <c r="D15" s="688"/>
      <c r="E15" s="688"/>
      <c r="F15" s="688"/>
      <c r="G15" s="688"/>
      <c r="H15" s="689"/>
      <c r="I15" s="690"/>
      <c r="J15" s="691"/>
      <c r="K15" s="691"/>
      <c r="L15" s="691"/>
      <c r="M15" s="692"/>
    </row>
    <row r="16" spans="1:13" s="1699" customFormat="1" ht="15.75" customHeight="1">
      <c r="B16" s="1710" t="s">
        <v>792</v>
      </c>
      <c r="C16" s="1709" t="s">
        <v>14</v>
      </c>
      <c r="D16" s="688"/>
      <c r="E16" s="688"/>
      <c r="F16" s="688"/>
      <c r="G16" s="688"/>
      <c r="H16" s="689"/>
      <c r="I16" s="690"/>
      <c r="J16" s="691"/>
      <c r="K16" s="691"/>
      <c r="L16" s="691"/>
      <c r="M16" s="692"/>
    </row>
    <row r="17" spans="2:13" s="1699" customFormat="1" ht="15.75" customHeight="1">
      <c r="B17" s="1708" t="s">
        <v>646</v>
      </c>
      <c r="C17" s="1709"/>
      <c r="D17" s="681"/>
      <c r="E17" s="682"/>
      <c r="F17" s="682"/>
      <c r="G17" s="682"/>
      <c r="H17" s="683"/>
      <c r="I17" s="681"/>
      <c r="J17" s="682"/>
      <c r="K17" s="682"/>
      <c r="L17" s="682"/>
      <c r="M17" s="683"/>
    </row>
    <row r="18" spans="2:13" s="1699" customFormat="1" ht="15.75" customHeight="1">
      <c r="B18" s="1710" t="s">
        <v>793</v>
      </c>
      <c r="C18" s="1709" t="s">
        <v>14</v>
      </c>
      <c r="D18" s="688"/>
      <c r="E18" s="688"/>
      <c r="F18" s="688"/>
      <c r="G18" s="688"/>
      <c r="H18" s="689"/>
      <c r="I18" s="690"/>
      <c r="J18" s="691"/>
      <c r="K18" s="691"/>
      <c r="L18" s="691"/>
      <c r="M18" s="692"/>
    </row>
    <row r="19" spans="2:13" s="1699" customFormat="1" ht="15.75" customHeight="1">
      <c r="B19" s="1710" t="s">
        <v>794</v>
      </c>
      <c r="C19" s="1709" t="s">
        <v>14</v>
      </c>
      <c r="D19" s="688"/>
      <c r="E19" s="688"/>
      <c r="F19" s="688"/>
      <c r="G19" s="688"/>
      <c r="H19" s="689"/>
      <c r="I19" s="690"/>
      <c r="J19" s="691"/>
      <c r="K19" s="691"/>
      <c r="L19" s="691"/>
      <c r="M19" s="692"/>
    </row>
    <row r="20" spans="2:13" s="1699" customFormat="1" ht="15.75" customHeight="1">
      <c r="B20" s="1710" t="s">
        <v>795</v>
      </c>
      <c r="C20" s="1709" t="s">
        <v>14</v>
      </c>
      <c r="D20" s="688"/>
      <c r="E20" s="688"/>
      <c r="F20" s="688"/>
      <c r="G20" s="688"/>
      <c r="H20" s="689"/>
      <c r="I20" s="690"/>
      <c r="J20" s="691"/>
      <c r="K20" s="691"/>
      <c r="L20" s="691"/>
      <c r="M20" s="692"/>
    </row>
    <row r="21" spans="2:13" s="1699" customFormat="1" ht="15.75" customHeight="1">
      <c r="B21" s="1710" t="s">
        <v>796</v>
      </c>
      <c r="C21" s="1709" t="s">
        <v>14</v>
      </c>
      <c r="D21" s="688"/>
      <c r="E21" s="688"/>
      <c r="F21" s="688"/>
      <c r="G21" s="688"/>
      <c r="H21" s="689"/>
      <c r="I21" s="690"/>
      <c r="J21" s="691"/>
      <c r="K21" s="691"/>
      <c r="L21" s="691"/>
      <c r="M21" s="692"/>
    </row>
    <row r="22" spans="2:13" s="1712" customFormat="1" ht="15.75" customHeight="1">
      <c r="B22" s="1012"/>
      <c r="C22" s="1711" t="s">
        <v>14</v>
      </c>
      <c r="D22" s="688"/>
      <c r="E22" s="688"/>
      <c r="F22" s="688"/>
      <c r="G22" s="688"/>
      <c r="H22" s="689"/>
      <c r="I22" s="690"/>
      <c r="J22" s="691"/>
      <c r="K22" s="691"/>
      <c r="L22" s="691"/>
      <c r="M22" s="692"/>
    </row>
    <row r="23" spans="2:13" s="1712" customFormat="1" ht="15.75" customHeight="1">
      <c r="B23" s="1012" t="s">
        <v>797</v>
      </c>
      <c r="C23" s="1711" t="s">
        <v>14</v>
      </c>
      <c r="D23" s="693"/>
      <c r="E23" s="693"/>
      <c r="F23" s="693"/>
      <c r="G23" s="693"/>
      <c r="H23" s="694"/>
      <c r="I23" s="695"/>
      <c r="J23" s="696"/>
      <c r="K23" s="696"/>
      <c r="L23" s="696"/>
      <c r="M23" s="697"/>
    </row>
    <row r="24" spans="2:13" s="1712" customFormat="1" ht="15.75" customHeight="1">
      <c r="B24" s="1012" t="s">
        <v>798</v>
      </c>
      <c r="C24" s="1711" t="s">
        <v>14</v>
      </c>
      <c r="D24" s="693"/>
      <c r="E24" s="693"/>
      <c r="F24" s="693"/>
      <c r="G24" s="693"/>
      <c r="H24" s="694"/>
      <c r="I24" s="695"/>
      <c r="J24" s="696"/>
      <c r="K24" s="696"/>
      <c r="L24" s="696"/>
      <c r="M24" s="697"/>
    </row>
    <row r="25" spans="2:13" s="1712" customFormat="1" ht="15.75" customHeight="1" thickBot="1">
      <c r="B25" s="1713" t="s">
        <v>245</v>
      </c>
      <c r="C25" s="1714" t="s">
        <v>14</v>
      </c>
      <c r="D25" s="1715">
        <f t="shared" ref="D25:M25" si="1">SUM(D10:D24)</f>
        <v>0</v>
      </c>
      <c r="E25" s="1716">
        <f t="shared" si="1"/>
        <v>0</v>
      </c>
      <c r="F25" s="1716">
        <f t="shared" si="1"/>
        <v>0</v>
      </c>
      <c r="G25" s="1716">
        <f t="shared" si="1"/>
        <v>0</v>
      </c>
      <c r="H25" s="1716">
        <f t="shared" si="1"/>
        <v>0</v>
      </c>
      <c r="I25" s="1715">
        <f t="shared" si="1"/>
        <v>0</v>
      </c>
      <c r="J25" s="1716">
        <f t="shared" si="1"/>
        <v>0</v>
      </c>
      <c r="K25" s="1716">
        <f t="shared" si="1"/>
        <v>0</v>
      </c>
      <c r="L25" s="1716">
        <f t="shared" si="1"/>
        <v>0</v>
      </c>
      <c r="M25" s="1717">
        <f t="shared" si="1"/>
        <v>0</v>
      </c>
    </row>
    <row r="26" spans="2:13" s="1699" customFormat="1" ht="15.75" customHeight="1">
      <c r="B26" s="1718"/>
      <c r="C26" s="1719"/>
      <c r="D26" s="1720"/>
      <c r="E26" s="1720"/>
      <c r="F26" s="1720"/>
    </row>
    <row r="27" spans="2:13" s="1699" customFormat="1" ht="15.75" customHeight="1"/>
    <row r="28" spans="2:13" s="1699" customFormat="1" ht="15.75" customHeight="1">
      <c r="B28" s="1700" t="s">
        <v>799</v>
      </c>
      <c r="C28" s="1700"/>
      <c r="D28" s="1700"/>
      <c r="E28" s="1700"/>
      <c r="F28" s="1700"/>
      <c r="G28" s="1700"/>
      <c r="H28" s="1700"/>
      <c r="I28" s="1700"/>
      <c r="J28" s="1700"/>
      <c r="K28" s="1700"/>
    </row>
    <row r="29" spans="2:13" s="1699" customFormat="1" ht="15.75" customHeight="1">
      <c r="B29" s="1700"/>
      <c r="C29" s="1700"/>
      <c r="D29" s="1700"/>
      <c r="E29" s="1700"/>
      <c r="F29" s="1700"/>
      <c r="G29" s="1700"/>
      <c r="H29" s="1700"/>
      <c r="I29" s="1700"/>
      <c r="J29" s="1700"/>
      <c r="K29" s="1700"/>
    </row>
    <row r="30" spans="2:13" s="1699" customFormat="1" ht="15.75" customHeight="1" thickBot="1">
      <c r="B30" s="1013" t="s">
        <v>800</v>
      </c>
      <c r="C30" s="1700"/>
      <c r="D30" s="1700"/>
      <c r="E30" s="1700"/>
      <c r="F30" s="1700"/>
      <c r="G30" s="1700"/>
      <c r="H30" s="1700"/>
      <c r="I30" s="1700"/>
      <c r="J30" s="1700"/>
      <c r="K30" s="1700"/>
    </row>
    <row r="31" spans="2:13" s="1699" customFormat="1" ht="15.75" customHeight="1">
      <c r="B31" s="1961"/>
      <c r="C31" s="1962"/>
      <c r="D31" s="1702" t="s">
        <v>116</v>
      </c>
      <c r="E31" s="1702"/>
      <c r="F31" s="1702"/>
      <c r="G31" s="1702"/>
      <c r="H31" s="1703"/>
      <c r="I31" s="1701" t="s">
        <v>117</v>
      </c>
      <c r="J31" s="1704"/>
      <c r="K31" s="1704"/>
      <c r="L31" s="1704"/>
      <c r="M31" s="1703"/>
    </row>
    <row r="32" spans="2:13" s="1699" customFormat="1" ht="15.75" customHeight="1">
      <c r="B32" s="1963"/>
      <c r="C32" s="1964"/>
      <c r="D32" s="1721" t="s">
        <v>32</v>
      </c>
      <c r="E32" s="1706" t="s">
        <v>33</v>
      </c>
      <c r="F32" s="1706" t="s">
        <v>29</v>
      </c>
      <c r="G32" s="1706" t="s">
        <v>34</v>
      </c>
      <c r="H32" s="1707" t="s">
        <v>35</v>
      </c>
      <c r="I32" s="1705" t="s">
        <v>118</v>
      </c>
      <c r="J32" s="1706" t="s">
        <v>136</v>
      </c>
      <c r="K32" s="1706" t="s">
        <v>137</v>
      </c>
      <c r="L32" s="1706" t="s">
        <v>138</v>
      </c>
      <c r="M32" s="1707" t="s">
        <v>139</v>
      </c>
    </row>
    <row r="33" spans="2:13" s="1699" customFormat="1" ht="15.75" customHeight="1">
      <c r="B33" s="1710" t="s">
        <v>731</v>
      </c>
      <c r="C33" s="1709" t="s">
        <v>14</v>
      </c>
      <c r="D33" s="688"/>
      <c r="E33" s="688"/>
      <c r="F33" s="688"/>
      <c r="G33" s="688"/>
      <c r="H33" s="689"/>
      <c r="I33" s="690"/>
      <c r="J33" s="691"/>
      <c r="K33" s="691"/>
      <c r="L33" s="691"/>
      <c r="M33" s="692"/>
    </row>
    <row r="34" spans="2:13" s="1699" customFormat="1" ht="15.75" customHeight="1">
      <c r="B34" s="1710" t="s">
        <v>238</v>
      </c>
      <c r="C34" s="1709" t="s">
        <v>14</v>
      </c>
      <c r="D34" s="688"/>
      <c r="E34" s="688"/>
      <c r="F34" s="688"/>
      <c r="G34" s="688"/>
      <c r="H34" s="689"/>
      <c r="I34" s="690"/>
      <c r="J34" s="691"/>
      <c r="K34" s="691"/>
      <c r="L34" s="691"/>
      <c r="M34" s="692"/>
    </row>
    <row r="35" spans="2:13" s="1699" customFormat="1" ht="15.75" customHeight="1">
      <c r="B35" s="1710" t="s">
        <v>244</v>
      </c>
      <c r="C35" s="1709" t="s">
        <v>14</v>
      </c>
      <c r="D35" s="688"/>
      <c r="E35" s="688"/>
      <c r="F35" s="688"/>
      <c r="G35" s="688"/>
      <c r="H35" s="689"/>
      <c r="I35" s="690"/>
      <c r="J35" s="691"/>
      <c r="K35" s="691"/>
      <c r="L35" s="691"/>
      <c r="M35" s="692"/>
    </row>
    <row r="36" spans="2:13" s="1699" customFormat="1" ht="15.75" customHeight="1">
      <c r="B36" s="1710" t="s">
        <v>491</v>
      </c>
      <c r="C36" s="1722" t="s">
        <v>14</v>
      </c>
      <c r="D36" s="688"/>
      <c r="E36" s="688"/>
      <c r="F36" s="688"/>
      <c r="G36" s="688"/>
      <c r="H36" s="689"/>
      <c r="I36" s="690"/>
      <c r="J36" s="691"/>
      <c r="K36" s="691"/>
      <c r="L36" s="691"/>
      <c r="M36" s="692"/>
    </row>
    <row r="37" spans="2:13" s="1699" customFormat="1" ht="15.75" customHeight="1" thickBot="1">
      <c r="B37" s="1723" t="s">
        <v>245</v>
      </c>
      <c r="C37" s="1724" t="s">
        <v>14</v>
      </c>
      <c r="D37" s="1725">
        <f t="shared" ref="D37:M37" si="2">SUM(D33:D36)</f>
        <v>0</v>
      </c>
      <c r="E37" s="1726">
        <f t="shared" si="2"/>
        <v>0</v>
      </c>
      <c r="F37" s="1726">
        <f t="shared" si="2"/>
        <v>0</v>
      </c>
      <c r="G37" s="1726">
        <f t="shared" si="2"/>
        <v>0</v>
      </c>
      <c r="H37" s="1727">
        <f t="shared" si="2"/>
        <v>0</v>
      </c>
      <c r="I37" s="1728">
        <f t="shared" si="2"/>
        <v>0</v>
      </c>
      <c r="J37" s="1726">
        <f t="shared" si="2"/>
        <v>0</v>
      </c>
      <c r="K37" s="1726">
        <f t="shared" si="2"/>
        <v>0</v>
      </c>
      <c r="L37" s="1726">
        <f t="shared" si="2"/>
        <v>0</v>
      </c>
      <c r="M37" s="1727">
        <f t="shared" si="2"/>
        <v>0</v>
      </c>
    </row>
    <row r="38" spans="2:13" s="1699" customFormat="1" ht="15.75" customHeight="1"/>
    <row r="39" spans="2:13" s="1699" customFormat="1" ht="15.75" customHeight="1" thickBot="1">
      <c r="B39" s="1013" t="s">
        <v>801</v>
      </c>
      <c r="C39" s="1700"/>
      <c r="D39" s="1700"/>
      <c r="E39" s="1700"/>
      <c r="F39" s="1700"/>
      <c r="G39" s="1700"/>
      <c r="H39" s="1700"/>
      <c r="I39" s="1700"/>
      <c r="J39" s="1700"/>
      <c r="K39" s="1700"/>
    </row>
    <row r="40" spans="2:13" s="1699" customFormat="1" ht="15.75" customHeight="1">
      <c r="B40" s="1961"/>
      <c r="C40" s="1962"/>
      <c r="D40" s="1702" t="s">
        <v>116</v>
      </c>
      <c r="E40" s="1702"/>
      <c r="F40" s="1702"/>
      <c r="G40" s="1702"/>
      <c r="H40" s="1703"/>
      <c r="I40" s="1701" t="s">
        <v>117</v>
      </c>
      <c r="J40" s="1704"/>
      <c r="K40" s="1704"/>
      <c r="L40" s="1704"/>
      <c r="M40" s="1703"/>
    </row>
    <row r="41" spans="2:13" s="1699" customFormat="1" ht="15.75" customHeight="1">
      <c r="B41" s="1963"/>
      <c r="C41" s="1964"/>
      <c r="D41" s="1721" t="s">
        <v>32</v>
      </c>
      <c r="E41" s="1706" t="s">
        <v>33</v>
      </c>
      <c r="F41" s="1706" t="s">
        <v>29</v>
      </c>
      <c r="G41" s="1706" t="s">
        <v>34</v>
      </c>
      <c r="H41" s="1707" t="s">
        <v>35</v>
      </c>
      <c r="I41" s="1705" t="s">
        <v>118</v>
      </c>
      <c r="J41" s="1706" t="s">
        <v>136</v>
      </c>
      <c r="K41" s="1706" t="s">
        <v>137</v>
      </c>
      <c r="L41" s="1706" t="s">
        <v>138</v>
      </c>
      <c r="M41" s="1707" t="s">
        <v>139</v>
      </c>
    </row>
    <row r="42" spans="2:13" s="1699" customFormat="1" ht="15.75" customHeight="1">
      <c r="B42" s="1710" t="s">
        <v>731</v>
      </c>
      <c r="C42" s="1709" t="s">
        <v>14</v>
      </c>
      <c r="D42" s="698"/>
      <c r="E42" s="699"/>
      <c r="F42" s="688"/>
      <c r="G42" s="688"/>
      <c r="H42" s="689"/>
      <c r="I42" s="690"/>
      <c r="J42" s="691"/>
      <c r="K42" s="691"/>
      <c r="L42" s="691"/>
      <c r="M42" s="692"/>
    </row>
    <row r="43" spans="2:13" s="1699" customFormat="1" ht="15.75" customHeight="1">
      <c r="B43" s="1710" t="s">
        <v>238</v>
      </c>
      <c r="C43" s="1709" t="s">
        <v>14</v>
      </c>
      <c r="D43" s="698"/>
      <c r="E43" s="699"/>
      <c r="F43" s="688"/>
      <c r="G43" s="688"/>
      <c r="H43" s="689"/>
      <c r="I43" s="690"/>
      <c r="J43" s="691"/>
      <c r="K43" s="691"/>
      <c r="L43" s="691"/>
      <c r="M43" s="692"/>
    </row>
    <row r="44" spans="2:13" s="1699" customFormat="1" ht="15.75" customHeight="1">
      <c r="B44" s="1710" t="s">
        <v>244</v>
      </c>
      <c r="C44" s="1709" t="s">
        <v>14</v>
      </c>
      <c r="D44" s="698"/>
      <c r="E44" s="699"/>
      <c r="F44" s="688"/>
      <c r="G44" s="688"/>
      <c r="H44" s="689"/>
      <c r="I44" s="690"/>
      <c r="J44" s="691"/>
      <c r="K44" s="691"/>
      <c r="L44" s="691"/>
      <c r="M44" s="692"/>
    </row>
    <row r="45" spans="2:13" s="1699" customFormat="1" ht="15.75" customHeight="1">
      <c r="B45" s="1710" t="s">
        <v>491</v>
      </c>
      <c r="C45" s="1722" t="s">
        <v>14</v>
      </c>
      <c r="D45" s="698"/>
      <c r="E45" s="699"/>
      <c r="F45" s="688"/>
      <c r="G45" s="688"/>
      <c r="H45" s="689"/>
      <c r="I45" s="690"/>
      <c r="J45" s="691"/>
      <c r="K45" s="691"/>
      <c r="L45" s="691"/>
      <c r="M45" s="692"/>
    </row>
    <row r="46" spans="2:13" s="1699" customFormat="1" ht="15.75" customHeight="1" thickBot="1">
      <c r="B46" s="1723" t="s">
        <v>245</v>
      </c>
      <c r="C46" s="1724" t="s">
        <v>14</v>
      </c>
      <c r="D46" s="1725">
        <f t="shared" ref="D46:M46" si="3">SUM(D42:D45)</f>
        <v>0</v>
      </c>
      <c r="E46" s="1726">
        <f t="shared" si="3"/>
        <v>0</v>
      </c>
      <c r="F46" s="1726">
        <f t="shared" si="3"/>
        <v>0</v>
      </c>
      <c r="G46" s="1726">
        <f t="shared" si="3"/>
        <v>0</v>
      </c>
      <c r="H46" s="1727">
        <f t="shared" si="3"/>
        <v>0</v>
      </c>
      <c r="I46" s="1728">
        <f t="shared" si="3"/>
        <v>0</v>
      </c>
      <c r="J46" s="1726">
        <f t="shared" si="3"/>
        <v>0</v>
      </c>
      <c r="K46" s="1726">
        <f t="shared" si="3"/>
        <v>0</v>
      </c>
      <c r="L46" s="1726">
        <f t="shared" si="3"/>
        <v>0</v>
      </c>
      <c r="M46" s="1727">
        <f t="shared" si="3"/>
        <v>0</v>
      </c>
    </row>
    <row r="47" spans="2:13" s="1699" customFormat="1" ht="15.75" customHeight="1"/>
    <row r="48" spans="2:13" s="1699" customFormat="1" ht="15.75" customHeight="1">
      <c r="B48" s="1700" t="s">
        <v>802</v>
      </c>
      <c r="C48" s="1700"/>
      <c r="D48" s="1700"/>
      <c r="E48" s="1700"/>
      <c r="F48" s="1700"/>
      <c r="G48" s="1700"/>
      <c r="H48" s="1700"/>
      <c r="I48" s="1700"/>
      <c r="J48" s="1700"/>
      <c r="K48" s="1700"/>
      <c r="L48" s="1700"/>
    </row>
    <row r="49" spans="2:24" s="1699" customFormat="1" ht="15.75" customHeight="1" thickBot="1">
      <c r="B49" s="1013"/>
      <c r="C49" s="1700"/>
      <c r="D49" s="1700"/>
      <c r="E49" s="1700"/>
      <c r="F49" s="1700"/>
      <c r="G49" s="1700"/>
      <c r="H49" s="1700"/>
      <c r="I49" s="1700"/>
      <c r="J49" s="1700"/>
      <c r="K49" s="1700"/>
      <c r="L49" s="1700"/>
    </row>
    <row r="50" spans="2:24" s="1699" customFormat="1" ht="15.75" customHeight="1">
      <c r="B50" s="1729"/>
      <c r="C50" s="1730" t="s">
        <v>803</v>
      </c>
      <c r="D50" s="1731" t="s">
        <v>804</v>
      </c>
      <c r="E50" s="1731" t="s">
        <v>805</v>
      </c>
      <c r="F50" s="1731" t="s">
        <v>806</v>
      </c>
      <c r="G50" s="1731" t="s">
        <v>807</v>
      </c>
      <c r="H50" s="1732" t="s">
        <v>808</v>
      </c>
      <c r="I50" s="1700"/>
    </row>
    <row r="51" spans="2:24" s="1699" customFormat="1" ht="15.75" customHeight="1">
      <c r="B51" s="1733" t="s">
        <v>731</v>
      </c>
      <c r="C51" s="1734"/>
      <c r="D51" s="1735"/>
      <c r="E51" s="700"/>
      <c r="F51" s="1735"/>
      <c r="G51" s="1735"/>
      <c r="H51" s="1736"/>
      <c r="I51" s="1700"/>
    </row>
    <row r="52" spans="2:24" s="1699" customFormat="1" ht="15.75" customHeight="1">
      <c r="B52" s="1733" t="s">
        <v>238</v>
      </c>
      <c r="C52" s="1734"/>
      <c r="D52" s="1735"/>
      <c r="E52" s="700"/>
      <c r="F52" s="1735"/>
      <c r="G52" s="1735"/>
      <c r="H52" s="1736"/>
      <c r="I52" s="1700"/>
    </row>
    <row r="53" spans="2:24" s="1699" customFormat="1" ht="15.75" customHeight="1">
      <c r="B53" s="1733" t="s">
        <v>244</v>
      </c>
      <c r="C53" s="1734"/>
      <c r="D53" s="1735"/>
      <c r="E53" s="700"/>
      <c r="F53" s="1735"/>
      <c r="G53" s="1735"/>
      <c r="H53" s="1736"/>
      <c r="I53" s="1700"/>
    </row>
    <row r="54" spans="2:24" s="1699" customFormat="1" ht="15.75" customHeight="1">
      <c r="B54" s="1733" t="s">
        <v>491</v>
      </c>
      <c r="C54" s="1734"/>
      <c r="D54" s="1735"/>
      <c r="E54" s="700"/>
      <c r="F54" s="1735"/>
      <c r="G54" s="1735"/>
      <c r="H54" s="1736"/>
      <c r="I54" s="1700"/>
    </row>
    <row r="55" spans="2:24" s="1699" customFormat="1" ht="15.75" customHeight="1" thickBot="1">
      <c r="B55" s="1737" t="s">
        <v>245</v>
      </c>
      <c r="C55" s="1738">
        <f t="shared" ref="C55:H55" si="4">SUM(C51:C54)</f>
        <v>0</v>
      </c>
      <c r="D55" s="1739">
        <f t="shared" si="4"/>
        <v>0</v>
      </c>
      <c r="E55" s="1739">
        <f t="shared" si="4"/>
        <v>0</v>
      </c>
      <c r="F55" s="1739">
        <f t="shared" si="4"/>
        <v>0</v>
      </c>
      <c r="G55" s="1739">
        <f t="shared" si="4"/>
        <v>0</v>
      </c>
      <c r="H55" s="1740">
        <f t="shared" si="4"/>
        <v>0</v>
      </c>
      <c r="I55" s="1700"/>
    </row>
    <row r="56" spans="2:24" s="1699" customFormat="1" ht="15.75" customHeight="1">
      <c r="B56" s="1700"/>
      <c r="C56" s="1700"/>
      <c r="D56" s="1700"/>
      <c r="E56" s="1700"/>
      <c r="F56" s="1700"/>
      <c r="G56" s="1700"/>
      <c r="H56" s="1700"/>
      <c r="I56" s="1700"/>
    </row>
    <row r="57" spans="2:24" s="1699" customFormat="1" ht="15.75" customHeight="1" thickBot="1"/>
    <row r="58" spans="2:24" s="1699" customFormat="1" ht="15.75" customHeight="1">
      <c r="B58" s="1954" t="s">
        <v>809</v>
      </c>
      <c r="C58" s="1965"/>
      <c r="D58" s="1965"/>
      <c r="E58" s="1965"/>
      <c r="F58" s="1965"/>
      <c r="G58" s="1965"/>
      <c r="H58" s="1966"/>
      <c r="I58" s="1741"/>
      <c r="J58" s="1975" t="s">
        <v>810</v>
      </c>
      <c r="K58" s="1976"/>
      <c r="L58" s="1976"/>
      <c r="M58" s="1976"/>
      <c r="N58" s="1976"/>
      <c r="O58" s="1976"/>
      <c r="P58" s="1977"/>
      <c r="R58" s="1954" t="s">
        <v>117</v>
      </c>
      <c r="S58" s="1955"/>
      <c r="T58" s="1955"/>
      <c r="U58" s="1955"/>
      <c r="V58" s="1955"/>
      <c r="W58" s="1955"/>
      <c r="X58" s="1956"/>
    </row>
    <row r="59" spans="2:24" s="1699" customFormat="1" ht="15.75" customHeight="1">
      <c r="B59" s="1952"/>
      <c r="C59" s="1742" t="s">
        <v>811</v>
      </c>
      <c r="D59" s="1978" t="s">
        <v>812</v>
      </c>
      <c r="E59" s="1979"/>
      <c r="F59" s="1979"/>
      <c r="G59" s="1979"/>
      <c r="H59" s="1980"/>
      <c r="J59" s="1743"/>
      <c r="K59" s="1742" t="s">
        <v>811</v>
      </c>
      <c r="L59" s="1978" t="s">
        <v>813</v>
      </c>
      <c r="M59" s="1979"/>
      <c r="N59" s="1979"/>
      <c r="O59" s="1979"/>
      <c r="P59" s="1980"/>
      <c r="R59" s="1952"/>
      <c r="S59" s="1957" t="s">
        <v>811</v>
      </c>
      <c r="T59" s="1949" t="s">
        <v>813</v>
      </c>
      <c r="U59" s="1950"/>
      <c r="V59" s="1950"/>
      <c r="W59" s="1950"/>
      <c r="X59" s="1951"/>
    </row>
    <row r="60" spans="2:24" s="1699" customFormat="1" ht="48.75" customHeight="1">
      <c r="B60" s="1953"/>
      <c r="C60" s="1744"/>
      <c r="D60" s="1745" t="s">
        <v>814</v>
      </c>
      <c r="E60" s="1745" t="s">
        <v>815</v>
      </c>
      <c r="F60" s="1745" t="s">
        <v>816</v>
      </c>
      <c r="G60" s="1014" t="s">
        <v>817</v>
      </c>
      <c r="H60" s="1746" t="s">
        <v>818</v>
      </c>
      <c r="I60" s="1747"/>
      <c r="J60" s="1748"/>
      <c r="K60" s="1749"/>
      <c r="L60" s="1014" t="s">
        <v>814</v>
      </c>
      <c r="M60" s="1014" t="s">
        <v>815</v>
      </c>
      <c r="N60" s="1014" t="s">
        <v>816</v>
      </c>
      <c r="O60" s="1014" t="s">
        <v>817</v>
      </c>
      <c r="P60" s="1746" t="s">
        <v>818</v>
      </c>
      <c r="R60" s="1953"/>
      <c r="S60" s="1960"/>
      <c r="T60" s="1014" t="s">
        <v>814</v>
      </c>
      <c r="U60" s="1014" t="s">
        <v>815</v>
      </c>
      <c r="V60" s="1014" t="s">
        <v>816</v>
      </c>
      <c r="W60" s="1014" t="s">
        <v>817</v>
      </c>
      <c r="X60" s="1746" t="s">
        <v>818</v>
      </c>
    </row>
    <row r="61" spans="2:24" s="1699" customFormat="1" ht="15.75" customHeight="1">
      <c r="B61" s="1733" t="s">
        <v>731</v>
      </c>
      <c r="C61" s="1734">
        <f>SUM(D61:H61)</f>
        <v>0</v>
      </c>
      <c r="D61" s="701"/>
      <c r="E61" s="701"/>
      <c r="F61" s="701"/>
      <c r="G61" s="700"/>
      <c r="H61" s="702"/>
      <c r="I61" s="1747"/>
      <c r="J61" s="1750" t="s">
        <v>731</v>
      </c>
      <c r="K61" s="1751">
        <f>SUM(L61:P61)</f>
        <v>0</v>
      </c>
      <c r="L61" s="703"/>
      <c r="M61" s="703"/>
      <c r="N61" s="703"/>
      <c r="O61" s="704"/>
      <c r="P61" s="705"/>
      <c r="R61" s="1750" t="s">
        <v>731</v>
      </c>
      <c r="S61" s="1751">
        <f>SUM(T61:X61)</f>
        <v>0</v>
      </c>
      <c r="T61" s="703"/>
      <c r="U61" s="703"/>
      <c r="V61" s="703"/>
      <c r="W61" s="704"/>
      <c r="X61" s="705"/>
    </row>
    <row r="62" spans="2:24" s="1699" customFormat="1" ht="15.75" customHeight="1">
      <c r="B62" s="1733" t="s">
        <v>238</v>
      </c>
      <c r="C62" s="1751">
        <f>SUM(D62:H62)</f>
        <v>0</v>
      </c>
      <c r="D62" s="701"/>
      <c r="E62" s="701"/>
      <c r="F62" s="701"/>
      <c r="G62" s="700"/>
      <c r="H62" s="702"/>
      <c r="I62" s="1747"/>
      <c r="J62" s="1733" t="s">
        <v>238</v>
      </c>
      <c r="K62" s="1751">
        <f>SUM(L62:P62)</f>
        <v>0</v>
      </c>
      <c r="L62" s="701"/>
      <c r="M62" s="701"/>
      <c r="N62" s="701"/>
      <c r="O62" s="700"/>
      <c r="P62" s="702"/>
      <c r="R62" s="1733" t="s">
        <v>238</v>
      </c>
      <c r="S62" s="1751">
        <f>SUM(T62:X62)</f>
        <v>0</v>
      </c>
      <c r="T62" s="701"/>
      <c r="U62" s="701"/>
      <c r="V62" s="701"/>
      <c r="W62" s="700"/>
      <c r="X62" s="702"/>
    </row>
    <row r="63" spans="2:24" s="1699" customFormat="1" ht="15.75" customHeight="1">
      <c r="B63" s="1733" t="s">
        <v>244</v>
      </c>
      <c r="C63" s="1751">
        <f>SUM(D63:H63)</f>
        <v>0</v>
      </c>
      <c r="D63" s="701"/>
      <c r="E63" s="701"/>
      <c r="F63" s="701"/>
      <c r="G63" s="700"/>
      <c r="H63" s="702"/>
      <c r="I63" s="1747"/>
      <c r="J63" s="1733" t="s">
        <v>244</v>
      </c>
      <c r="K63" s="1751">
        <f>SUM(L63:P63)</f>
        <v>0</v>
      </c>
      <c r="L63" s="701"/>
      <c r="M63" s="701"/>
      <c r="N63" s="701"/>
      <c r="O63" s="700"/>
      <c r="P63" s="702"/>
      <c r="R63" s="1733" t="s">
        <v>244</v>
      </c>
      <c r="S63" s="1751">
        <f>SUM(T63:X63)</f>
        <v>0</v>
      </c>
      <c r="T63" s="701"/>
      <c r="U63" s="701"/>
      <c r="V63" s="701"/>
      <c r="W63" s="700"/>
      <c r="X63" s="702"/>
    </row>
    <row r="64" spans="2:24" s="1699" customFormat="1" ht="15.75" customHeight="1">
      <c r="B64" s="1733" t="s">
        <v>491</v>
      </c>
      <c r="C64" s="1751">
        <f>SUM(D64:H64)</f>
        <v>0</v>
      </c>
      <c r="D64" s="701"/>
      <c r="E64" s="701"/>
      <c r="F64" s="701"/>
      <c r="G64" s="700"/>
      <c r="H64" s="702"/>
      <c r="I64" s="1747"/>
      <c r="J64" s="1733" t="s">
        <v>491</v>
      </c>
      <c r="K64" s="1751">
        <f>SUM(L64:P64)</f>
        <v>0</v>
      </c>
      <c r="L64" s="701"/>
      <c r="M64" s="701"/>
      <c r="N64" s="701"/>
      <c r="O64" s="700"/>
      <c r="P64" s="702"/>
      <c r="R64" s="1733" t="s">
        <v>491</v>
      </c>
      <c r="S64" s="1751">
        <f>SUM(T64:X64)</f>
        <v>0</v>
      </c>
      <c r="T64" s="701"/>
      <c r="U64" s="701"/>
      <c r="V64" s="701"/>
      <c r="W64" s="700"/>
      <c r="X64" s="702"/>
    </row>
    <row r="65" spans="2:24" s="1699" customFormat="1" ht="15.75" customHeight="1" thickBot="1">
      <c r="B65" s="1737" t="s">
        <v>245</v>
      </c>
      <c r="C65" s="1738">
        <f t="shared" ref="C65:H65" si="5">SUM(C61:C64)</f>
        <v>0</v>
      </c>
      <c r="D65" s="1739">
        <f t="shared" si="5"/>
        <v>0</v>
      </c>
      <c r="E65" s="1739">
        <f t="shared" si="5"/>
        <v>0</v>
      </c>
      <c r="F65" s="1739">
        <f t="shared" si="5"/>
        <v>0</v>
      </c>
      <c r="G65" s="1739">
        <f t="shared" si="5"/>
        <v>0</v>
      </c>
      <c r="H65" s="1740">
        <f t="shared" si="5"/>
        <v>0</v>
      </c>
      <c r="I65" s="1747"/>
      <c r="J65" s="1737" t="s">
        <v>245</v>
      </c>
      <c r="K65" s="1738">
        <f t="shared" ref="K65:P65" si="6">SUM(K61:K64)</f>
        <v>0</v>
      </c>
      <c r="L65" s="1739">
        <f t="shared" si="6"/>
        <v>0</v>
      </c>
      <c r="M65" s="1739">
        <f t="shared" si="6"/>
        <v>0</v>
      </c>
      <c r="N65" s="1739">
        <f t="shared" si="6"/>
        <v>0</v>
      </c>
      <c r="O65" s="1739">
        <f t="shared" si="6"/>
        <v>0</v>
      </c>
      <c r="P65" s="1740">
        <f t="shared" si="6"/>
        <v>0</v>
      </c>
      <c r="R65" s="1737" t="s">
        <v>245</v>
      </c>
      <c r="S65" s="1738">
        <f t="shared" ref="S65:X65" si="7">SUM(S61:S64)</f>
        <v>0</v>
      </c>
      <c r="T65" s="1739">
        <f t="shared" si="7"/>
        <v>0</v>
      </c>
      <c r="U65" s="1739">
        <f t="shared" si="7"/>
        <v>0</v>
      </c>
      <c r="V65" s="1739">
        <f t="shared" si="7"/>
        <v>0</v>
      </c>
      <c r="W65" s="1739">
        <f t="shared" si="7"/>
        <v>0</v>
      </c>
      <c r="X65" s="1740">
        <f t="shared" si="7"/>
        <v>0</v>
      </c>
    </row>
    <row r="66" spans="2:24" s="1699" customFormat="1" ht="15.75" customHeight="1" thickBot="1">
      <c r="B66" s="1752"/>
      <c r="C66" s="1753"/>
      <c r="D66" s="1753"/>
      <c r="E66" s="1753"/>
      <c r="F66" s="1753"/>
      <c r="G66" s="1753"/>
      <c r="H66" s="1753"/>
      <c r="I66" s="1747"/>
      <c r="J66" s="1752"/>
      <c r="K66" s="1753"/>
      <c r="L66" s="1753"/>
      <c r="M66" s="1753"/>
      <c r="N66" s="1753"/>
      <c r="O66" s="1753"/>
      <c r="P66" s="1753"/>
      <c r="R66" s="1752"/>
      <c r="S66" s="1753"/>
      <c r="T66" s="1753"/>
      <c r="U66" s="1753"/>
      <c r="V66" s="1753"/>
      <c r="W66" s="1753"/>
      <c r="X66" s="1753"/>
    </row>
    <row r="67" spans="2:24" s="1699" customFormat="1" ht="15.75" customHeight="1">
      <c r="B67" s="1954" t="s">
        <v>809</v>
      </c>
      <c r="C67" s="1955"/>
      <c r="D67" s="1955"/>
      <c r="E67" s="1955"/>
      <c r="F67" s="1955"/>
      <c r="G67" s="1955"/>
      <c r="H67" s="1956"/>
      <c r="I67" s="1741"/>
      <c r="J67" s="1954" t="s">
        <v>810</v>
      </c>
      <c r="K67" s="1955"/>
      <c r="L67" s="1955"/>
      <c r="M67" s="1955"/>
      <c r="N67" s="1955"/>
      <c r="O67" s="1955"/>
      <c r="P67" s="1956"/>
      <c r="R67" s="1954" t="s">
        <v>117</v>
      </c>
      <c r="S67" s="1955"/>
      <c r="T67" s="1955"/>
      <c r="U67" s="1955"/>
      <c r="V67" s="1955"/>
      <c r="W67" s="1955"/>
      <c r="X67" s="1956"/>
    </row>
    <row r="68" spans="2:24" s="1699" customFormat="1" ht="15.75" customHeight="1">
      <c r="B68" s="1952"/>
      <c r="C68" s="1973" t="s">
        <v>819</v>
      </c>
      <c r="D68" s="1949" t="s">
        <v>812</v>
      </c>
      <c r="E68" s="1950"/>
      <c r="F68" s="1950"/>
      <c r="G68" s="1950"/>
      <c r="H68" s="1951"/>
      <c r="J68" s="1952"/>
      <c r="K68" s="1957" t="s">
        <v>819</v>
      </c>
      <c r="L68" s="1754" t="s">
        <v>813</v>
      </c>
      <c r="M68" s="1755"/>
      <c r="N68" s="1755"/>
      <c r="O68" s="1755"/>
      <c r="P68" s="1756"/>
      <c r="R68" s="1952"/>
      <c r="S68" s="1957" t="s">
        <v>819</v>
      </c>
      <c r="T68" s="1949" t="s">
        <v>813</v>
      </c>
      <c r="U68" s="1950"/>
      <c r="V68" s="1950"/>
      <c r="W68" s="1950"/>
      <c r="X68" s="1951"/>
    </row>
    <row r="69" spans="2:24" s="1699" customFormat="1" ht="30" customHeight="1">
      <c r="B69" s="1953"/>
      <c r="C69" s="1974"/>
      <c r="D69" s="1014" t="s">
        <v>814</v>
      </c>
      <c r="E69" s="1014" t="s">
        <v>815</v>
      </c>
      <c r="F69" s="1014" t="s">
        <v>816</v>
      </c>
      <c r="G69" s="1014" t="s">
        <v>817</v>
      </c>
      <c r="H69" s="1757" t="s">
        <v>818</v>
      </c>
      <c r="I69" s="1747"/>
      <c r="J69" s="1953"/>
      <c r="K69" s="1960"/>
      <c r="L69" s="1758" t="s">
        <v>814</v>
      </c>
      <c r="M69" s="1758" t="s">
        <v>815</v>
      </c>
      <c r="N69" s="1758" t="s">
        <v>816</v>
      </c>
      <c r="O69" s="1758" t="s">
        <v>817</v>
      </c>
      <c r="P69" s="1757" t="s">
        <v>818</v>
      </c>
      <c r="R69" s="1953"/>
      <c r="S69" s="1960"/>
      <c r="T69" s="1014" t="s">
        <v>814</v>
      </c>
      <c r="U69" s="1014" t="s">
        <v>815</v>
      </c>
      <c r="V69" s="1014" t="s">
        <v>816</v>
      </c>
      <c r="W69" s="1014" t="s">
        <v>817</v>
      </c>
      <c r="X69" s="1757" t="s">
        <v>818</v>
      </c>
    </row>
    <row r="70" spans="2:24" s="1699" customFormat="1" ht="15.75" customHeight="1">
      <c r="B70" s="1759" t="s">
        <v>731</v>
      </c>
      <c r="C70" s="703"/>
      <c r="D70" s="703"/>
      <c r="E70" s="703"/>
      <c r="F70" s="703"/>
      <c r="G70" s="704"/>
      <c r="H70" s="1760"/>
      <c r="I70" s="1747"/>
      <c r="J70" s="1750" t="s">
        <v>731</v>
      </c>
      <c r="K70" s="706"/>
      <c r="L70" s="703"/>
      <c r="M70" s="703"/>
      <c r="N70" s="703"/>
      <c r="O70" s="704"/>
      <c r="P70" s="707"/>
      <c r="R70" s="1750" t="s">
        <v>731</v>
      </c>
      <c r="S70" s="706"/>
      <c r="T70" s="703"/>
      <c r="U70" s="703"/>
      <c r="V70" s="703"/>
      <c r="W70" s="704"/>
      <c r="X70" s="707"/>
    </row>
    <row r="71" spans="2:24" s="1699" customFormat="1" ht="15.75" customHeight="1">
      <c r="B71" s="1761" t="s">
        <v>238</v>
      </c>
      <c r="C71" s="701"/>
      <c r="D71" s="701"/>
      <c r="E71" s="701"/>
      <c r="F71" s="701"/>
      <c r="G71" s="700"/>
      <c r="H71" s="1762"/>
      <c r="I71" s="1747"/>
      <c r="J71" s="1733" t="s">
        <v>238</v>
      </c>
      <c r="K71" s="708"/>
      <c r="L71" s="701"/>
      <c r="M71" s="701"/>
      <c r="N71" s="701"/>
      <c r="O71" s="700"/>
      <c r="P71" s="709"/>
      <c r="R71" s="1733" t="s">
        <v>238</v>
      </c>
      <c r="S71" s="708"/>
      <c r="T71" s="701"/>
      <c r="U71" s="701"/>
      <c r="V71" s="701"/>
      <c r="W71" s="700"/>
      <c r="X71" s="709"/>
    </row>
    <row r="72" spans="2:24" s="1699" customFormat="1" ht="15.75" customHeight="1">
      <c r="B72" s="1761" t="s">
        <v>244</v>
      </c>
      <c r="C72" s="701"/>
      <c r="D72" s="701"/>
      <c r="E72" s="701"/>
      <c r="F72" s="701"/>
      <c r="G72" s="700"/>
      <c r="H72" s="1762"/>
      <c r="I72" s="1747"/>
      <c r="J72" s="1733" t="s">
        <v>244</v>
      </c>
      <c r="K72" s="708"/>
      <c r="L72" s="701"/>
      <c r="M72" s="701"/>
      <c r="N72" s="701"/>
      <c r="O72" s="700"/>
      <c r="P72" s="709"/>
      <c r="R72" s="1733" t="s">
        <v>244</v>
      </c>
      <c r="S72" s="708"/>
      <c r="T72" s="701"/>
      <c r="U72" s="701"/>
      <c r="V72" s="701"/>
      <c r="W72" s="700"/>
      <c r="X72" s="709"/>
    </row>
    <row r="73" spans="2:24" s="1699" customFormat="1" ht="15.75" customHeight="1">
      <c r="B73" s="1761" t="s">
        <v>491</v>
      </c>
      <c r="C73" s="701"/>
      <c r="D73" s="701"/>
      <c r="E73" s="701"/>
      <c r="F73" s="701"/>
      <c r="G73" s="700"/>
      <c r="H73" s="1762"/>
      <c r="I73" s="1747"/>
      <c r="J73" s="1733" t="s">
        <v>491</v>
      </c>
      <c r="K73" s="708"/>
      <c r="L73" s="701"/>
      <c r="M73" s="701"/>
      <c r="N73" s="701"/>
      <c r="O73" s="700"/>
      <c r="P73" s="709"/>
      <c r="R73" s="1733" t="s">
        <v>491</v>
      </c>
      <c r="S73" s="708"/>
      <c r="T73" s="701"/>
      <c r="U73" s="701"/>
      <c r="V73" s="701"/>
      <c r="W73" s="700"/>
      <c r="X73" s="709"/>
    </row>
    <row r="74" spans="2:24" s="1699" customFormat="1" ht="15.75" customHeight="1" thickBot="1">
      <c r="B74" s="1763" t="s">
        <v>245</v>
      </c>
      <c r="C74" s="1764">
        <f t="shared" ref="C74:H74" si="8">SUM(C70:C73)</f>
        <v>0</v>
      </c>
      <c r="D74" s="1739">
        <f t="shared" si="8"/>
        <v>0</v>
      </c>
      <c r="E74" s="1739">
        <f t="shared" si="8"/>
        <v>0</v>
      </c>
      <c r="F74" s="1739">
        <f t="shared" si="8"/>
        <v>0</v>
      </c>
      <c r="G74" s="1739">
        <f t="shared" si="8"/>
        <v>0</v>
      </c>
      <c r="H74" s="1765">
        <f t="shared" si="8"/>
        <v>0</v>
      </c>
      <c r="I74" s="1747"/>
      <c r="J74" s="1737" t="s">
        <v>245</v>
      </c>
      <c r="K74" s="1738">
        <f t="shared" ref="K74:P74" si="9">SUM(K70:K73)</f>
        <v>0</v>
      </c>
      <c r="L74" s="1739">
        <f t="shared" si="9"/>
        <v>0</v>
      </c>
      <c r="M74" s="1739">
        <f t="shared" si="9"/>
        <v>0</v>
      </c>
      <c r="N74" s="1739">
        <f t="shared" si="9"/>
        <v>0</v>
      </c>
      <c r="O74" s="1739">
        <f t="shared" si="9"/>
        <v>0</v>
      </c>
      <c r="P74" s="1765">
        <f t="shared" si="9"/>
        <v>0</v>
      </c>
      <c r="R74" s="1737" t="s">
        <v>245</v>
      </c>
      <c r="S74" s="1738">
        <f t="shared" ref="S74:X74" si="10">SUM(S70:S73)</f>
        <v>0</v>
      </c>
      <c r="T74" s="1739">
        <f t="shared" si="10"/>
        <v>0</v>
      </c>
      <c r="U74" s="1739">
        <f t="shared" si="10"/>
        <v>0</v>
      </c>
      <c r="V74" s="1739">
        <f t="shared" si="10"/>
        <v>0</v>
      </c>
      <c r="W74" s="1739">
        <f t="shared" si="10"/>
        <v>0</v>
      </c>
      <c r="X74" s="1765">
        <f t="shared" si="10"/>
        <v>0</v>
      </c>
    </row>
    <row r="75" spans="2:24" s="1699" customFormat="1" ht="15.75" customHeight="1" thickBot="1">
      <c r="B75" s="1752"/>
      <c r="C75" s="1753"/>
      <c r="D75" s="1753"/>
      <c r="E75" s="1753"/>
      <c r="F75" s="1753"/>
      <c r="G75" s="1753"/>
      <c r="H75" s="1753"/>
      <c r="I75" s="1747"/>
      <c r="J75" s="1766"/>
      <c r="K75" s="1767"/>
      <c r="L75" s="1767"/>
      <c r="M75" s="1767"/>
      <c r="N75" s="1767"/>
      <c r="O75" s="1767"/>
      <c r="P75" s="1767"/>
      <c r="R75" s="1752"/>
      <c r="S75" s="1753"/>
      <c r="T75" s="1753"/>
      <c r="U75" s="1753"/>
      <c r="V75" s="1753"/>
      <c r="W75" s="1753"/>
      <c r="X75" s="1753"/>
    </row>
    <row r="76" spans="2:24" s="1699" customFormat="1" ht="15.75" customHeight="1">
      <c r="B76" s="1954" t="s">
        <v>809</v>
      </c>
      <c r="C76" s="1955"/>
      <c r="D76" s="1955"/>
      <c r="E76" s="1955"/>
      <c r="F76" s="1955"/>
      <c r="G76" s="1955"/>
      <c r="H76" s="1956"/>
      <c r="J76" s="1954" t="s">
        <v>810</v>
      </c>
      <c r="K76" s="1955"/>
      <c r="L76" s="1955"/>
      <c r="M76" s="1955"/>
      <c r="N76" s="1955"/>
      <c r="O76" s="1955"/>
      <c r="P76" s="1956"/>
      <c r="R76" s="1954" t="s">
        <v>117</v>
      </c>
      <c r="S76" s="1955"/>
      <c r="T76" s="1955"/>
      <c r="U76" s="1955"/>
      <c r="V76" s="1955"/>
      <c r="W76" s="1955"/>
      <c r="X76" s="1956"/>
    </row>
    <row r="77" spans="2:24" s="1699" customFormat="1" ht="15.75" customHeight="1">
      <c r="B77" s="1952"/>
      <c r="C77" s="1957" t="s">
        <v>820</v>
      </c>
      <c r="D77" s="1949" t="s">
        <v>821</v>
      </c>
      <c r="E77" s="1950"/>
      <c r="F77" s="1950"/>
      <c r="G77" s="1950"/>
      <c r="H77" s="1951"/>
      <c r="J77" s="1952"/>
      <c r="K77" s="1959" t="s">
        <v>820</v>
      </c>
      <c r="L77" s="1754" t="s">
        <v>822</v>
      </c>
      <c r="M77" s="1755"/>
      <c r="N77" s="1755"/>
      <c r="O77" s="1755"/>
      <c r="P77" s="1756"/>
      <c r="R77" s="1952"/>
      <c r="S77" s="1959" t="s">
        <v>820</v>
      </c>
      <c r="T77" s="1949" t="s">
        <v>822</v>
      </c>
      <c r="U77" s="1950"/>
      <c r="V77" s="1950"/>
      <c r="W77" s="1950"/>
      <c r="X77" s="1951"/>
    </row>
    <row r="78" spans="2:24" s="1699" customFormat="1" ht="30" customHeight="1">
      <c r="B78" s="1953"/>
      <c r="C78" s="1958"/>
      <c r="D78" s="1014" t="s">
        <v>814</v>
      </c>
      <c r="E78" s="1014" t="s">
        <v>815</v>
      </c>
      <c r="F78" s="1014" t="s">
        <v>816</v>
      </c>
      <c r="G78" s="1014" t="s">
        <v>817</v>
      </c>
      <c r="H78" s="1757" t="s">
        <v>818</v>
      </c>
      <c r="J78" s="1953"/>
      <c r="K78" s="1960"/>
      <c r="L78" s="1758" t="s">
        <v>814</v>
      </c>
      <c r="M78" s="1758" t="s">
        <v>815</v>
      </c>
      <c r="N78" s="1758" t="s">
        <v>816</v>
      </c>
      <c r="O78" s="1758" t="s">
        <v>817</v>
      </c>
      <c r="P78" s="1757" t="s">
        <v>818</v>
      </c>
      <c r="R78" s="1953"/>
      <c r="S78" s="1960"/>
      <c r="T78" s="1014" t="s">
        <v>814</v>
      </c>
      <c r="U78" s="1014" t="s">
        <v>815</v>
      </c>
      <c r="V78" s="1014" t="s">
        <v>816</v>
      </c>
      <c r="W78" s="1014" t="s">
        <v>817</v>
      </c>
      <c r="X78" s="1757" t="s">
        <v>818</v>
      </c>
    </row>
    <row r="79" spans="2:24" s="1699" customFormat="1" ht="15.75" customHeight="1">
      <c r="B79" s="1750" t="s">
        <v>731</v>
      </c>
      <c r="C79" s="1768">
        <f>SUM(D33:F33)</f>
        <v>0</v>
      </c>
      <c r="D79" s="710"/>
      <c r="E79" s="710"/>
      <c r="F79" s="710"/>
      <c r="G79" s="691"/>
      <c r="H79" s="711"/>
      <c r="J79" s="1750" t="s">
        <v>731</v>
      </c>
      <c r="K79" s="1768">
        <f>SUM(G33:H33)</f>
        <v>0</v>
      </c>
      <c r="L79" s="710"/>
      <c r="M79" s="710"/>
      <c r="N79" s="710"/>
      <c r="O79" s="712"/>
      <c r="P79" s="713"/>
      <c r="R79" s="1750" t="s">
        <v>731</v>
      </c>
      <c r="S79" s="1768">
        <f>SUM(I33:M33)</f>
        <v>0</v>
      </c>
      <c r="T79" s="710"/>
      <c r="U79" s="710"/>
      <c r="V79" s="710"/>
      <c r="W79" s="712"/>
      <c r="X79" s="713"/>
    </row>
    <row r="80" spans="2:24" s="1699" customFormat="1" ht="15.75" customHeight="1">
      <c r="B80" s="1733" t="s">
        <v>238</v>
      </c>
      <c r="C80" s="1768">
        <f>SUM(D34:F34)</f>
        <v>0</v>
      </c>
      <c r="D80" s="688"/>
      <c r="E80" s="688"/>
      <c r="F80" s="688"/>
      <c r="G80" s="691"/>
      <c r="H80" s="711"/>
      <c r="J80" s="1733" t="s">
        <v>238</v>
      </c>
      <c r="K80" s="1768">
        <f>SUM(G34:H34)</f>
        <v>0</v>
      </c>
      <c r="L80" s="688"/>
      <c r="M80" s="688"/>
      <c r="N80" s="688"/>
      <c r="O80" s="691"/>
      <c r="P80" s="711"/>
      <c r="R80" s="1733" t="s">
        <v>238</v>
      </c>
      <c r="S80" s="1768">
        <f>SUM(I34:M34)</f>
        <v>0</v>
      </c>
      <c r="T80" s="688"/>
      <c r="U80" s="688"/>
      <c r="V80" s="688"/>
      <c r="W80" s="691"/>
      <c r="X80" s="711"/>
    </row>
    <row r="81" spans="2:24" s="1699" customFormat="1" ht="15.75" customHeight="1">
      <c r="B81" s="1733" t="s">
        <v>244</v>
      </c>
      <c r="C81" s="1768">
        <f>SUM(D35:F35)</f>
        <v>0</v>
      </c>
      <c r="D81" s="688"/>
      <c r="E81" s="688"/>
      <c r="F81" s="688"/>
      <c r="G81" s="691"/>
      <c r="H81" s="711"/>
      <c r="J81" s="1733" t="s">
        <v>244</v>
      </c>
      <c r="K81" s="1768">
        <f>SUM(G35:H35)</f>
        <v>0</v>
      </c>
      <c r="L81" s="688"/>
      <c r="M81" s="688"/>
      <c r="N81" s="688"/>
      <c r="O81" s="691"/>
      <c r="P81" s="711"/>
      <c r="R81" s="1733" t="s">
        <v>244</v>
      </c>
      <c r="S81" s="1768">
        <f>SUM(I35:M35)</f>
        <v>0</v>
      </c>
      <c r="T81" s="688"/>
      <c r="U81" s="688"/>
      <c r="V81" s="688"/>
      <c r="W81" s="691"/>
      <c r="X81" s="711"/>
    </row>
    <row r="82" spans="2:24" s="1699" customFormat="1" ht="15.75" customHeight="1">
      <c r="B82" s="1733" t="s">
        <v>491</v>
      </c>
      <c r="C82" s="1768">
        <f>SUM(D36:F36)</f>
        <v>0</v>
      </c>
      <c r="D82" s="688"/>
      <c r="E82" s="688"/>
      <c r="F82" s="688"/>
      <c r="G82" s="691"/>
      <c r="H82" s="711"/>
      <c r="J82" s="1733" t="s">
        <v>491</v>
      </c>
      <c r="K82" s="1768">
        <f>SUM(G36:H36)</f>
        <v>0</v>
      </c>
      <c r="L82" s="688"/>
      <c r="M82" s="688"/>
      <c r="N82" s="688"/>
      <c r="O82" s="691"/>
      <c r="P82" s="711"/>
      <c r="R82" s="1733" t="s">
        <v>491</v>
      </c>
      <c r="S82" s="1768">
        <f>SUM(I36:M36)</f>
        <v>0</v>
      </c>
      <c r="T82" s="688"/>
      <c r="U82" s="688"/>
      <c r="V82" s="688"/>
      <c r="W82" s="691"/>
      <c r="X82" s="711"/>
    </row>
    <row r="83" spans="2:24" s="1699" customFormat="1" ht="15.75" customHeight="1" thickBot="1">
      <c r="B83" s="1737" t="s">
        <v>245</v>
      </c>
      <c r="C83" s="1769">
        <f t="shared" ref="C83:H83" si="11">SUM(C79:C82)</f>
        <v>0</v>
      </c>
      <c r="D83" s="1770">
        <f t="shared" si="11"/>
        <v>0</v>
      </c>
      <c r="E83" s="1770">
        <f t="shared" si="11"/>
        <v>0</v>
      </c>
      <c r="F83" s="1770">
        <f t="shared" si="11"/>
        <v>0</v>
      </c>
      <c r="G83" s="1770">
        <f t="shared" si="11"/>
        <v>0</v>
      </c>
      <c r="H83" s="1765">
        <f t="shared" si="11"/>
        <v>0</v>
      </c>
      <c r="J83" s="1737" t="s">
        <v>245</v>
      </c>
      <c r="K83" s="1769">
        <f t="shared" ref="K83:P83" si="12">SUM(K79:K82)</f>
        <v>0</v>
      </c>
      <c r="L83" s="1770">
        <f t="shared" si="12"/>
        <v>0</v>
      </c>
      <c r="M83" s="1770">
        <f t="shared" si="12"/>
        <v>0</v>
      </c>
      <c r="N83" s="1770">
        <f t="shared" si="12"/>
        <v>0</v>
      </c>
      <c r="O83" s="1770">
        <f t="shared" si="12"/>
        <v>0</v>
      </c>
      <c r="P83" s="1765">
        <f t="shared" si="12"/>
        <v>0</v>
      </c>
      <c r="R83" s="1737" t="s">
        <v>245</v>
      </c>
      <c r="S83" s="1769">
        <f t="shared" ref="S83:X83" si="13">SUM(S79:S82)</f>
        <v>0</v>
      </c>
      <c r="T83" s="1770">
        <f t="shared" si="13"/>
        <v>0</v>
      </c>
      <c r="U83" s="1770">
        <f t="shared" si="13"/>
        <v>0</v>
      </c>
      <c r="V83" s="1770">
        <f t="shared" si="13"/>
        <v>0</v>
      </c>
      <c r="W83" s="1770">
        <f t="shared" si="13"/>
        <v>0</v>
      </c>
      <c r="X83" s="1765">
        <f t="shared" si="13"/>
        <v>0</v>
      </c>
    </row>
    <row r="84" spans="2:24" s="1699" customFormat="1" ht="15.75" customHeight="1" thickBot="1">
      <c r="J84" s="1771"/>
      <c r="K84" s="1771"/>
      <c r="L84" s="1771"/>
      <c r="M84" s="1771"/>
      <c r="N84" s="1771"/>
      <c r="O84" s="1771"/>
      <c r="P84" s="1771"/>
    </row>
    <row r="85" spans="2:24" s="1699" customFormat="1" ht="15.75" customHeight="1">
      <c r="B85" s="1954" t="s">
        <v>809</v>
      </c>
      <c r="C85" s="1955"/>
      <c r="D85" s="1955"/>
      <c r="E85" s="1955"/>
      <c r="F85" s="1955"/>
      <c r="G85" s="1955"/>
      <c r="H85" s="1956"/>
      <c r="J85" s="1954" t="s">
        <v>810</v>
      </c>
      <c r="K85" s="1955"/>
      <c r="L85" s="1955"/>
      <c r="M85" s="1955"/>
      <c r="N85" s="1955"/>
      <c r="O85" s="1955"/>
      <c r="P85" s="1956"/>
      <c r="R85" s="1954" t="s">
        <v>117</v>
      </c>
      <c r="S85" s="1955"/>
      <c r="T85" s="1955"/>
      <c r="U85" s="1955"/>
      <c r="V85" s="1955"/>
      <c r="W85" s="1955"/>
      <c r="X85" s="1956"/>
    </row>
    <row r="86" spans="2:24" s="1699" customFormat="1" ht="15.75" customHeight="1">
      <c r="B86" s="1952"/>
      <c r="C86" s="1959" t="s">
        <v>823</v>
      </c>
      <c r="D86" s="1949" t="s">
        <v>824</v>
      </c>
      <c r="E86" s="1950"/>
      <c r="F86" s="1950"/>
      <c r="G86" s="1950"/>
      <c r="H86" s="1951"/>
      <c r="J86" s="1952"/>
      <c r="K86" s="1959" t="s">
        <v>823</v>
      </c>
      <c r="L86" s="1754" t="s">
        <v>825</v>
      </c>
      <c r="M86" s="1755"/>
      <c r="N86" s="1755"/>
      <c r="O86" s="1755"/>
      <c r="P86" s="1756"/>
      <c r="R86" s="1952"/>
      <c r="S86" s="1959" t="s">
        <v>823</v>
      </c>
      <c r="T86" s="1949" t="s">
        <v>825</v>
      </c>
      <c r="U86" s="1950"/>
      <c r="V86" s="1950"/>
      <c r="W86" s="1950"/>
      <c r="X86" s="1951"/>
    </row>
    <row r="87" spans="2:24" s="1699" customFormat="1" ht="30" customHeight="1" thickBot="1">
      <c r="B87" s="1953"/>
      <c r="C87" s="1960"/>
      <c r="D87" s="1014" t="s">
        <v>814</v>
      </c>
      <c r="E87" s="1014" t="s">
        <v>815</v>
      </c>
      <c r="F87" s="1014" t="s">
        <v>816</v>
      </c>
      <c r="G87" s="1014" t="s">
        <v>817</v>
      </c>
      <c r="H87" s="1772" t="s">
        <v>818</v>
      </c>
      <c r="J87" s="1953"/>
      <c r="K87" s="1960"/>
      <c r="L87" s="1758" t="s">
        <v>814</v>
      </c>
      <c r="M87" s="1758" t="s">
        <v>815</v>
      </c>
      <c r="N87" s="1758" t="s">
        <v>816</v>
      </c>
      <c r="O87" s="1758" t="s">
        <v>817</v>
      </c>
      <c r="P87" s="1757"/>
      <c r="R87" s="1953"/>
      <c r="S87" s="1960"/>
      <c r="T87" s="1014" t="s">
        <v>814</v>
      </c>
      <c r="U87" s="1014" t="s">
        <v>815</v>
      </c>
      <c r="V87" s="1014" t="s">
        <v>816</v>
      </c>
      <c r="W87" s="1014" t="s">
        <v>817</v>
      </c>
      <c r="X87" s="1757"/>
    </row>
    <row r="88" spans="2:24" s="1699" customFormat="1" ht="15.75" customHeight="1">
      <c r="B88" s="1750" t="s">
        <v>731</v>
      </c>
      <c r="C88" s="1768">
        <f t="shared" ref="C88:G91" si="14">IF(C70&gt;0,C79*1000/C70,0)</f>
        <v>0</v>
      </c>
      <c r="D88" s="1773">
        <f t="shared" si="14"/>
        <v>0</v>
      </c>
      <c r="E88" s="1773">
        <f t="shared" si="14"/>
        <v>0</v>
      </c>
      <c r="F88" s="1773">
        <f t="shared" si="14"/>
        <v>0</v>
      </c>
      <c r="G88" s="1773">
        <f t="shared" si="14"/>
        <v>0</v>
      </c>
      <c r="H88" s="714"/>
      <c r="J88" s="1750" t="s">
        <v>731</v>
      </c>
      <c r="K88" s="1768">
        <f t="shared" ref="K88:O91" si="15">IF(K70&gt;0,K79*1000/K70,0)</f>
        <v>0</v>
      </c>
      <c r="L88" s="1773">
        <f t="shared" si="15"/>
        <v>0</v>
      </c>
      <c r="M88" s="1773">
        <f t="shared" si="15"/>
        <v>0</v>
      </c>
      <c r="N88" s="1773">
        <f t="shared" si="15"/>
        <v>0</v>
      </c>
      <c r="O88" s="1773">
        <f t="shared" si="15"/>
        <v>0</v>
      </c>
      <c r="P88" s="713"/>
      <c r="R88" s="1750" t="s">
        <v>731</v>
      </c>
      <c r="S88" s="1768">
        <f t="shared" ref="S88:W91" si="16">IF(S70&gt;0,S79*1000/S70,0)</f>
        <v>0</v>
      </c>
      <c r="T88" s="1773">
        <f t="shared" si="16"/>
        <v>0</v>
      </c>
      <c r="U88" s="1773">
        <f t="shared" si="16"/>
        <v>0</v>
      </c>
      <c r="V88" s="1773">
        <f t="shared" si="16"/>
        <v>0</v>
      </c>
      <c r="W88" s="1773">
        <f t="shared" si="16"/>
        <v>0</v>
      </c>
      <c r="X88" s="713"/>
    </row>
    <row r="89" spans="2:24" s="1699" customFormat="1" ht="15.75" customHeight="1">
      <c r="B89" s="1733" t="s">
        <v>238</v>
      </c>
      <c r="C89" s="1774">
        <f t="shared" si="14"/>
        <v>0</v>
      </c>
      <c r="D89" s="1775">
        <f t="shared" si="14"/>
        <v>0</v>
      </c>
      <c r="E89" s="1775">
        <f t="shared" si="14"/>
        <v>0</v>
      </c>
      <c r="F89" s="1775">
        <f t="shared" si="14"/>
        <v>0</v>
      </c>
      <c r="G89" s="1775">
        <f t="shared" si="14"/>
        <v>0</v>
      </c>
      <c r="H89" s="711"/>
      <c r="J89" s="1733" t="s">
        <v>238</v>
      </c>
      <c r="K89" s="1774">
        <f t="shared" si="15"/>
        <v>0</v>
      </c>
      <c r="L89" s="1775">
        <f t="shared" si="15"/>
        <v>0</v>
      </c>
      <c r="M89" s="1775">
        <f t="shared" si="15"/>
        <v>0</v>
      </c>
      <c r="N89" s="1775">
        <f t="shared" si="15"/>
        <v>0</v>
      </c>
      <c r="O89" s="1775">
        <f t="shared" si="15"/>
        <v>0</v>
      </c>
      <c r="P89" s="711"/>
      <c r="R89" s="1733" t="s">
        <v>238</v>
      </c>
      <c r="S89" s="1774">
        <f t="shared" si="16"/>
        <v>0</v>
      </c>
      <c r="T89" s="1775">
        <f t="shared" si="16"/>
        <v>0</v>
      </c>
      <c r="U89" s="1775">
        <f t="shared" si="16"/>
        <v>0</v>
      </c>
      <c r="V89" s="1775">
        <f t="shared" si="16"/>
        <v>0</v>
      </c>
      <c r="W89" s="1775">
        <f t="shared" si="16"/>
        <v>0</v>
      </c>
      <c r="X89" s="711"/>
    </row>
    <row r="90" spans="2:24" s="1699" customFormat="1" ht="15.75" customHeight="1">
      <c r="B90" s="1733" t="s">
        <v>244</v>
      </c>
      <c r="C90" s="1774">
        <f t="shared" si="14"/>
        <v>0</v>
      </c>
      <c r="D90" s="1775">
        <f t="shared" si="14"/>
        <v>0</v>
      </c>
      <c r="E90" s="1775">
        <f t="shared" si="14"/>
        <v>0</v>
      </c>
      <c r="F90" s="1775">
        <f t="shared" si="14"/>
        <v>0</v>
      </c>
      <c r="G90" s="1775">
        <f t="shared" si="14"/>
        <v>0</v>
      </c>
      <c r="H90" s="711"/>
      <c r="J90" s="1733" t="s">
        <v>244</v>
      </c>
      <c r="K90" s="1774">
        <f t="shared" si="15"/>
        <v>0</v>
      </c>
      <c r="L90" s="1775">
        <f t="shared" si="15"/>
        <v>0</v>
      </c>
      <c r="M90" s="1775">
        <f t="shared" si="15"/>
        <v>0</v>
      </c>
      <c r="N90" s="1775">
        <f t="shared" si="15"/>
        <v>0</v>
      </c>
      <c r="O90" s="1775">
        <f t="shared" si="15"/>
        <v>0</v>
      </c>
      <c r="P90" s="711"/>
      <c r="R90" s="1733" t="s">
        <v>244</v>
      </c>
      <c r="S90" s="1774">
        <f t="shared" si="16"/>
        <v>0</v>
      </c>
      <c r="T90" s="1775">
        <f t="shared" si="16"/>
        <v>0</v>
      </c>
      <c r="U90" s="1775">
        <f t="shared" si="16"/>
        <v>0</v>
      </c>
      <c r="V90" s="1775">
        <f t="shared" si="16"/>
        <v>0</v>
      </c>
      <c r="W90" s="1775">
        <f t="shared" si="16"/>
        <v>0</v>
      </c>
      <c r="X90" s="711"/>
    </row>
    <row r="91" spans="2:24" s="1699" customFormat="1" ht="15.75" customHeight="1" thickBot="1">
      <c r="B91" s="1776" t="s">
        <v>491</v>
      </c>
      <c r="C91" s="1777">
        <f t="shared" si="14"/>
        <v>0</v>
      </c>
      <c r="D91" s="1778">
        <f t="shared" si="14"/>
        <v>0</v>
      </c>
      <c r="E91" s="1778">
        <f t="shared" si="14"/>
        <v>0</v>
      </c>
      <c r="F91" s="1778">
        <f t="shared" si="14"/>
        <v>0</v>
      </c>
      <c r="G91" s="1778">
        <f t="shared" si="14"/>
        <v>0</v>
      </c>
      <c r="H91" s="715"/>
      <c r="J91" s="1776" t="s">
        <v>491</v>
      </c>
      <c r="K91" s="1777">
        <f t="shared" si="15"/>
        <v>0</v>
      </c>
      <c r="L91" s="1778">
        <f t="shared" si="15"/>
        <v>0</v>
      </c>
      <c r="M91" s="1778">
        <f t="shared" si="15"/>
        <v>0</v>
      </c>
      <c r="N91" s="1778">
        <f t="shared" si="15"/>
        <v>0</v>
      </c>
      <c r="O91" s="1778">
        <f t="shared" si="15"/>
        <v>0</v>
      </c>
      <c r="P91" s="715"/>
      <c r="R91" s="1776" t="s">
        <v>491</v>
      </c>
      <c r="S91" s="1777">
        <f t="shared" si="16"/>
        <v>0</v>
      </c>
      <c r="T91" s="1778">
        <f t="shared" si="16"/>
        <v>0</v>
      </c>
      <c r="U91" s="1778">
        <f t="shared" si="16"/>
        <v>0</v>
      </c>
      <c r="V91" s="1778">
        <f t="shared" si="16"/>
        <v>0</v>
      </c>
      <c r="W91" s="1778">
        <f t="shared" si="16"/>
        <v>0</v>
      </c>
      <c r="X91" s="715"/>
    </row>
    <row r="92" spans="2:24" s="1699" customFormat="1" ht="15.75" customHeight="1"/>
    <row r="93" spans="2:24" s="1699" customFormat="1" ht="15.75" customHeight="1"/>
    <row r="94" spans="2:24" s="1699" customFormat="1" ht="15.75" customHeight="1">
      <c r="B94" s="1700" t="s">
        <v>826</v>
      </c>
    </row>
    <row r="95" spans="2:24" s="1699" customFormat="1" ht="15.75" customHeight="1" thickBot="1"/>
    <row r="96" spans="2:24" s="1699" customFormat="1" ht="42" customHeight="1">
      <c r="B96" s="1779"/>
      <c r="C96" s="1730" t="s">
        <v>803</v>
      </c>
      <c r="D96" s="1731" t="s">
        <v>804</v>
      </c>
      <c r="E96" s="1731" t="s">
        <v>805</v>
      </c>
      <c r="F96" s="1731" t="s">
        <v>806</v>
      </c>
      <c r="G96" s="1731" t="s">
        <v>807</v>
      </c>
      <c r="H96" s="1732" t="s">
        <v>808</v>
      </c>
      <c r="I96" s="1700"/>
    </row>
    <row r="97" spans="2:24" s="1699" customFormat="1" ht="15.75" customHeight="1">
      <c r="B97" s="1750" t="s">
        <v>731</v>
      </c>
      <c r="C97" s="1751">
        <f>D97+E97</f>
        <v>0</v>
      </c>
      <c r="D97" s="1780">
        <f>C107</f>
        <v>0</v>
      </c>
      <c r="E97" s="704"/>
      <c r="F97" s="1780">
        <f>K107</f>
        <v>0</v>
      </c>
      <c r="G97" s="1780">
        <f>S107</f>
        <v>0</v>
      </c>
      <c r="H97" s="1781">
        <f>E97-SUM(F97:G97)</f>
        <v>0</v>
      </c>
      <c r="I97" s="1700"/>
    </row>
    <row r="98" spans="2:24" s="1699" customFormat="1" ht="15.75" customHeight="1">
      <c r="B98" s="1733" t="s">
        <v>238</v>
      </c>
      <c r="C98" s="1751">
        <f>D98+E98</f>
        <v>0</v>
      </c>
      <c r="D98" s="1780">
        <f>C108</f>
        <v>0</v>
      </c>
      <c r="E98" s="704"/>
      <c r="F98" s="1780">
        <f>K108</f>
        <v>0</v>
      </c>
      <c r="G98" s="1780">
        <f>S108</f>
        <v>0</v>
      </c>
      <c r="H98" s="1781">
        <f>E98-SUM(F98:G98)</f>
        <v>0</v>
      </c>
      <c r="I98" s="1700"/>
    </row>
    <row r="99" spans="2:24" s="1699" customFormat="1" ht="15.75" customHeight="1">
      <c r="B99" s="1733" t="s">
        <v>244</v>
      </c>
      <c r="C99" s="1751">
        <f>D99+E99</f>
        <v>0</v>
      </c>
      <c r="D99" s="1780">
        <f>C109</f>
        <v>0</v>
      </c>
      <c r="E99" s="704"/>
      <c r="F99" s="1780">
        <f>K109</f>
        <v>0</v>
      </c>
      <c r="G99" s="1780">
        <f>S109</f>
        <v>0</v>
      </c>
      <c r="H99" s="1781">
        <f>E99-SUM(F99:G99)</f>
        <v>0</v>
      </c>
      <c r="I99" s="1700"/>
    </row>
    <row r="100" spans="2:24" s="1699" customFormat="1" ht="15.75" customHeight="1">
      <c r="B100" s="1733" t="s">
        <v>491</v>
      </c>
      <c r="C100" s="1751">
        <f>D100+E100</f>
        <v>0</v>
      </c>
      <c r="D100" s="1780">
        <f>C110</f>
        <v>0</v>
      </c>
      <c r="E100" s="704"/>
      <c r="F100" s="1780">
        <f>K110</f>
        <v>0</v>
      </c>
      <c r="G100" s="1780">
        <f>S110</f>
        <v>0</v>
      </c>
      <c r="H100" s="1781">
        <f>E100-SUM(F100:G100)</f>
        <v>0</v>
      </c>
      <c r="I100" s="1700"/>
    </row>
    <row r="101" spans="2:24" s="1699" customFormat="1" ht="15.75" customHeight="1" thickBot="1">
      <c r="B101" s="1737" t="s">
        <v>245</v>
      </c>
      <c r="C101" s="1738">
        <f t="shared" ref="C101:H101" si="17">SUM(C97:C100)</f>
        <v>0</v>
      </c>
      <c r="D101" s="1739">
        <f t="shared" si="17"/>
        <v>0</v>
      </c>
      <c r="E101" s="1739">
        <f t="shared" si="17"/>
        <v>0</v>
      </c>
      <c r="F101" s="1739">
        <f t="shared" si="17"/>
        <v>0</v>
      </c>
      <c r="G101" s="1739">
        <f t="shared" si="17"/>
        <v>0</v>
      </c>
      <c r="H101" s="1740">
        <f t="shared" si="17"/>
        <v>0</v>
      </c>
      <c r="I101" s="1700"/>
    </row>
    <row r="102" spans="2:24" s="1699" customFormat="1" ht="15.75" customHeight="1">
      <c r="B102" s="1700"/>
      <c r="C102" s="1700"/>
      <c r="D102" s="1700"/>
      <c r="E102" s="1700"/>
      <c r="F102" s="1700"/>
      <c r="G102" s="1700"/>
      <c r="H102" s="1700"/>
      <c r="I102" s="1700"/>
    </row>
    <row r="103" spans="2:24" s="1699" customFormat="1" ht="15.75" customHeight="1" thickBot="1"/>
    <row r="104" spans="2:24" s="1699" customFormat="1" ht="15.75" customHeight="1">
      <c r="B104" s="1954" t="s">
        <v>809</v>
      </c>
      <c r="C104" s="1955"/>
      <c r="D104" s="1955"/>
      <c r="E104" s="1955"/>
      <c r="F104" s="1955"/>
      <c r="G104" s="1955"/>
      <c r="H104" s="1956"/>
      <c r="I104" s="1741"/>
      <c r="J104" s="1954" t="s">
        <v>810</v>
      </c>
      <c r="K104" s="1955"/>
      <c r="L104" s="1955"/>
      <c r="M104" s="1955"/>
      <c r="N104" s="1955"/>
      <c r="O104" s="1955"/>
      <c r="P104" s="1956"/>
      <c r="R104" s="1954" t="s">
        <v>117</v>
      </c>
      <c r="S104" s="1955"/>
      <c r="T104" s="1955"/>
      <c r="U104" s="1955"/>
      <c r="V104" s="1955"/>
      <c r="W104" s="1955"/>
      <c r="X104" s="1956"/>
    </row>
    <row r="105" spans="2:24" s="1699" customFormat="1" ht="15.75" customHeight="1">
      <c r="B105" s="1952"/>
      <c r="C105" s="1957" t="s">
        <v>811</v>
      </c>
      <c r="D105" s="1968" t="s">
        <v>812</v>
      </c>
      <c r="E105" s="1969"/>
      <c r="F105" s="1969"/>
      <c r="G105" s="1969"/>
      <c r="H105" s="1970"/>
      <c r="J105" s="1952"/>
      <c r="K105" s="1971" t="s">
        <v>811</v>
      </c>
      <c r="L105" s="1782" t="s">
        <v>813</v>
      </c>
      <c r="M105" s="1783"/>
      <c r="N105" s="1783"/>
      <c r="O105" s="1783"/>
      <c r="P105" s="1784"/>
      <c r="R105" s="1952"/>
      <c r="S105" s="1957" t="s">
        <v>811</v>
      </c>
      <c r="T105" s="1949" t="s">
        <v>813</v>
      </c>
      <c r="U105" s="1950"/>
      <c r="V105" s="1950"/>
      <c r="W105" s="1950"/>
      <c r="X105" s="1951"/>
    </row>
    <row r="106" spans="2:24" s="1699" customFormat="1" ht="39.75" customHeight="1">
      <c r="B106" s="1953"/>
      <c r="C106" s="1960"/>
      <c r="D106" s="1014" t="s">
        <v>827</v>
      </c>
      <c r="E106" s="1014" t="s">
        <v>816</v>
      </c>
      <c r="F106" s="1014" t="s">
        <v>646</v>
      </c>
      <c r="G106" s="1014" t="s">
        <v>828</v>
      </c>
      <c r="H106" s="1746" t="s">
        <v>818</v>
      </c>
      <c r="I106" s="1747"/>
      <c r="J106" s="1953"/>
      <c r="K106" s="1972"/>
      <c r="L106" s="1014" t="s">
        <v>827</v>
      </c>
      <c r="M106" s="1014" t="s">
        <v>816</v>
      </c>
      <c r="N106" s="1014" t="s">
        <v>646</v>
      </c>
      <c r="O106" s="1014" t="s">
        <v>828</v>
      </c>
      <c r="P106" s="1746" t="s">
        <v>818</v>
      </c>
      <c r="R106" s="1953"/>
      <c r="S106" s="1967"/>
      <c r="T106" s="1014" t="s">
        <v>827</v>
      </c>
      <c r="U106" s="1014" t="s">
        <v>816</v>
      </c>
      <c r="V106" s="1014" t="s">
        <v>646</v>
      </c>
      <c r="W106" s="1014" t="s">
        <v>828</v>
      </c>
      <c r="X106" s="1746" t="s">
        <v>818</v>
      </c>
    </row>
    <row r="107" spans="2:24" s="1699" customFormat="1" ht="15.75" customHeight="1">
      <c r="B107" s="1750" t="s">
        <v>731</v>
      </c>
      <c r="C107" s="1751">
        <f>SUM(D107:H107)</f>
        <v>0</v>
      </c>
      <c r="D107" s="703"/>
      <c r="E107" s="703"/>
      <c r="F107" s="703"/>
      <c r="G107" s="704"/>
      <c r="H107" s="705"/>
      <c r="I107" s="1747"/>
      <c r="J107" s="1750" t="s">
        <v>731</v>
      </c>
      <c r="K107" s="1751">
        <f>SUM(L107:P107)</f>
        <v>0</v>
      </c>
      <c r="L107" s="703"/>
      <c r="M107" s="703"/>
      <c r="N107" s="703"/>
      <c r="O107" s="704"/>
      <c r="P107" s="705"/>
      <c r="R107" s="1750" t="s">
        <v>731</v>
      </c>
      <c r="S107" s="1751">
        <f>SUM(T107:X107)</f>
        <v>0</v>
      </c>
      <c r="T107" s="703"/>
      <c r="U107" s="703"/>
      <c r="V107" s="703"/>
      <c r="W107" s="704"/>
      <c r="X107" s="705"/>
    </row>
    <row r="108" spans="2:24" s="1699" customFormat="1" ht="15.75" customHeight="1">
      <c r="B108" s="1733" t="s">
        <v>238</v>
      </c>
      <c r="C108" s="1751">
        <f>SUM(D108:H108)</f>
        <v>0</v>
      </c>
      <c r="D108" s="701"/>
      <c r="E108" s="701"/>
      <c r="F108" s="701"/>
      <c r="G108" s="700"/>
      <c r="H108" s="702"/>
      <c r="I108" s="1747"/>
      <c r="J108" s="1733" t="s">
        <v>238</v>
      </c>
      <c r="K108" s="1751">
        <f>SUM(L108:P108)</f>
        <v>0</v>
      </c>
      <c r="L108" s="701"/>
      <c r="M108" s="701"/>
      <c r="N108" s="701"/>
      <c r="O108" s="700"/>
      <c r="P108" s="702"/>
      <c r="R108" s="1733" t="s">
        <v>238</v>
      </c>
      <c r="S108" s="1751">
        <f>SUM(T108:X108)</f>
        <v>0</v>
      </c>
      <c r="T108" s="701"/>
      <c r="U108" s="701"/>
      <c r="V108" s="701"/>
      <c r="W108" s="700"/>
      <c r="X108" s="702"/>
    </row>
    <row r="109" spans="2:24" s="1699" customFormat="1" ht="15.75" customHeight="1">
      <c r="B109" s="1733" t="s">
        <v>244</v>
      </c>
      <c r="C109" s="1751">
        <f>SUM(D109:H109)</f>
        <v>0</v>
      </c>
      <c r="D109" s="701"/>
      <c r="E109" s="701"/>
      <c r="F109" s="701"/>
      <c r="G109" s="700"/>
      <c r="H109" s="702"/>
      <c r="I109" s="1747"/>
      <c r="J109" s="1733" t="s">
        <v>244</v>
      </c>
      <c r="K109" s="1751">
        <f>SUM(L109:P109)</f>
        <v>0</v>
      </c>
      <c r="L109" s="701"/>
      <c r="M109" s="701"/>
      <c r="N109" s="701"/>
      <c r="O109" s="700"/>
      <c r="P109" s="702"/>
      <c r="R109" s="1733" t="s">
        <v>244</v>
      </c>
      <c r="S109" s="1751">
        <f>SUM(T109:X109)</f>
        <v>0</v>
      </c>
      <c r="T109" s="701"/>
      <c r="U109" s="701"/>
      <c r="V109" s="701"/>
      <c r="W109" s="700"/>
      <c r="X109" s="702"/>
    </row>
    <row r="110" spans="2:24" s="1699" customFormat="1" ht="15.75" customHeight="1">
      <c r="B110" s="1733" t="s">
        <v>491</v>
      </c>
      <c r="C110" s="1751">
        <f>SUM(D110:H110)</f>
        <v>0</v>
      </c>
      <c r="D110" s="701"/>
      <c r="E110" s="701"/>
      <c r="F110" s="701"/>
      <c r="G110" s="700"/>
      <c r="H110" s="702"/>
      <c r="I110" s="1747"/>
      <c r="J110" s="1733" t="s">
        <v>491</v>
      </c>
      <c r="K110" s="1751">
        <f>SUM(L110:P110)</f>
        <v>0</v>
      </c>
      <c r="L110" s="701"/>
      <c r="M110" s="701"/>
      <c r="N110" s="701"/>
      <c r="O110" s="700"/>
      <c r="P110" s="702"/>
      <c r="R110" s="1733" t="s">
        <v>491</v>
      </c>
      <c r="S110" s="1751">
        <f>SUM(T110:X110)</f>
        <v>0</v>
      </c>
      <c r="T110" s="701"/>
      <c r="U110" s="701"/>
      <c r="V110" s="701"/>
      <c r="W110" s="700"/>
      <c r="X110" s="702"/>
    </row>
    <row r="111" spans="2:24" s="1699" customFormat="1" ht="15.75" customHeight="1" thickBot="1">
      <c r="B111" s="1737" t="s">
        <v>245</v>
      </c>
      <c r="C111" s="1738">
        <f t="shared" ref="C111:H111" si="18">SUM(C107:C110)</f>
        <v>0</v>
      </c>
      <c r="D111" s="1739">
        <f t="shared" si="18"/>
        <v>0</v>
      </c>
      <c r="E111" s="1739">
        <f t="shared" si="18"/>
        <v>0</v>
      </c>
      <c r="F111" s="1739">
        <f t="shared" si="18"/>
        <v>0</v>
      </c>
      <c r="G111" s="1739">
        <f t="shared" si="18"/>
        <v>0</v>
      </c>
      <c r="H111" s="1740">
        <f t="shared" si="18"/>
        <v>0</v>
      </c>
      <c r="I111" s="1747"/>
      <c r="J111" s="1737" t="s">
        <v>245</v>
      </c>
      <c r="K111" s="1738">
        <f t="shared" ref="K111:P111" si="19">SUM(K107:K110)</f>
        <v>0</v>
      </c>
      <c r="L111" s="1739">
        <f t="shared" si="19"/>
        <v>0</v>
      </c>
      <c r="M111" s="1739">
        <f t="shared" si="19"/>
        <v>0</v>
      </c>
      <c r="N111" s="1739">
        <f t="shared" si="19"/>
        <v>0</v>
      </c>
      <c r="O111" s="1739">
        <f t="shared" si="19"/>
        <v>0</v>
      </c>
      <c r="P111" s="1740">
        <f t="shared" si="19"/>
        <v>0</v>
      </c>
      <c r="R111" s="1737" t="s">
        <v>245</v>
      </c>
      <c r="S111" s="1738">
        <f t="shared" ref="S111:X111" si="20">SUM(S107:S110)</f>
        <v>0</v>
      </c>
      <c r="T111" s="1739">
        <f t="shared" si="20"/>
        <v>0</v>
      </c>
      <c r="U111" s="1739">
        <f t="shared" si="20"/>
        <v>0</v>
      </c>
      <c r="V111" s="1739">
        <f t="shared" si="20"/>
        <v>0</v>
      </c>
      <c r="W111" s="1739">
        <f t="shared" si="20"/>
        <v>0</v>
      </c>
      <c r="X111" s="1740">
        <f t="shared" si="20"/>
        <v>0</v>
      </c>
    </row>
    <row r="112" spans="2:24" s="1699" customFormat="1" ht="15.75" customHeight="1" thickBot="1">
      <c r="B112" s="1752"/>
      <c r="C112" s="1753"/>
      <c r="D112" s="1753"/>
      <c r="E112" s="1753"/>
      <c r="F112" s="1753"/>
      <c r="G112" s="1753"/>
      <c r="H112" s="1753"/>
      <c r="I112" s="1747"/>
      <c r="J112" s="1752"/>
      <c r="K112" s="1753"/>
      <c r="L112" s="1753"/>
      <c r="M112" s="1753"/>
      <c r="N112" s="1753"/>
      <c r="O112" s="1753"/>
      <c r="P112" s="1753"/>
      <c r="R112" s="1752"/>
      <c r="S112" s="1753"/>
      <c r="T112" s="1753"/>
      <c r="U112" s="1753"/>
      <c r="V112" s="1753"/>
      <c r="W112" s="1753"/>
      <c r="X112" s="1753"/>
    </row>
    <row r="113" spans="2:24" s="1699" customFormat="1" ht="15.75" customHeight="1">
      <c r="B113" s="1954" t="s">
        <v>809</v>
      </c>
      <c r="C113" s="1955"/>
      <c r="D113" s="1955"/>
      <c r="E113" s="1955"/>
      <c r="F113" s="1955"/>
      <c r="G113" s="1955"/>
      <c r="H113" s="1956"/>
      <c r="I113" s="1741"/>
      <c r="J113" s="1954" t="s">
        <v>810</v>
      </c>
      <c r="K113" s="1955"/>
      <c r="L113" s="1955"/>
      <c r="M113" s="1955"/>
      <c r="N113" s="1955"/>
      <c r="O113" s="1955"/>
      <c r="P113" s="1956"/>
      <c r="R113" s="1954" t="s">
        <v>117</v>
      </c>
      <c r="S113" s="1955"/>
      <c r="T113" s="1955"/>
      <c r="U113" s="1955"/>
      <c r="V113" s="1955"/>
      <c r="W113" s="1955"/>
      <c r="X113" s="1956"/>
    </row>
    <row r="114" spans="2:24" s="1699" customFormat="1" ht="15.75" customHeight="1">
      <c r="B114" s="1952"/>
      <c r="C114" s="1957" t="s">
        <v>819</v>
      </c>
      <c r="D114" s="1754" t="s">
        <v>812</v>
      </c>
      <c r="E114" s="1755"/>
      <c r="F114" s="1755"/>
      <c r="G114" s="1755"/>
      <c r="H114" s="1756"/>
      <c r="J114" s="1952"/>
      <c r="K114" s="1957" t="s">
        <v>819</v>
      </c>
      <c r="L114" s="1782" t="s">
        <v>813</v>
      </c>
      <c r="M114" s="1783"/>
      <c r="N114" s="1783"/>
      <c r="O114" s="1783"/>
      <c r="P114" s="1784"/>
      <c r="R114" s="1952"/>
      <c r="S114" s="1957" t="s">
        <v>819</v>
      </c>
      <c r="T114" s="1949" t="s">
        <v>813</v>
      </c>
      <c r="U114" s="1950"/>
      <c r="V114" s="1950"/>
      <c r="W114" s="1950"/>
      <c r="X114" s="1951"/>
    </row>
    <row r="115" spans="2:24" s="1699" customFormat="1" ht="42.75" customHeight="1">
      <c r="B115" s="1953"/>
      <c r="C115" s="1960"/>
      <c r="D115" s="1014" t="s">
        <v>827</v>
      </c>
      <c r="E115" s="1014" t="s">
        <v>816</v>
      </c>
      <c r="F115" s="1014" t="s">
        <v>646</v>
      </c>
      <c r="G115" s="1014" t="s">
        <v>828</v>
      </c>
      <c r="H115" s="1746" t="s">
        <v>818</v>
      </c>
      <c r="I115" s="1747"/>
      <c r="J115" s="1953"/>
      <c r="K115" s="1960"/>
      <c r="L115" s="1014" t="s">
        <v>827</v>
      </c>
      <c r="M115" s="1014" t="s">
        <v>816</v>
      </c>
      <c r="N115" s="1014" t="s">
        <v>646</v>
      </c>
      <c r="O115" s="1014" t="s">
        <v>828</v>
      </c>
      <c r="P115" s="1746" t="s">
        <v>818</v>
      </c>
      <c r="R115" s="1953"/>
      <c r="S115" s="1960"/>
      <c r="T115" s="1014" t="s">
        <v>827</v>
      </c>
      <c r="U115" s="1014" t="s">
        <v>816</v>
      </c>
      <c r="V115" s="1014" t="s">
        <v>646</v>
      </c>
      <c r="W115" s="1014" t="s">
        <v>828</v>
      </c>
      <c r="X115" s="1746" t="s">
        <v>818</v>
      </c>
    </row>
    <row r="116" spans="2:24" s="1699" customFormat="1" ht="15.75" customHeight="1">
      <c r="B116" s="1759" t="s">
        <v>731</v>
      </c>
      <c r="C116" s="703"/>
      <c r="D116" s="703"/>
      <c r="E116" s="703"/>
      <c r="F116" s="703"/>
      <c r="G116" s="707"/>
      <c r="H116" s="1760"/>
      <c r="I116" s="1747"/>
      <c r="J116" s="1750" t="s">
        <v>731</v>
      </c>
      <c r="K116" s="706"/>
      <c r="L116" s="703"/>
      <c r="M116" s="703"/>
      <c r="N116" s="703"/>
      <c r="O116" s="704"/>
      <c r="P116" s="707"/>
      <c r="R116" s="1750" t="s">
        <v>731</v>
      </c>
      <c r="S116" s="706"/>
      <c r="T116" s="703"/>
      <c r="U116" s="703"/>
      <c r="V116" s="703"/>
      <c r="W116" s="704"/>
      <c r="X116" s="707"/>
    </row>
    <row r="117" spans="2:24" s="1699" customFormat="1" ht="15.75" customHeight="1">
      <c r="B117" s="1761" t="s">
        <v>238</v>
      </c>
      <c r="C117" s="701"/>
      <c r="D117" s="701"/>
      <c r="E117" s="701"/>
      <c r="F117" s="701"/>
      <c r="G117" s="709"/>
      <c r="H117" s="1762"/>
      <c r="I117" s="1747"/>
      <c r="J117" s="1733" t="s">
        <v>238</v>
      </c>
      <c r="K117" s="708"/>
      <c r="L117" s="701"/>
      <c r="M117" s="701"/>
      <c r="N117" s="701"/>
      <c r="O117" s="700"/>
      <c r="P117" s="709"/>
      <c r="R117" s="1733" t="s">
        <v>238</v>
      </c>
      <c r="S117" s="708"/>
      <c r="T117" s="701"/>
      <c r="U117" s="701"/>
      <c r="V117" s="701"/>
      <c r="W117" s="700"/>
      <c r="X117" s="709"/>
    </row>
    <row r="118" spans="2:24" s="1699" customFormat="1" ht="15.75" customHeight="1">
      <c r="B118" s="1761" t="s">
        <v>244</v>
      </c>
      <c r="C118" s="701"/>
      <c r="D118" s="701"/>
      <c r="E118" s="701"/>
      <c r="F118" s="701"/>
      <c r="G118" s="709"/>
      <c r="H118" s="1762"/>
      <c r="I118" s="1747"/>
      <c r="J118" s="1733" t="s">
        <v>244</v>
      </c>
      <c r="K118" s="708"/>
      <c r="L118" s="701"/>
      <c r="M118" s="701"/>
      <c r="N118" s="701"/>
      <c r="O118" s="700"/>
      <c r="P118" s="709"/>
      <c r="R118" s="1733" t="s">
        <v>244</v>
      </c>
      <c r="S118" s="708"/>
      <c r="T118" s="701"/>
      <c r="U118" s="701"/>
      <c r="V118" s="701"/>
      <c r="W118" s="700"/>
      <c r="X118" s="709"/>
    </row>
    <row r="119" spans="2:24" s="1699" customFormat="1" ht="15.75" customHeight="1">
      <c r="B119" s="1761" t="s">
        <v>491</v>
      </c>
      <c r="C119" s="701"/>
      <c r="D119" s="701"/>
      <c r="E119" s="701"/>
      <c r="F119" s="701"/>
      <c r="G119" s="709"/>
      <c r="H119" s="1762"/>
      <c r="I119" s="1747"/>
      <c r="J119" s="1733" t="s">
        <v>491</v>
      </c>
      <c r="K119" s="708"/>
      <c r="L119" s="701"/>
      <c r="M119" s="701"/>
      <c r="N119" s="701"/>
      <c r="O119" s="700"/>
      <c r="P119" s="709"/>
      <c r="R119" s="1733" t="s">
        <v>491</v>
      </c>
      <c r="S119" s="708"/>
      <c r="T119" s="701"/>
      <c r="U119" s="701"/>
      <c r="V119" s="701"/>
      <c r="W119" s="700"/>
      <c r="X119" s="709"/>
    </row>
    <row r="120" spans="2:24" s="1699" customFormat="1" ht="15.75" customHeight="1" thickBot="1">
      <c r="B120" s="1763" t="s">
        <v>245</v>
      </c>
      <c r="C120" s="1764">
        <f>SUM(C116:C119)</f>
        <v>0</v>
      </c>
      <c r="D120" s="1739">
        <f>SUM(D116:D119)</f>
        <v>0</v>
      </c>
      <c r="E120" s="1739">
        <f>SUM(E116:E119)</f>
        <v>0</v>
      </c>
      <c r="F120" s="1739">
        <f>SUM(F116:F119)</f>
        <v>0</v>
      </c>
      <c r="G120" s="1785"/>
      <c r="H120" s="1765">
        <f>SUM(H116:H119)</f>
        <v>0</v>
      </c>
      <c r="I120" s="1747"/>
      <c r="J120" s="1737" t="s">
        <v>245</v>
      </c>
      <c r="K120" s="1738">
        <f t="shared" ref="K120:P120" si="21">SUM(K116:K119)</f>
        <v>0</v>
      </c>
      <c r="L120" s="1739">
        <f t="shared" si="21"/>
        <v>0</v>
      </c>
      <c r="M120" s="1739">
        <f t="shared" si="21"/>
        <v>0</v>
      </c>
      <c r="N120" s="1739">
        <f t="shared" si="21"/>
        <v>0</v>
      </c>
      <c r="O120" s="1739">
        <f t="shared" si="21"/>
        <v>0</v>
      </c>
      <c r="P120" s="1765">
        <f t="shared" si="21"/>
        <v>0</v>
      </c>
      <c r="R120" s="1737" t="s">
        <v>245</v>
      </c>
      <c r="S120" s="1738">
        <f t="shared" ref="S120:X120" si="22">SUM(S116:S119)</f>
        <v>0</v>
      </c>
      <c r="T120" s="1739">
        <f t="shared" si="22"/>
        <v>0</v>
      </c>
      <c r="U120" s="1739">
        <f t="shared" si="22"/>
        <v>0</v>
      </c>
      <c r="V120" s="1739">
        <f t="shared" si="22"/>
        <v>0</v>
      </c>
      <c r="W120" s="1739">
        <f t="shared" si="22"/>
        <v>0</v>
      </c>
      <c r="X120" s="1765">
        <f t="shared" si="22"/>
        <v>0</v>
      </c>
    </row>
    <row r="121" spans="2:24" s="1699" customFormat="1" ht="15.75" customHeight="1" thickBot="1">
      <c r="B121" s="1752"/>
      <c r="C121" s="1753"/>
      <c r="D121" s="1753"/>
      <c r="E121" s="1753"/>
      <c r="F121" s="1753"/>
      <c r="G121" s="1753"/>
      <c r="H121" s="1753"/>
      <c r="I121" s="1747"/>
      <c r="J121" s="1752"/>
      <c r="K121" s="1753"/>
      <c r="L121" s="1753"/>
      <c r="M121" s="1753"/>
      <c r="N121" s="1753"/>
      <c r="O121" s="1753"/>
      <c r="P121" s="1753"/>
      <c r="R121" s="1752"/>
      <c r="S121" s="1753"/>
      <c r="T121" s="1753"/>
      <c r="U121" s="1753"/>
      <c r="V121" s="1753"/>
      <c r="W121" s="1753"/>
      <c r="X121" s="1753"/>
    </row>
    <row r="122" spans="2:24" s="1699" customFormat="1" ht="15.75" customHeight="1">
      <c r="B122" s="1954" t="s">
        <v>809</v>
      </c>
      <c r="C122" s="1955"/>
      <c r="D122" s="1955"/>
      <c r="E122" s="1955"/>
      <c r="F122" s="1955"/>
      <c r="G122" s="1955"/>
      <c r="H122" s="1956"/>
      <c r="J122" s="1954" t="s">
        <v>810</v>
      </c>
      <c r="K122" s="1955"/>
      <c r="L122" s="1955"/>
      <c r="M122" s="1955"/>
      <c r="N122" s="1955"/>
      <c r="O122" s="1955"/>
      <c r="P122" s="1956"/>
      <c r="R122" s="1954" t="s">
        <v>117</v>
      </c>
      <c r="S122" s="1955"/>
      <c r="T122" s="1955"/>
      <c r="U122" s="1955"/>
      <c r="V122" s="1955"/>
      <c r="W122" s="1955"/>
      <c r="X122" s="1956"/>
    </row>
    <row r="123" spans="2:24" s="1699" customFormat="1" ht="15.75" customHeight="1">
      <c r="B123" s="1952"/>
      <c r="C123" s="1957" t="s">
        <v>820</v>
      </c>
      <c r="D123" s="1782" t="s">
        <v>821</v>
      </c>
      <c r="E123" s="1783"/>
      <c r="F123" s="1783"/>
      <c r="G123" s="1783"/>
      <c r="H123" s="1784"/>
      <c r="J123" s="1952"/>
      <c r="K123" s="1959" t="s">
        <v>820</v>
      </c>
      <c r="L123" s="1754" t="s">
        <v>822</v>
      </c>
      <c r="M123" s="1755"/>
      <c r="N123" s="1755"/>
      <c r="O123" s="1755"/>
      <c r="P123" s="1756"/>
      <c r="R123" s="1952"/>
      <c r="S123" s="1957" t="s">
        <v>820</v>
      </c>
      <c r="T123" s="1949" t="s">
        <v>822</v>
      </c>
      <c r="U123" s="1950"/>
      <c r="V123" s="1950"/>
      <c r="W123" s="1950"/>
      <c r="X123" s="1951"/>
    </row>
    <row r="124" spans="2:24" s="1699" customFormat="1" ht="39.75" customHeight="1">
      <c r="B124" s="1953"/>
      <c r="C124" s="1960"/>
      <c r="D124" s="1014" t="s">
        <v>827</v>
      </c>
      <c r="E124" s="1014" t="s">
        <v>816</v>
      </c>
      <c r="F124" s="1014" t="s">
        <v>646</v>
      </c>
      <c r="G124" s="1014" t="s">
        <v>828</v>
      </c>
      <c r="H124" s="1746" t="s">
        <v>818</v>
      </c>
      <c r="J124" s="1953"/>
      <c r="K124" s="1960"/>
      <c r="L124" s="1014" t="s">
        <v>827</v>
      </c>
      <c r="M124" s="1014" t="s">
        <v>816</v>
      </c>
      <c r="N124" s="1014" t="s">
        <v>646</v>
      </c>
      <c r="O124" s="1014" t="s">
        <v>828</v>
      </c>
      <c r="P124" s="1746" t="s">
        <v>818</v>
      </c>
      <c r="R124" s="1953"/>
      <c r="S124" s="1960"/>
      <c r="T124" s="1014" t="s">
        <v>827</v>
      </c>
      <c r="U124" s="1014" t="s">
        <v>816</v>
      </c>
      <c r="V124" s="1014" t="s">
        <v>646</v>
      </c>
      <c r="W124" s="1014" t="s">
        <v>828</v>
      </c>
      <c r="X124" s="1746" t="s">
        <v>818</v>
      </c>
    </row>
    <row r="125" spans="2:24" s="1699" customFormat="1" ht="15.75" customHeight="1">
      <c r="B125" s="1750" t="s">
        <v>731</v>
      </c>
      <c r="C125" s="1768">
        <f>SUM(D42:F42)</f>
        <v>0</v>
      </c>
      <c r="D125" s="710"/>
      <c r="E125" s="710"/>
      <c r="F125" s="710"/>
      <c r="G125" s="707"/>
      <c r="H125" s="713"/>
      <c r="J125" s="1750" t="s">
        <v>731</v>
      </c>
      <c r="K125" s="1768">
        <f>SUM(G42:H42)</f>
        <v>0</v>
      </c>
      <c r="L125" s="710"/>
      <c r="M125" s="710"/>
      <c r="N125" s="710"/>
      <c r="O125" s="707"/>
      <c r="P125" s="713"/>
      <c r="R125" s="1750" t="s">
        <v>731</v>
      </c>
      <c r="S125" s="1768">
        <f>SUM(I42:M42)</f>
        <v>0</v>
      </c>
      <c r="T125" s="710"/>
      <c r="U125" s="710"/>
      <c r="V125" s="710"/>
      <c r="W125" s="707"/>
      <c r="X125" s="713"/>
    </row>
    <row r="126" spans="2:24" s="1699" customFormat="1" ht="15.75" customHeight="1">
      <c r="B126" s="1733" t="s">
        <v>238</v>
      </c>
      <c r="C126" s="1768">
        <f>SUM(D43:F43)</f>
        <v>0</v>
      </c>
      <c r="D126" s="688"/>
      <c r="E126" s="688"/>
      <c r="F126" s="688"/>
      <c r="G126" s="709"/>
      <c r="H126" s="711"/>
      <c r="J126" s="1733" t="s">
        <v>238</v>
      </c>
      <c r="K126" s="1768">
        <f>SUM(G43:H43)</f>
        <v>0</v>
      </c>
      <c r="L126" s="688"/>
      <c r="M126" s="688"/>
      <c r="N126" s="688"/>
      <c r="O126" s="709"/>
      <c r="P126" s="711"/>
      <c r="R126" s="1733" t="s">
        <v>238</v>
      </c>
      <c r="S126" s="1768">
        <f>SUM(I43:M43)</f>
        <v>0</v>
      </c>
      <c r="T126" s="688"/>
      <c r="U126" s="688"/>
      <c r="V126" s="688"/>
      <c r="W126" s="709"/>
      <c r="X126" s="711"/>
    </row>
    <row r="127" spans="2:24" s="1699" customFormat="1" ht="15.75" customHeight="1">
      <c r="B127" s="1733" t="s">
        <v>244</v>
      </c>
      <c r="C127" s="1768">
        <f>SUM(D44:F44)</f>
        <v>0</v>
      </c>
      <c r="D127" s="688"/>
      <c r="E127" s="688"/>
      <c r="F127" s="688"/>
      <c r="G127" s="709"/>
      <c r="H127" s="711"/>
      <c r="J127" s="1733" t="s">
        <v>244</v>
      </c>
      <c r="K127" s="1768">
        <f>SUM(G44:H44)</f>
        <v>0</v>
      </c>
      <c r="L127" s="688"/>
      <c r="M127" s="688"/>
      <c r="N127" s="688"/>
      <c r="O127" s="709"/>
      <c r="P127" s="711"/>
      <c r="R127" s="1733" t="s">
        <v>244</v>
      </c>
      <c r="S127" s="1768">
        <f>SUM(I44:M44)</f>
        <v>0</v>
      </c>
      <c r="T127" s="688"/>
      <c r="U127" s="688"/>
      <c r="V127" s="688"/>
      <c r="W127" s="709"/>
      <c r="X127" s="711"/>
    </row>
    <row r="128" spans="2:24" s="1699" customFormat="1" ht="15.75" customHeight="1">
      <c r="B128" s="1733" t="s">
        <v>491</v>
      </c>
      <c r="C128" s="1768">
        <f>SUM(D45:F45)</f>
        <v>0</v>
      </c>
      <c r="D128" s="688"/>
      <c r="E128" s="688"/>
      <c r="F128" s="688"/>
      <c r="G128" s="709"/>
      <c r="H128" s="711"/>
      <c r="J128" s="1733" t="s">
        <v>491</v>
      </c>
      <c r="K128" s="1768">
        <f>SUM(G45:H45)</f>
        <v>0</v>
      </c>
      <c r="L128" s="688"/>
      <c r="M128" s="688"/>
      <c r="N128" s="688"/>
      <c r="O128" s="709"/>
      <c r="P128" s="711"/>
      <c r="R128" s="1733" t="s">
        <v>491</v>
      </c>
      <c r="S128" s="1768">
        <f>SUM(I45:M45)</f>
        <v>0</v>
      </c>
      <c r="T128" s="688"/>
      <c r="U128" s="688"/>
      <c r="V128" s="688"/>
      <c r="W128" s="709"/>
      <c r="X128" s="711"/>
    </row>
    <row r="129" spans="2:24" s="1699" customFormat="1" ht="15.75" customHeight="1" thickBot="1">
      <c r="B129" s="1737" t="s">
        <v>245</v>
      </c>
      <c r="C129" s="1769">
        <f>SUM(C125:C128)</f>
        <v>0</v>
      </c>
      <c r="D129" s="1770">
        <f>SUM(D125:D128)</f>
        <v>0</v>
      </c>
      <c r="E129" s="1770">
        <f>SUM(E125:E128)</f>
        <v>0</v>
      </c>
      <c r="F129" s="1770">
        <f>SUM(F125:F128)</f>
        <v>0</v>
      </c>
      <c r="G129" s="1785"/>
      <c r="H129" s="1765">
        <f>SUM(H125:H128)</f>
        <v>0</v>
      </c>
      <c r="J129" s="1737" t="s">
        <v>245</v>
      </c>
      <c r="K129" s="1769">
        <f>SUM(K125:K128)</f>
        <v>0</v>
      </c>
      <c r="L129" s="1770">
        <f>SUM(L125:L128)</f>
        <v>0</v>
      </c>
      <c r="M129" s="1770">
        <f>SUM(M125:M128)</f>
        <v>0</v>
      </c>
      <c r="N129" s="1770">
        <f>SUM(N125:N128)</f>
        <v>0</v>
      </c>
      <c r="O129" s="1785"/>
      <c r="P129" s="1765">
        <f>SUM(P125:P128)</f>
        <v>0</v>
      </c>
      <c r="R129" s="1737" t="s">
        <v>245</v>
      </c>
      <c r="S129" s="1769">
        <f>SUM(S125:S128)</f>
        <v>0</v>
      </c>
      <c r="T129" s="1770">
        <f>SUM(T125:T128)</f>
        <v>0</v>
      </c>
      <c r="U129" s="1770">
        <f>SUM(U125:U128)</f>
        <v>0</v>
      </c>
      <c r="V129" s="1770">
        <f>SUM(V125:V128)</f>
        <v>0</v>
      </c>
      <c r="W129" s="1785"/>
      <c r="X129" s="1765">
        <f>SUM(X125:X128)</f>
        <v>0</v>
      </c>
    </row>
    <row r="130" spans="2:24" s="1699" customFormat="1" ht="15.75" customHeight="1" thickBot="1"/>
    <row r="131" spans="2:24" s="1699" customFormat="1" ht="15.75" customHeight="1">
      <c r="B131" s="1954" t="s">
        <v>809</v>
      </c>
      <c r="C131" s="1955"/>
      <c r="D131" s="1955"/>
      <c r="E131" s="1955"/>
      <c r="F131" s="1955"/>
      <c r="G131" s="1955"/>
      <c r="H131" s="1956"/>
      <c r="J131" s="1954" t="s">
        <v>810</v>
      </c>
      <c r="K131" s="1955"/>
      <c r="L131" s="1955"/>
      <c r="M131" s="1955"/>
      <c r="N131" s="1955"/>
      <c r="O131" s="1955"/>
      <c r="P131" s="1956"/>
      <c r="R131" s="1954" t="s">
        <v>117</v>
      </c>
      <c r="S131" s="1955"/>
      <c r="T131" s="1955"/>
      <c r="U131" s="1955"/>
      <c r="V131" s="1955"/>
      <c r="W131" s="1955"/>
      <c r="X131" s="1956"/>
    </row>
    <row r="132" spans="2:24" s="1699" customFormat="1" ht="15.75" customHeight="1">
      <c r="B132" s="1952"/>
      <c r="C132" s="1957" t="s">
        <v>823</v>
      </c>
      <c r="D132" s="1782" t="s">
        <v>824</v>
      </c>
      <c r="E132" s="1783"/>
      <c r="F132" s="1783"/>
      <c r="G132" s="1783"/>
      <c r="H132" s="1784"/>
      <c r="J132" s="1952"/>
      <c r="K132" s="1957" t="s">
        <v>823</v>
      </c>
      <c r="L132" s="1782" t="s">
        <v>825</v>
      </c>
      <c r="M132" s="1783"/>
      <c r="N132" s="1783"/>
      <c r="O132" s="1783"/>
      <c r="P132" s="1784"/>
      <c r="R132" s="1952"/>
      <c r="S132" s="1957" t="s">
        <v>823</v>
      </c>
      <c r="T132" s="1949" t="s">
        <v>825</v>
      </c>
      <c r="U132" s="1950"/>
      <c r="V132" s="1950"/>
      <c r="W132" s="1950"/>
      <c r="X132" s="1951"/>
    </row>
    <row r="133" spans="2:24" s="1699" customFormat="1" ht="40.5" customHeight="1">
      <c r="B133" s="1953"/>
      <c r="C133" s="1967"/>
      <c r="D133" s="1014" t="s">
        <v>827</v>
      </c>
      <c r="E133" s="1014" t="s">
        <v>816</v>
      </c>
      <c r="F133" s="1014" t="s">
        <v>646</v>
      </c>
      <c r="G133" s="1014" t="s">
        <v>828</v>
      </c>
      <c r="H133" s="1746" t="s">
        <v>818</v>
      </c>
      <c r="J133" s="1953"/>
      <c r="K133" s="1960"/>
      <c r="L133" s="1014" t="s">
        <v>827</v>
      </c>
      <c r="M133" s="1014" t="s">
        <v>816</v>
      </c>
      <c r="N133" s="1014" t="s">
        <v>646</v>
      </c>
      <c r="O133" s="1014" t="s">
        <v>828</v>
      </c>
      <c r="P133" s="1746" t="s">
        <v>818</v>
      </c>
      <c r="R133" s="1953"/>
      <c r="S133" s="1960"/>
      <c r="T133" s="1014" t="s">
        <v>827</v>
      </c>
      <c r="U133" s="1014" t="s">
        <v>816</v>
      </c>
      <c r="V133" s="1014" t="s">
        <v>646</v>
      </c>
      <c r="W133" s="1014" t="s">
        <v>828</v>
      </c>
      <c r="X133" s="1746" t="s">
        <v>818</v>
      </c>
    </row>
    <row r="134" spans="2:24" s="1699" customFormat="1" ht="15.75" customHeight="1">
      <c r="B134" s="1750" t="s">
        <v>731</v>
      </c>
      <c r="C134" s="1768">
        <f t="shared" ref="C134:F137" si="23">IF(C116&gt;0,C125*1000/C116,0)</f>
        <v>0</v>
      </c>
      <c r="D134" s="1773">
        <f t="shared" si="23"/>
        <v>0</v>
      </c>
      <c r="E134" s="1773">
        <f t="shared" si="23"/>
        <v>0</v>
      </c>
      <c r="F134" s="1773">
        <f t="shared" si="23"/>
        <v>0</v>
      </c>
      <c r="G134" s="1760"/>
      <c r="H134" s="713"/>
      <c r="J134" s="1750" t="s">
        <v>731</v>
      </c>
      <c r="K134" s="1768">
        <f t="shared" ref="K134:N137" si="24">IF(K116&gt;0,K125*1000/K116,0)</f>
        <v>0</v>
      </c>
      <c r="L134" s="1773"/>
      <c r="M134" s="1773"/>
      <c r="N134" s="1773">
        <f t="shared" si="24"/>
        <v>0</v>
      </c>
      <c r="O134" s="1760"/>
      <c r="P134" s="713"/>
      <c r="R134" s="1750" t="s">
        <v>731</v>
      </c>
      <c r="S134" s="1768">
        <f t="shared" ref="S134:V137" si="25">IF(S116&gt;0,S125*1000/S116,0)</f>
        <v>0</v>
      </c>
      <c r="T134" s="1773">
        <f t="shared" si="25"/>
        <v>0</v>
      </c>
      <c r="U134" s="1773">
        <f t="shared" si="25"/>
        <v>0</v>
      </c>
      <c r="V134" s="1773">
        <f t="shared" si="25"/>
        <v>0</v>
      </c>
      <c r="W134" s="1760"/>
      <c r="X134" s="713"/>
    </row>
    <row r="135" spans="2:24" s="1699" customFormat="1" ht="15.75" customHeight="1">
      <c r="B135" s="1733" t="s">
        <v>238</v>
      </c>
      <c r="C135" s="1774">
        <f t="shared" si="23"/>
        <v>0</v>
      </c>
      <c r="D135" s="1775">
        <f t="shared" si="23"/>
        <v>0</v>
      </c>
      <c r="E135" s="1775">
        <f t="shared" si="23"/>
        <v>0</v>
      </c>
      <c r="F135" s="1775">
        <f t="shared" si="23"/>
        <v>0</v>
      </c>
      <c r="G135" s="1762"/>
      <c r="H135" s="711"/>
      <c r="J135" s="1733" t="s">
        <v>238</v>
      </c>
      <c r="K135" s="1774">
        <f t="shared" si="24"/>
        <v>0</v>
      </c>
      <c r="L135" s="1775">
        <f t="shared" si="24"/>
        <v>0</v>
      </c>
      <c r="M135" s="1775">
        <f t="shared" si="24"/>
        <v>0</v>
      </c>
      <c r="N135" s="1775">
        <f t="shared" si="24"/>
        <v>0</v>
      </c>
      <c r="O135" s="1762"/>
      <c r="P135" s="711"/>
      <c r="R135" s="1733" t="s">
        <v>238</v>
      </c>
      <c r="S135" s="1774">
        <f t="shared" si="25"/>
        <v>0</v>
      </c>
      <c r="T135" s="1775">
        <f t="shared" si="25"/>
        <v>0</v>
      </c>
      <c r="U135" s="1775">
        <f t="shared" si="25"/>
        <v>0</v>
      </c>
      <c r="V135" s="1775">
        <f t="shared" si="25"/>
        <v>0</v>
      </c>
      <c r="W135" s="1762"/>
      <c r="X135" s="711"/>
    </row>
    <row r="136" spans="2:24" s="1699" customFormat="1" ht="15.75" customHeight="1">
      <c r="B136" s="1733" t="s">
        <v>244</v>
      </c>
      <c r="C136" s="1774">
        <f t="shared" si="23"/>
        <v>0</v>
      </c>
      <c r="D136" s="1775">
        <f t="shared" si="23"/>
        <v>0</v>
      </c>
      <c r="E136" s="1775">
        <f t="shared" si="23"/>
        <v>0</v>
      </c>
      <c r="F136" s="1775">
        <f t="shared" si="23"/>
        <v>0</v>
      </c>
      <c r="G136" s="1762"/>
      <c r="H136" s="711"/>
      <c r="J136" s="1733" t="s">
        <v>244</v>
      </c>
      <c r="K136" s="1774">
        <f t="shared" si="24"/>
        <v>0</v>
      </c>
      <c r="L136" s="1775">
        <f t="shared" si="24"/>
        <v>0</v>
      </c>
      <c r="M136" s="1775">
        <f t="shared" si="24"/>
        <v>0</v>
      </c>
      <c r="N136" s="1775">
        <f t="shared" si="24"/>
        <v>0</v>
      </c>
      <c r="O136" s="1762"/>
      <c r="P136" s="711"/>
      <c r="R136" s="1733" t="s">
        <v>244</v>
      </c>
      <c r="S136" s="1774">
        <f t="shared" si="25"/>
        <v>0</v>
      </c>
      <c r="T136" s="1775">
        <f t="shared" si="25"/>
        <v>0</v>
      </c>
      <c r="U136" s="1775">
        <f t="shared" si="25"/>
        <v>0</v>
      </c>
      <c r="V136" s="1775">
        <f t="shared" si="25"/>
        <v>0</v>
      </c>
      <c r="W136" s="1762"/>
      <c r="X136" s="711"/>
    </row>
    <row r="137" spans="2:24" s="1699" customFormat="1" ht="15.75" customHeight="1" thickBot="1">
      <c r="B137" s="1776" t="s">
        <v>491</v>
      </c>
      <c r="C137" s="1777">
        <f t="shared" si="23"/>
        <v>0</v>
      </c>
      <c r="D137" s="1778">
        <f t="shared" si="23"/>
        <v>0</v>
      </c>
      <c r="E137" s="1778">
        <f t="shared" si="23"/>
        <v>0</v>
      </c>
      <c r="F137" s="1778">
        <f t="shared" si="23"/>
        <v>0</v>
      </c>
      <c r="G137" s="1786"/>
      <c r="H137" s="715"/>
      <c r="J137" s="1776" t="s">
        <v>491</v>
      </c>
      <c r="K137" s="1777">
        <f t="shared" si="24"/>
        <v>0</v>
      </c>
      <c r="L137" s="1778">
        <f t="shared" si="24"/>
        <v>0</v>
      </c>
      <c r="M137" s="1778">
        <f t="shared" si="24"/>
        <v>0</v>
      </c>
      <c r="N137" s="1778">
        <f t="shared" si="24"/>
        <v>0</v>
      </c>
      <c r="O137" s="1786"/>
      <c r="P137" s="715"/>
      <c r="R137" s="1776" t="s">
        <v>491</v>
      </c>
      <c r="S137" s="1777">
        <f t="shared" si="25"/>
        <v>0</v>
      </c>
      <c r="T137" s="1778">
        <f t="shared" si="25"/>
        <v>0</v>
      </c>
      <c r="U137" s="1778">
        <f t="shared" si="25"/>
        <v>0</v>
      </c>
      <c r="V137" s="1778">
        <f t="shared" si="25"/>
        <v>0</v>
      </c>
      <c r="W137" s="1786"/>
      <c r="X137" s="715"/>
    </row>
  </sheetData>
  <sheetProtection insertRows="0"/>
  <mergeCells count="86">
    <mergeCell ref="J58:P58"/>
    <mergeCell ref="R58:X58"/>
    <mergeCell ref="S59:S60"/>
    <mergeCell ref="D59:H59"/>
    <mergeCell ref="L59:P59"/>
    <mergeCell ref="R59:R60"/>
    <mergeCell ref="T59:X59"/>
    <mergeCell ref="B85:H85"/>
    <mergeCell ref="J85:P85"/>
    <mergeCell ref="R85:X85"/>
    <mergeCell ref="C86:C87"/>
    <mergeCell ref="K86:K87"/>
    <mergeCell ref="S86:S87"/>
    <mergeCell ref="B86:B87"/>
    <mergeCell ref="J86:J87"/>
    <mergeCell ref="D86:H86"/>
    <mergeCell ref="T86:X86"/>
    <mergeCell ref="R86:R87"/>
    <mergeCell ref="J67:P67"/>
    <mergeCell ref="R67:X67"/>
    <mergeCell ref="S68:S69"/>
    <mergeCell ref="B67:H67"/>
    <mergeCell ref="C68:C69"/>
    <mergeCell ref="K68:K69"/>
    <mergeCell ref="J68:J69"/>
    <mergeCell ref="D68:H68"/>
    <mergeCell ref="R68:R69"/>
    <mergeCell ref="T68:X68"/>
    <mergeCell ref="B104:H104"/>
    <mergeCell ref="J104:P104"/>
    <mergeCell ref="R104:X104"/>
    <mergeCell ref="C105:C106"/>
    <mergeCell ref="D105:H105"/>
    <mergeCell ref="K105:K106"/>
    <mergeCell ref="S105:S106"/>
    <mergeCell ref="B105:B106"/>
    <mergeCell ref="J105:J106"/>
    <mergeCell ref="T105:X105"/>
    <mergeCell ref="R105:R106"/>
    <mergeCell ref="K114:K115"/>
    <mergeCell ref="S114:S115"/>
    <mergeCell ref="C114:C115"/>
    <mergeCell ref="B113:H113"/>
    <mergeCell ref="J113:P113"/>
    <mergeCell ref="R113:X113"/>
    <mergeCell ref="B114:B115"/>
    <mergeCell ref="J114:J115"/>
    <mergeCell ref="T114:X114"/>
    <mergeCell ref="C132:C133"/>
    <mergeCell ref="K132:K133"/>
    <mergeCell ref="S132:S133"/>
    <mergeCell ref="B122:H122"/>
    <mergeCell ref="J122:P122"/>
    <mergeCell ref="R122:X122"/>
    <mergeCell ref="C123:C124"/>
    <mergeCell ref="K123:K124"/>
    <mergeCell ref="S123:S124"/>
    <mergeCell ref="B131:H131"/>
    <mergeCell ref="J131:P131"/>
    <mergeCell ref="R131:X131"/>
    <mergeCell ref="B123:B124"/>
    <mergeCell ref="B132:B133"/>
    <mergeCell ref="J132:J133"/>
    <mergeCell ref="J123:J124"/>
    <mergeCell ref="B7:C8"/>
    <mergeCell ref="B31:C32"/>
    <mergeCell ref="B40:C41"/>
    <mergeCell ref="B59:B60"/>
    <mergeCell ref="B68:B69"/>
    <mergeCell ref="B58:H58"/>
    <mergeCell ref="B76:H76"/>
    <mergeCell ref="J76:P76"/>
    <mergeCell ref="C77:C78"/>
    <mergeCell ref="K77:K78"/>
    <mergeCell ref="R76:X76"/>
    <mergeCell ref="S77:S78"/>
    <mergeCell ref="B77:B78"/>
    <mergeCell ref="J77:J78"/>
    <mergeCell ref="D77:H77"/>
    <mergeCell ref="R77:R78"/>
    <mergeCell ref="T77:X77"/>
    <mergeCell ref="T123:X123"/>
    <mergeCell ref="T132:X132"/>
    <mergeCell ref="R132:R133"/>
    <mergeCell ref="R123:R124"/>
    <mergeCell ref="R114:R115"/>
  </mergeCells>
  <phoneticPr fontId="43" type="noConversion"/>
  <dataValidations count="1">
    <dataValidation type="decimal" operator="greaterThanOrEqual" showInputMessage="1" showErrorMessage="1" sqref="D18:M24 D14:M16 D33:M36 D42:M45 D10:M12">
      <formula1>0</formula1>
    </dataValidation>
  </dataValidations>
  <pageMargins left="0.70866141732283472" right="0.70866141732283472" top="0.74803149606299213" bottom="0.74803149606299213" header="0.31496062992125984" footer="0.31496062992125984"/>
  <pageSetup paperSize="9" scale="20" orientation="landscape" r:id="rId1"/>
  <headerFooter alignWithMargins="0">
    <oddHeader>&amp;R&amp;A</oddHeader>
    <oddFooter>&amp;L&amp;Z&amp;F&amp;R&amp;D&amp;T</oddFooter>
  </headerFooter>
  <rowBreaks count="1" manualBreakCount="1">
    <brk id="93" max="23" man="1"/>
  </rowBreaks>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enableFormatConditionsCalculation="0">
    <tabColor rgb="FFC1DFFF"/>
  </sheetPr>
  <dimension ref="A1:K155"/>
  <sheetViews>
    <sheetView workbookViewId="0">
      <selection sqref="A1:XFD1048576"/>
    </sheetView>
  </sheetViews>
  <sheetFormatPr defaultColWidth="8.85546875" defaultRowHeight="12.75"/>
  <cols>
    <col min="1" max="4" width="8.85546875" customWidth="1"/>
    <col min="5" max="5" width="31" bestFit="1" customWidth="1"/>
    <col min="6" max="6" width="8.85546875" customWidth="1"/>
    <col min="7" max="10" width="14" customWidth="1"/>
  </cols>
  <sheetData>
    <row r="1" spans="1:11">
      <c r="A1" s="1342" t="s">
        <v>852</v>
      </c>
      <c r="F1" s="230" t="s">
        <v>1019</v>
      </c>
    </row>
    <row r="2" spans="1:11">
      <c r="A2" s="1342"/>
    </row>
    <row r="3" spans="1:11">
      <c r="A3" s="1342" t="s">
        <v>479</v>
      </c>
    </row>
    <row r="4" spans="1:11">
      <c r="A4" s="1342"/>
    </row>
    <row r="6" spans="1:11" ht="13.5" thickBot="1"/>
    <row r="7" spans="1:11" ht="15" customHeight="1">
      <c r="B7" s="1981" t="s">
        <v>635</v>
      </c>
      <c r="C7" s="1982"/>
      <c r="D7" s="1982"/>
      <c r="E7" s="1983"/>
      <c r="F7" s="1990" t="s">
        <v>31</v>
      </c>
      <c r="G7" s="1788" t="s">
        <v>636</v>
      </c>
      <c r="H7" s="355"/>
      <c r="I7" s="1788" t="s">
        <v>637</v>
      </c>
      <c r="J7" s="355"/>
    </row>
    <row r="8" spans="1:11" ht="50.25" customHeight="1">
      <c r="B8" s="1984"/>
      <c r="C8" s="1985"/>
      <c r="D8" s="1985"/>
      <c r="E8" s="1986"/>
      <c r="F8" s="1991"/>
      <c r="G8" s="1789" t="s">
        <v>638</v>
      </c>
      <c r="H8" s="1790" t="s">
        <v>648</v>
      </c>
      <c r="I8" s="1789" t="s">
        <v>638</v>
      </c>
      <c r="J8" s="1790" t="s">
        <v>648</v>
      </c>
    </row>
    <row r="9" spans="1:11" ht="15" customHeight="1" thickBot="1">
      <c r="B9" s="1987"/>
      <c r="C9" s="1988"/>
      <c r="D9" s="1988"/>
      <c r="E9" s="1989"/>
      <c r="F9" s="1992"/>
      <c r="G9" s="1791" t="s">
        <v>649</v>
      </c>
      <c r="H9" s="1792" t="s">
        <v>649</v>
      </c>
      <c r="I9" s="1791" t="s">
        <v>649</v>
      </c>
      <c r="J9" s="1792" t="s">
        <v>649</v>
      </c>
    </row>
    <row r="10" spans="1:11" ht="15" customHeight="1">
      <c r="B10" s="510"/>
      <c r="C10" s="1793" t="s">
        <v>459</v>
      </c>
      <c r="D10" s="1793"/>
      <c r="E10" s="511"/>
      <c r="F10" s="512"/>
      <c r="G10" s="513"/>
      <c r="H10" s="514"/>
      <c r="I10" s="513"/>
      <c r="J10" s="514"/>
    </row>
    <row r="11" spans="1:11" ht="15" customHeight="1">
      <c r="B11" s="510"/>
      <c r="C11" s="511"/>
      <c r="D11" s="1794" t="s">
        <v>224</v>
      </c>
      <c r="E11" s="511"/>
      <c r="F11" s="515"/>
      <c r="G11" s="516"/>
      <c r="H11" s="517"/>
      <c r="I11" s="516"/>
      <c r="J11" s="517"/>
    </row>
    <row r="12" spans="1:11" ht="15" customHeight="1">
      <c r="B12" s="518"/>
      <c r="C12" s="511"/>
      <c r="D12" s="511"/>
      <c r="E12" s="511" t="s">
        <v>460</v>
      </c>
      <c r="F12" s="519" t="s">
        <v>177</v>
      </c>
      <c r="G12" s="356"/>
      <c r="H12" s="357"/>
      <c r="I12" s="356">
        <v>14.06</v>
      </c>
      <c r="J12" s="357">
        <v>19.989999999999998</v>
      </c>
      <c r="K12" s="747"/>
    </row>
    <row r="13" spans="1:11" ht="15" customHeight="1">
      <c r="B13" s="518"/>
      <c r="C13" s="511"/>
      <c r="D13" s="511"/>
      <c r="E13" s="511" t="s">
        <v>461</v>
      </c>
      <c r="F13" s="519" t="s">
        <v>738</v>
      </c>
      <c r="G13" s="356"/>
      <c r="H13" s="357"/>
      <c r="I13" s="356">
        <v>0.2</v>
      </c>
      <c r="J13" s="357">
        <v>0.32</v>
      </c>
      <c r="K13" s="747"/>
    </row>
    <row r="14" spans="1:11" ht="15" customHeight="1">
      <c r="B14" s="518"/>
      <c r="C14" s="511"/>
      <c r="D14" s="511"/>
      <c r="E14" s="511"/>
      <c r="F14" s="519"/>
      <c r="G14" s="520"/>
      <c r="H14" s="521"/>
      <c r="I14" s="520"/>
      <c r="J14" s="521"/>
    </row>
    <row r="15" spans="1:11" ht="15" customHeight="1">
      <c r="B15" s="518"/>
      <c r="C15" s="511"/>
      <c r="D15" s="1794" t="s">
        <v>739</v>
      </c>
      <c r="E15" s="511"/>
      <c r="F15" s="519"/>
      <c r="G15" s="520"/>
      <c r="H15" s="521"/>
      <c r="I15" s="520"/>
      <c r="J15" s="521"/>
    </row>
    <row r="16" spans="1:11" ht="15" customHeight="1">
      <c r="B16" s="518"/>
      <c r="C16" s="511"/>
      <c r="D16" s="511"/>
      <c r="E16" s="511" t="s">
        <v>740</v>
      </c>
      <c r="F16" s="519" t="s">
        <v>738</v>
      </c>
      <c r="G16" s="356"/>
      <c r="H16" s="357"/>
      <c r="I16" s="356">
        <v>1.43</v>
      </c>
      <c r="J16" s="357">
        <v>1.92</v>
      </c>
      <c r="K16" s="747"/>
    </row>
    <row r="17" spans="2:11" ht="15" customHeight="1">
      <c r="B17" s="518"/>
      <c r="C17" s="511"/>
      <c r="D17" s="511"/>
      <c r="E17" s="511"/>
      <c r="F17" s="519"/>
      <c r="G17" s="520"/>
      <c r="H17" s="521"/>
      <c r="I17" s="520"/>
      <c r="J17" s="521"/>
    </row>
    <row r="18" spans="2:11" ht="15" customHeight="1">
      <c r="B18" s="518"/>
      <c r="C18" s="511"/>
      <c r="D18" s="1794" t="s">
        <v>872</v>
      </c>
      <c r="E18" s="511"/>
      <c r="F18" s="519"/>
      <c r="G18" s="520"/>
      <c r="H18" s="521"/>
      <c r="I18" s="520"/>
      <c r="J18" s="521"/>
    </row>
    <row r="19" spans="2:11" ht="15" customHeight="1">
      <c r="B19" s="518"/>
      <c r="C19" s="511"/>
      <c r="D19" s="1794"/>
      <c r="E19" s="511" t="s">
        <v>767</v>
      </c>
      <c r="F19" s="519" t="s">
        <v>177</v>
      </c>
      <c r="G19" s="356"/>
      <c r="H19" s="357"/>
      <c r="I19" s="356"/>
      <c r="J19" s="357"/>
      <c r="K19" s="747"/>
    </row>
    <row r="20" spans="2:11" ht="15" customHeight="1">
      <c r="B20" s="518"/>
      <c r="C20" s="511"/>
      <c r="D20" s="1794"/>
      <c r="E20" s="511" t="s">
        <v>628</v>
      </c>
      <c r="F20" s="519" t="s">
        <v>177</v>
      </c>
      <c r="G20" s="356">
        <v>33.4</v>
      </c>
      <c r="H20" s="357">
        <v>40.08</v>
      </c>
      <c r="I20" s="356">
        <v>67.22</v>
      </c>
      <c r="J20" s="357">
        <v>67.22</v>
      </c>
      <c r="K20" s="747"/>
    </row>
    <row r="21" spans="2:11" ht="15" customHeight="1">
      <c r="B21" s="518"/>
      <c r="C21" s="511"/>
      <c r="D21" s="1794"/>
      <c r="E21" s="511" t="s">
        <v>629</v>
      </c>
      <c r="F21" s="519" t="s">
        <v>177</v>
      </c>
      <c r="G21" s="356"/>
      <c r="H21" s="357"/>
      <c r="I21" s="356">
        <v>67.22</v>
      </c>
      <c r="J21" s="357">
        <v>75.91</v>
      </c>
      <c r="K21" s="747"/>
    </row>
    <row r="22" spans="2:11" ht="15" customHeight="1">
      <c r="B22" s="518"/>
      <c r="C22" s="511"/>
      <c r="D22" s="1794"/>
      <c r="E22" s="511" t="s">
        <v>630</v>
      </c>
      <c r="F22" s="519" t="s">
        <v>738</v>
      </c>
      <c r="G22" s="356">
        <v>0.93</v>
      </c>
      <c r="H22" s="357">
        <v>1.1160000000000001</v>
      </c>
      <c r="I22" s="356">
        <v>0.6</v>
      </c>
      <c r="J22" s="357">
        <v>0.71</v>
      </c>
      <c r="K22" s="747"/>
    </row>
    <row r="23" spans="2:11" ht="15" customHeight="1">
      <c r="B23" s="518"/>
      <c r="C23" s="511"/>
      <c r="D23" s="511"/>
      <c r="E23" s="511"/>
      <c r="F23" s="519"/>
      <c r="G23" s="520"/>
      <c r="H23" s="521"/>
      <c r="I23" s="520"/>
      <c r="J23" s="521"/>
    </row>
    <row r="24" spans="2:11" ht="15" customHeight="1">
      <c r="B24" s="518"/>
      <c r="C24" s="511"/>
      <c r="D24" s="1794" t="s">
        <v>631</v>
      </c>
      <c r="E24" s="511"/>
      <c r="F24" s="519"/>
      <c r="G24" s="520"/>
      <c r="H24" s="521"/>
      <c r="I24" s="520"/>
      <c r="J24" s="521"/>
    </row>
    <row r="25" spans="2:11" ht="15" customHeight="1">
      <c r="B25" s="518"/>
      <c r="C25" s="511"/>
      <c r="D25" s="1794"/>
      <c r="E25" s="511" t="s">
        <v>632</v>
      </c>
      <c r="F25" s="519" t="s">
        <v>738</v>
      </c>
      <c r="G25" s="356">
        <v>2.2200000000000002</v>
      </c>
      <c r="H25" s="357">
        <v>2.6640000000000001</v>
      </c>
      <c r="I25" s="356">
        <v>6.41</v>
      </c>
      <c r="J25" s="357">
        <v>8.06</v>
      </c>
      <c r="K25" s="747"/>
    </row>
    <row r="26" spans="2:11" ht="15" customHeight="1">
      <c r="B26" s="518"/>
      <c r="C26" s="511"/>
      <c r="D26" s="1794"/>
      <c r="E26" s="511" t="s">
        <v>633</v>
      </c>
      <c r="F26" s="519" t="s">
        <v>738</v>
      </c>
      <c r="G26" s="356"/>
      <c r="H26" s="357"/>
      <c r="I26" s="356">
        <v>6.78</v>
      </c>
      <c r="J26" s="357">
        <v>8.4700000000000006</v>
      </c>
      <c r="K26" s="747"/>
    </row>
    <row r="27" spans="2:11" ht="15" customHeight="1">
      <c r="B27" s="518"/>
      <c r="C27" s="511"/>
      <c r="D27" s="1794"/>
      <c r="E27" s="511" t="s">
        <v>752</v>
      </c>
      <c r="F27" s="519" t="s">
        <v>738</v>
      </c>
      <c r="G27" s="356"/>
      <c r="H27" s="357"/>
      <c r="I27" s="356">
        <v>8.3699999999999992</v>
      </c>
      <c r="J27" s="357">
        <v>10.53</v>
      </c>
      <c r="K27" s="747"/>
    </row>
    <row r="28" spans="2:11" ht="15" customHeight="1">
      <c r="B28" s="518"/>
      <c r="C28" s="511"/>
      <c r="D28" s="1794"/>
      <c r="E28" s="511" t="s">
        <v>753</v>
      </c>
      <c r="F28" s="519" t="s">
        <v>738</v>
      </c>
      <c r="G28" s="356"/>
      <c r="H28" s="357"/>
      <c r="I28" s="356"/>
      <c r="J28" s="357"/>
      <c r="K28" s="747"/>
    </row>
    <row r="29" spans="2:11" ht="15" customHeight="1">
      <c r="B29" s="518"/>
      <c r="C29" s="511"/>
      <c r="D29" s="1794"/>
      <c r="E29" s="511" t="s">
        <v>41</v>
      </c>
      <c r="F29" s="519" t="s">
        <v>738</v>
      </c>
      <c r="G29" s="522"/>
      <c r="H29" s="523"/>
      <c r="I29" s="522"/>
      <c r="J29" s="523"/>
    </row>
    <row r="30" spans="2:11" ht="15" customHeight="1">
      <c r="B30" s="518"/>
      <c r="C30" s="511"/>
      <c r="D30" s="1794"/>
      <c r="E30" s="511" t="s">
        <v>42</v>
      </c>
      <c r="F30" s="519" t="s">
        <v>738</v>
      </c>
      <c r="G30" s="522"/>
      <c r="H30" s="523"/>
      <c r="I30" s="522"/>
      <c r="J30" s="523"/>
    </row>
    <row r="31" spans="2:11" ht="15" customHeight="1" thickBot="1">
      <c r="B31" s="1795"/>
      <c r="C31" s="1796"/>
      <c r="D31" s="1796"/>
      <c r="E31" s="1796"/>
      <c r="F31" s="358"/>
      <c r="G31" s="524"/>
      <c r="H31" s="525"/>
      <c r="I31" s="524"/>
      <c r="J31" s="525"/>
    </row>
    <row r="32" spans="2:11" ht="15" customHeight="1">
      <c r="B32" s="526"/>
      <c r="C32" s="1797" t="s">
        <v>43</v>
      </c>
      <c r="D32" s="1797"/>
      <c r="E32" s="527"/>
      <c r="F32" s="528"/>
      <c r="G32" s="520"/>
      <c r="H32" s="521"/>
      <c r="I32" s="520"/>
      <c r="J32" s="521"/>
    </row>
    <row r="33" spans="2:11" ht="15" customHeight="1">
      <c r="B33" s="518"/>
      <c r="C33" s="511"/>
      <c r="D33" s="1794" t="s">
        <v>224</v>
      </c>
      <c r="E33" s="511"/>
      <c r="F33" s="528"/>
      <c r="G33" s="520"/>
      <c r="H33" s="521"/>
      <c r="I33" s="520"/>
      <c r="J33" s="521"/>
    </row>
    <row r="34" spans="2:11" ht="15" customHeight="1">
      <c r="B34" s="518"/>
      <c r="C34" s="511"/>
      <c r="D34" s="1794"/>
      <c r="E34" s="511" t="s">
        <v>44</v>
      </c>
      <c r="F34" s="519" t="s">
        <v>177</v>
      </c>
      <c r="G34" s="356">
        <v>35.26</v>
      </c>
      <c r="H34" s="357">
        <v>42.311999999999998</v>
      </c>
      <c r="I34" s="356">
        <v>18.350000000000001</v>
      </c>
      <c r="J34" s="357">
        <v>20.82</v>
      </c>
      <c r="K34" s="747"/>
    </row>
    <row r="35" spans="2:11" ht="15" customHeight="1">
      <c r="B35" s="518"/>
      <c r="C35" s="511"/>
      <c r="D35" s="1794"/>
      <c r="E35" s="511" t="s">
        <v>45</v>
      </c>
      <c r="F35" s="519" t="s">
        <v>177</v>
      </c>
      <c r="G35" s="356"/>
      <c r="H35" s="357"/>
      <c r="I35" s="356"/>
      <c r="J35" s="357"/>
      <c r="K35" s="747"/>
    </row>
    <row r="36" spans="2:11" ht="15" customHeight="1">
      <c r="B36" s="518"/>
      <c r="C36" s="511"/>
      <c r="D36" s="511"/>
      <c r="E36" s="511" t="s">
        <v>46</v>
      </c>
      <c r="F36" s="519" t="s">
        <v>177</v>
      </c>
      <c r="G36" s="356"/>
      <c r="H36" s="357"/>
      <c r="I36" s="356"/>
      <c r="J36" s="357"/>
      <c r="K36" s="747"/>
    </row>
    <row r="37" spans="2:11" ht="15" customHeight="1">
      <c r="B37" s="518"/>
      <c r="C37" s="511"/>
      <c r="D37" s="511"/>
      <c r="E37" s="511" t="s">
        <v>643</v>
      </c>
      <c r="F37" s="519" t="s">
        <v>177</v>
      </c>
      <c r="G37" s="356"/>
      <c r="H37" s="357"/>
      <c r="I37" s="356"/>
      <c r="J37" s="357"/>
      <c r="K37" s="747"/>
    </row>
    <row r="38" spans="2:11" ht="15" customHeight="1">
      <c r="B38" s="518"/>
      <c r="C38" s="511"/>
      <c r="D38" s="511"/>
      <c r="E38" s="511"/>
      <c r="F38" s="519"/>
      <c r="G38" s="520"/>
      <c r="H38" s="521"/>
      <c r="I38" s="520"/>
      <c r="J38" s="521"/>
    </row>
    <row r="39" spans="2:11" ht="15" customHeight="1">
      <c r="B39" s="518"/>
      <c r="C39" s="511"/>
      <c r="D39" s="1794" t="s">
        <v>739</v>
      </c>
      <c r="E39" s="511"/>
      <c r="F39" s="519"/>
      <c r="G39" s="520"/>
      <c r="H39" s="521"/>
      <c r="I39" s="520"/>
      <c r="J39" s="521"/>
    </row>
    <row r="40" spans="2:11" ht="15" customHeight="1">
      <c r="B40" s="518"/>
      <c r="C40" s="511"/>
      <c r="D40" s="527"/>
      <c r="E40" s="511" t="s">
        <v>761</v>
      </c>
      <c r="F40" s="519" t="s">
        <v>738</v>
      </c>
      <c r="G40" s="356"/>
      <c r="H40" s="357"/>
      <c r="I40" s="356">
        <v>1.52</v>
      </c>
      <c r="J40" s="357">
        <v>2.0499999999999998</v>
      </c>
      <c r="K40" s="747"/>
    </row>
    <row r="41" spans="2:11" ht="15" customHeight="1">
      <c r="B41" s="518"/>
      <c r="C41" s="511"/>
      <c r="D41" s="1794"/>
      <c r="E41" s="511" t="s">
        <v>762</v>
      </c>
      <c r="F41" s="519" t="s">
        <v>738</v>
      </c>
      <c r="G41" s="356"/>
      <c r="H41" s="357"/>
      <c r="I41" s="356"/>
      <c r="J41" s="357"/>
      <c r="K41" s="747"/>
    </row>
    <row r="42" spans="2:11" ht="15" customHeight="1">
      <c r="B42" s="518"/>
      <c r="C42" s="511"/>
      <c r="D42" s="511"/>
      <c r="E42" s="511"/>
      <c r="F42" s="519"/>
      <c r="G42" s="520"/>
      <c r="H42" s="521"/>
      <c r="I42" s="520"/>
      <c r="J42" s="521"/>
    </row>
    <row r="43" spans="2:11" ht="15" customHeight="1">
      <c r="B43" s="518"/>
      <c r="C43" s="511"/>
      <c r="D43" s="1794" t="s">
        <v>763</v>
      </c>
      <c r="E43" s="511"/>
      <c r="F43" s="519"/>
      <c r="G43" s="520"/>
      <c r="H43" s="521"/>
      <c r="I43" s="520"/>
      <c r="J43" s="521"/>
    </row>
    <row r="44" spans="2:11" ht="15" customHeight="1">
      <c r="B44" s="518"/>
      <c r="C44" s="511"/>
      <c r="D44" s="1794"/>
      <c r="E44" s="511" t="s">
        <v>764</v>
      </c>
      <c r="F44" s="519" t="s">
        <v>177</v>
      </c>
      <c r="G44" s="356">
        <v>32.92</v>
      </c>
      <c r="H44" s="357">
        <v>39.503999999999998</v>
      </c>
      <c r="I44" s="356">
        <v>73.02</v>
      </c>
      <c r="J44" s="357">
        <v>84.36</v>
      </c>
      <c r="K44" s="747"/>
    </row>
    <row r="45" spans="2:11" ht="15" customHeight="1">
      <c r="B45" s="518"/>
      <c r="C45" s="511"/>
      <c r="D45" s="1794"/>
      <c r="E45" s="511" t="s">
        <v>765</v>
      </c>
      <c r="F45" s="519" t="s">
        <v>177</v>
      </c>
      <c r="G45" s="356"/>
      <c r="H45" s="357"/>
      <c r="I45" s="356"/>
      <c r="J45" s="357"/>
      <c r="K45" s="747"/>
    </row>
    <row r="46" spans="2:11" ht="15" customHeight="1">
      <c r="B46" s="518"/>
      <c r="C46" s="511"/>
      <c r="D46" s="1794"/>
      <c r="E46" s="511"/>
      <c r="F46" s="519"/>
      <c r="G46" s="520"/>
      <c r="H46" s="521"/>
      <c r="I46" s="520"/>
      <c r="J46" s="521"/>
    </row>
    <row r="47" spans="2:11" ht="15" customHeight="1">
      <c r="B47" s="518"/>
      <c r="C47" s="511"/>
      <c r="D47" s="1794" t="s">
        <v>68</v>
      </c>
      <c r="E47" s="511"/>
      <c r="F47" s="519"/>
      <c r="G47" s="520"/>
      <c r="H47" s="521"/>
      <c r="I47" s="520"/>
      <c r="J47" s="521"/>
    </row>
    <row r="48" spans="2:11" ht="15" customHeight="1">
      <c r="B48" s="518"/>
      <c r="C48" s="511"/>
      <c r="D48" s="1794"/>
      <c r="E48" s="511" t="s">
        <v>69</v>
      </c>
      <c r="F48" s="519" t="s">
        <v>177</v>
      </c>
      <c r="G48" s="356"/>
      <c r="H48" s="357"/>
      <c r="I48" s="356">
        <v>471.36</v>
      </c>
      <c r="J48" s="357">
        <v>535.69000000000005</v>
      </c>
      <c r="K48" s="747"/>
    </row>
    <row r="49" spans="2:11" ht="15" customHeight="1">
      <c r="B49" s="518"/>
      <c r="C49" s="511"/>
      <c r="D49" s="1794"/>
      <c r="E49" s="511"/>
      <c r="F49" s="519"/>
      <c r="G49" s="520"/>
      <c r="H49" s="521"/>
      <c r="I49" s="520"/>
      <c r="J49" s="521"/>
    </row>
    <row r="50" spans="2:11" ht="15" customHeight="1">
      <c r="B50" s="518"/>
      <c r="C50" s="511"/>
      <c r="D50" s="1794" t="s">
        <v>631</v>
      </c>
      <c r="E50" s="511"/>
      <c r="F50" s="519"/>
      <c r="G50" s="520"/>
      <c r="H50" s="521"/>
      <c r="I50" s="520"/>
      <c r="J50" s="521"/>
    </row>
    <row r="51" spans="2:11" ht="15" customHeight="1">
      <c r="B51" s="518"/>
      <c r="C51" s="511"/>
      <c r="D51" s="1794"/>
      <c r="E51" s="511" t="s">
        <v>70</v>
      </c>
      <c r="F51" s="519" t="s">
        <v>738</v>
      </c>
      <c r="G51" s="356">
        <v>7.13</v>
      </c>
      <c r="H51" s="357">
        <v>8.5559999999999992</v>
      </c>
      <c r="I51" s="356">
        <v>7.17</v>
      </c>
      <c r="J51" s="357">
        <v>8.31</v>
      </c>
      <c r="K51" s="747"/>
    </row>
    <row r="52" spans="2:11" ht="15" customHeight="1">
      <c r="B52" s="518"/>
      <c r="C52" s="511"/>
      <c r="D52" s="1794"/>
      <c r="E52" s="511" t="s">
        <v>80</v>
      </c>
      <c r="F52" s="519" t="s">
        <v>738</v>
      </c>
      <c r="G52" s="356">
        <v>20.49</v>
      </c>
      <c r="H52" s="357">
        <v>24.587999999999997</v>
      </c>
      <c r="I52" s="356">
        <v>21.37</v>
      </c>
      <c r="J52" s="357">
        <v>24.52</v>
      </c>
      <c r="K52" s="747"/>
    </row>
    <row r="53" spans="2:11" ht="15" customHeight="1">
      <c r="B53" s="518"/>
      <c r="C53" s="511"/>
      <c r="D53" s="1794"/>
      <c r="E53" s="511" t="s">
        <v>81</v>
      </c>
      <c r="F53" s="519" t="s">
        <v>738</v>
      </c>
      <c r="G53" s="356">
        <v>6.01</v>
      </c>
      <c r="H53" s="357">
        <v>7.2119999999999997</v>
      </c>
      <c r="I53" s="356">
        <v>6.05</v>
      </c>
      <c r="J53" s="357">
        <v>7.06</v>
      </c>
      <c r="K53" s="747"/>
    </row>
    <row r="54" spans="2:11" ht="15" customHeight="1">
      <c r="B54" s="518"/>
      <c r="C54" s="511"/>
      <c r="D54" s="1794"/>
      <c r="E54" s="511" t="s">
        <v>82</v>
      </c>
      <c r="F54" s="519" t="s">
        <v>738</v>
      </c>
      <c r="G54" s="356">
        <v>6.71</v>
      </c>
      <c r="H54" s="357">
        <v>8.0519999999999996</v>
      </c>
      <c r="I54" s="356">
        <v>8.17</v>
      </c>
      <c r="J54" s="357">
        <v>10.15</v>
      </c>
      <c r="K54" s="747"/>
    </row>
    <row r="55" spans="2:11" ht="15" customHeight="1">
      <c r="B55" s="518"/>
      <c r="C55" s="511"/>
      <c r="D55" s="1794"/>
      <c r="E55" s="511" t="s">
        <v>776</v>
      </c>
      <c r="F55" s="519" t="s">
        <v>738</v>
      </c>
      <c r="G55" s="356">
        <v>6.99</v>
      </c>
      <c r="H55" s="357">
        <v>8.3879999999999999</v>
      </c>
      <c r="I55" s="356">
        <v>10</v>
      </c>
      <c r="J55" s="357">
        <v>12.28</v>
      </c>
      <c r="K55" s="747"/>
    </row>
    <row r="56" spans="2:11" ht="15" customHeight="1">
      <c r="B56" s="518"/>
      <c r="C56" s="511"/>
      <c r="D56" s="1794"/>
      <c r="E56" s="511" t="s">
        <v>777</v>
      </c>
      <c r="F56" s="519" t="s">
        <v>738</v>
      </c>
      <c r="G56" s="522"/>
      <c r="H56" s="523"/>
      <c r="I56" s="522"/>
      <c r="J56" s="523"/>
    </row>
    <row r="57" spans="2:11" ht="15" customHeight="1">
      <c r="B57" s="518"/>
      <c r="C57" s="511"/>
      <c r="D57" s="1794"/>
      <c r="E57" s="511" t="s">
        <v>72</v>
      </c>
      <c r="F57" s="519" t="s">
        <v>738</v>
      </c>
      <c r="G57" s="522"/>
      <c r="H57" s="523"/>
      <c r="I57" s="522"/>
      <c r="J57" s="523"/>
    </row>
    <row r="58" spans="2:11" ht="15" customHeight="1">
      <c r="B58" s="518"/>
      <c r="C58" s="511"/>
      <c r="D58" s="511"/>
      <c r="E58" s="511" t="s">
        <v>656</v>
      </c>
      <c r="F58" s="519" t="s">
        <v>738</v>
      </c>
      <c r="G58" s="356"/>
      <c r="H58" s="357"/>
      <c r="I58" s="356"/>
      <c r="J58" s="357"/>
      <c r="K58" s="747"/>
    </row>
    <row r="59" spans="2:11" ht="15" customHeight="1">
      <c r="B59" s="518"/>
      <c r="C59" s="511"/>
      <c r="D59" s="511"/>
      <c r="E59" s="511" t="s">
        <v>495</v>
      </c>
      <c r="F59" s="519" t="s">
        <v>738</v>
      </c>
      <c r="G59" s="356"/>
      <c r="H59" s="357"/>
      <c r="I59" s="356"/>
      <c r="J59" s="357"/>
      <c r="K59" s="747"/>
    </row>
    <row r="60" spans="2:11" ht="15" customHeight="1">
      <c r="B60" s="518"/>
      <c r="C60" s="511"/>
      <c r="D60" s="1794"/>
      <c r="E60" s="511" t="s">
        <v>496</v>
      </c>
      <c r="F60" s="519" t="s">
        <v>738</v>
      </c>
      <c r="G60" s="356"/>
      <c r="H60" s="357"/>
      <c r="I60" s="356"/>
      <c r="J60" s="357"/>
      <c r="K60" s="747"/>
    </row>
    <row r="61" spans="2:11" ht="15" customHeight="1">
      <c r="B61" s="518"/>
      <c r="C61" s="511"/>
      <c r="D61" s="1794"/>
      <c r="E61" s="511" t="s">
        <v>497</v>
      </c>
      <c r="F61" s="519" t="s">
        <v>738</v>
      </c>
      <c r="G61" s="356"/>
      <c r="H61" s="357"/>
      <c r="I61" s="356"/>
      <c r="J61" s="357"/>
      <c r="K61" s="747"/>
    </row>
    <row r="62" spans="2:11" ht="15" customHeight="1">
      <c r="B62" s="518"/>
      <c r="C62" s="511"/>
      <c r="D62" s="1794"/>
      <c r="E62" s="511" t="s">
        <v>500</v>
      </c>
      <c r="F62" s="519" t="s">
        <v>738</v>
      </c>
      <c r="G62" s="356"/>
      <c r="H62" s="357"/>
      <c r="I62" s="356"/>
      <c r="J62" s="357"/>
      <c r="K62" s="747"/>
    </row>
    <row r="63" spans="2:11" ht="15" customHeight="1">
      <c r="B63" s="518"/>
      <c r="C63" s="511"/>
      <c r="D63" s="1794"/>
      <c r="E63" s="511" t="s">
        <v>659</v>
      </c>
      <c r="F63" s="519" t="s">
        <v>738</v>
      </c>
      <c r="G63" s="522"/>
      <c r="H63" s="523"/>
      <c r="I63" s="522"/>
      <c r="J63" s="523"/>
    </row>
    <row r="64" spans="2:11" ht="15" customHeight="1">
      <c r="B64" s="518"/>
      <c r="C64" s="511"/>
      <c r="D64" s="1794"/>
      <c r="E64" s="511" t="s">
        <v>505</v>
      </c>
      <c r="F64" s="519" t="s">
        <v>738</v>
      </c>
      <c r="G64" s="522"/>
      <c r="H64" s="523"/>
      <c r="I64" s="522"/>
      <c r="J64" s="523"/>
    </row>
    <row r="65" spans="2:11" ht="15" customHeight="1">
      <c r="B65" s="518"/>
      <c r="C65" s="511"/>
      <c r="D65" s="1794"/>
      <c r="E65" s="511"/>
      <c r="F65" s="528"/>
      <c r="G65" s="520"/>
      <c r="H65" s="521"/>
      <c r="I65" s="520"/>
      <c r="J65" s="521"/>
    </row>
    <row r="66" spans="2:11" ht="15" customHeight="1">
      <c r="B66" s="518"/>
      <c r="C66" s="511"/>
      <c r="D66" s="1794" t="s">
        <v>506</v>
      </c>
      <c r="E66" s="511"/>
      <c r="F66" s="528"/>
      <c r="G66" s="520"/>
      <c r="H66" s="521"/>
      <c r="I66" s="520"/>
      <c r="J66" s="521"/>
    </row>
    <row r="67" spans="2:11" ht="15" customHeight="1">
      <c r="B67" s="518"/>
      <c r="C67" s="511"/>
      <c r="D67" s="1794"/>
      <c r="E67" s="511" t="s">
        <v>507</v>
      </c>
      <c r="F67" s="519" t="s">
        <v>738</v>
      </c>
      <c r="G67" s="356">
        <v>1.66</v>
      </c>
      <c r="H67" s="357">
        <v>1.9919999999999998</v>
      </c>
      <c r="I67" s="356">
        <v>1.33</v>
      </c>
      <c r="J67" s="357">
        <v>1.78</v>
      </c>
      <c r="K67" s="747"/>
    </row>
    <row r="68" spans="2:11" ht="15" customHeight="1">
      <c r="B68" s="518"/>
      <c r="C68" s="511"/>
      <c r="D68" s="1794"/>
      <c r="E68" s="511" t="s">
        <v>508</v>
      </c>
      <c r="F68" s="519" t="s">
        <v>738</v>
      </c>
      <c r="G68" s="356">
        <v>9.32</v>
      </c>
      <c r="H68" s="357">
        <v>11.183999999999999</v>
      </c>
      <c r="I68" s="356">
        <v>10.86</v>
      </c>
      <c r="J68" s="357">
        <v>12.82</v>
      </c>
      <c r="K68" s="747"/>
    </row>
    <row r="69" spans="2:11" ht="15" customHeight="1">
      <c r="B69" s="518"/>
      <c r="C69" s="511"/>
      <c r="D69" s="1794"/>
      <c r="E69" s="511" t="s">
        <v>509</v>
      </c>
      <c r="F69" s="519" t="s">
        <v>738</v>
      </c>
      <c r="G69" s="356"/>
      <c r="H69" s="357"/>
      <c r="I69" s="356"/>
      <c r="J69" s="357"/>
      <c r="K69" s="747"/>
    </row>
    <row r="70" spans="2:11" ht="15" customHeight="1">
      <c r="B70" s="518"/>
      <c r="C70" s="511"/>
      <c r="D70" s="1794"/>
      <c r="E70" s="511" t="s">
        <v>510</v>
      </c>
      <c r="F70" s="519" t="s">
        <v>738</v>
      </c>
      <c r="G70" s="356"/>
      <c r="H70" s="357"/>
      <c r="I70" s="356"/>
      <c r="J70" s="357"/>
      <c r="K70" s="747"/>
    </row>
    <row r="71" spans="2:11" ht="15" customHeight="1" thickBot="1">
      <c r="B71" s="1795"/>
      <c r="C71" s="1796"/>
      <c r="D71" s="1796"/>
      <c r="E71" s="1796"/>
      <c r="F71" s="358"/>
      <c r="G71" s="524"/>
      <c r="H71" s="525"/>
      <c r="I71" s="524"/>
      <c r="J71" s="525"/>
    </row>
    <row r="72" spans="2:11" ht="15" customHeight="1">
      <c r="B72" s="526"/>
      <c r="C72" s="1797" t="s">
        <v>524</v>
      </c>
      <c r="D72" s="1797"/>
      <c r="E72" s="527"/>
      <c r="F72" s="528"/>
      <c r="G72" s="520"/>
      <c r="H72" s="521"/>
      <c r="I72" s="520"/>
      <c r="J72" s="521"/>
    </row>
    <row r="73" spans="2:11" ht="15" customHeight="1">
      <c r="B73" s="518"/>
      <c r="C73" s="511"/>
      <c r="D73" s="1794" t="s">
        <v>224</v>
      </c>
      <c r="E73" s="511"/>
      <c r="F73" s="519"/>
      <c r="G73" s="520"/>
      <c r="H73" s="521"/>
      <c r="I73" s="520"/>
      <c r="J73" s="521"/>
    </row>
    <row r="74" spans="2:11" ht="15" customHeight="1">
      <c r="B74" s="518"/>
      <c r="C74" s="511"/>
      <c r="D74" s="511"/>
      <c r="E74" s="511" t="s">
        <v>525</v>
      </c>
      <c r="F74" s="519" t="s">
        <v>177</v>
      </c>
      <c r="G74" s="356">
        <v>41.59</v>
      </c>
      <c r="H74" s="357">
        <v>49.908000000000001</v>
      </c>
      <c r="I74" s="356">
        <v>23.76</v>
      </c>
      <c r="J74" s="357">
        <v>26.88</v>
      </c>
      <c r="K74" s="747"/>
    </row>
    <row r="75" spans="2:11" ht="15" customHeight="1">
      <c r="B75" s="518"/>
      <c r="C75" s="511"/>
      <c r="D75" s="1794"/>
      <c r="E75" s="511" t="s">
        <v>526</v>
      </c>
      <c r="F75" s="519" t="s">
        <v>177</v>
      </c>
      <c r="G75" s="356"/>
      <c r="H75" s="357"/>
      <c r="I75" s="356">
        <v>29.82</v>
      </c>
      <c r="J75" s="357">
        <v>33.67</v>
      </c>
      <c r="K75" s="747"/>
    </row>
    <row r="76" spans="2:11" ht="15" customHeight="1">
      <c r="B76" s="518"/>
      <c r="C76" s="511"/>
      <c r="D76" s="1794"/>
      <c r="E76" s="511" t="s">
        <v>527</v>
      </c>
      <c r="F76" s="519" t="s">
        <v>177</v>
      </c>
      <c r="G76" s="356">
        <v>55.8</v>
      </c>
      <c r="H76" s="357">
        <v>66.959999999999994</v>
      </c>
      <c r="I76" s="356">
        <v>36.97</v>
      </c>
      <c r="J76" s="357">
        <v>41.55</v>
      </c>
      <c r="K76" s="747"/>
    </row>
    <row r="77" spans="2:11" ht="15" customHeight="1">
      <c r="B77" s="518"/>
      <c r="C77" s="511"/>
      <c r="D77" s="1794"/>
      <c r="E77" s="511" t="s">
        <v>528</v>
      </c>
      <c r="F77" s="519" t="s">
        <v>177</v>
      </c>
      <c r="G77" s="356"/>
      <c r="H77" s="357"/>
      <c r="I77" s="356">
        <v>46.81</v>
      </c>
      <c r="J77" s="357">
        <v>52.49</v>
      </c>
      <c r="K77" s="747"/>
    </row>
    <row r="78" spans="2:11" ht="15" customHeight="1">
      <c r="B78" s="518"/>
      <c r="C78" s="511"/>
      <c r="D78" s="1794"/>
      <c r="E78" s="511"/>
      <c r="F78" s="519"/>
      <c r="G78" s="520"/>
      <c r="H78" s="521"/>
      <c r="I78" s="520"/>
      <c r="J78" s="521"/>
    </row>
    <row r="79" spans="2:11" ht="15" customHeight="1">
      <c r="B79" s="518"/>
      <c r="C79" s="511"/>
      <c r="D79" s="1794" t="s">
        <v>739</v>
      </c>
      <c r="E79" s="511"/>
      <c r="F79" s="519"/>
      <c r="G79" s="520"/>
      <c r="H79" s="521"/>
      <c r="I79" s="520"/>
      <c r="J79" s="521"/>
    </row>
    <row r="80" spans="2:11" ht="15" customHeight="1">
      <c r="B80" s="518"/>
      <c r="C80" s="511"/>
      <c r="D80" s="511"/>
      <c r="E80" s="511" t="s">
        <v>529</v>
      </c>
      <c r="F80" s="519" t="s">
        <v>738</v>
      </c>
      <c r="G80" s="356"/>
      <c r="H80" s="357"/>
      <c r="I80" s="356">
        <v>1.99</v>
      </c>
      <c r="J80" s="357">
        <v>2.61</v>
      </c>
      <c r="K80" s="747"/>
    </row>
    <row r="81" spans="2:11" ht="15" customHeight="1">
      <c r="B81" s="518"/>
      <c r="C81" s="511"/>
      <c r="D81" s="511"/>
      <c r="E81" s="511" t="s">
        <v>530</v>
      </c>
      <c r="F81" s="519" t="s">
        <v>738</v>
      </c>
      <c r="G81" s="356"/>
      <c r="H81" s="357"/>
      <c r="I81" s="356">
        <v>39.15</v>
      </c>
      <c r="J81" s="357">
        <v>45.36</v>
      </c>
      <c r="K81" s="747"/>
    </row>
    <row r="82" spans="2:11" ht="15" customHeight="1">
      <c r="B82" s="518"/>
      <c r="C82" s="511"/>
      <c r="D82" s="1794"/>
      <c r="E82" s="511" t="s">
        <v>531</v>
      </c>
      <c r="F82" s="519" t="s">
        <v>738</v>
      </c>
      <c r="G82" s="356"/>
      <c r="H82" s="357"/>
      <c r="I82" s="356">
        <v>2.74</v>
      </c>
      <c r="J82" s="357">
        <v>3.61</v>
      </c>
      <c r="K82" s="747"/>
    </row>
    <row r="83" spans="2:11" ht="15" customHeight="1">
      <c r="B83" s="518"/>
      <c r="C83" s="511"/>
      <c r="D83" s="1794"/>
      <c r="E83" s="511" t="s">
        <v>532</v>
      </c>
      <c r="F83" s="519" t="s">
        <v>738</v>
      </c>
      <c r="G83" s="356"/>
      <c r="H83" s="357"/>
      <c r="I83" s="356">
        <v>64.959999999999994</v>
      </c>
      <c r="J83" s="357">
        <v>74.53</v>
      </c>
      <c r="K83" s="747"/>
    </row>
    <row r="84" spans="2:11" ht="15" customHeight="1">
      <c r="B84" s="518"/>
      <c r="C84" s="511"/>
      <c r="D84" s="511"/>
      <c r="E84" s="511"/>
      <c r="F84" s="519"/>
      <c r="G84" s="520"/>
      <c r="H84" s="521"/>
      <c r="I84" s="520"/>
      <c r="J84" s="521"/>
    </row>
    <row r="85" spans="2:11" ht="15" customHeight="1">
      <c r="B85" s="510"/>
      <c r="C85" s="511"/>
      <c r="D85" s="1794" t="s">
        <v>763</v>
      </c>
      <c r="E85" s="511"/>
      <c r="F85" s="519"/>
      <c r="G85" s="520"/>
      <c r="H85" s="521"/>
      <c r="I85" s="520"/>
      <c r="J85" s="521"/>
    </row>
    <row r="86" spans="2:11" ht="15" customHeight="1">
      <c r="B86" s="510"/>
      <c r="C86" s="511"/>
      <c r="D86" s="1794"/>
      <c r="E86" s="511" t="s">
        <v>413</v>
      </c>
      <c r="F86" s="519" t="s">
        <v>177</v>
      </c>
      <c r="G86" s="356">
        <v>148.69</v>
      </c>
      <c r="H86" s="357">
        <v>178.428</v>
      </c>
      <c r="I86" s="356">
        <v>152.88999999999999</v>
      </c>
      <c r="J86" s="357">
        <v>173.04</v>
      </c>
      <c r="K86" s="747"/>
    </row>
    <row r="87" spans="2:11" ht="15" customHeight="1">
      <c r="B87" s="510"/>
      <c r="C87" s="511"/>
      <c r="D87" s="1794"/>
      <c r="E87" s="511" t="s">
        <v>414</v>
      </c>
      <c r="F87" s="519" t="s">
        <v>177</v>
      </c>
      <c r="G87" s="356"/>
      <c r="H87" s="357"/>
      <c r="I87" s="356">
        <v>152.88999999999999</v>
      </c>
      <c r="J87" s="357">
        <v>152.88999999999999</v>
      </c>
      <c r="K87" s="747"/>
    </row>
    <row r="88" spans="2:11" ht="15" customHeight="1">
      <c r="B88" s="510"/>
      <c r="C88" s="511"/>
      <c r="D88" s="1794"/>
      <c r="E88" s="511" t="s">
        <v>415</v>
      </c>
      <c r="F88" s="519" t="s">
        <v>177</v>
      </c>
      <c r="G88" s="356"/>
      <c r="H88" s="357"/>
      <c r="I88" s="356">
        <v>152.88999999999999</v>
      </c>
      <c r="J88" s="357">
        <v>173.42</v>
      </c>
      <c r="K88" s="747"/>
    </row>
    <row r="89" spans="2:11" ht="15" customHeight="1">
      <c r="B89" s="510"/>
      <c r="C89" s="511"/>
      <c r="D89" s="1794"/>
      <c r="E89" s="511" t="s">
        <v>537</v>
      </c>
      <c r="F89" s="519" t="s">
        <v>177</v>
      </c>
      <c r="G89" s="356">
        <v>440.09</v>
      </c>
      <c r="H89" s="357">
        <v>528.10799999999995</v>
      </c>
      <c r="I89" s="356">
        <v>444.45</v>
      </c>
      <c r="J89" s="357"/>
      <c r="K89" s="747"/>
    </row>
    <row r="90" spans="2:11" ht="15" customHeight="1">
      <c r="B90" s="510"/>
      <c r="C90" s="511"/>
      <c r="D90" s="1794"/>
      <c r="E90" s="511" t="s">
        <v>425</v>
      </c>
      <c r="F90" s="519" t="s">
        <v>177</v>
      </c>
      <c r="G90" s="356"/>
      <c r="H90" s="357"/>
      <c r="I90" s="356">
        <v>444.45</v>
      </c>
      <c r="J90" s="357"/>
      <c r="K90" s="747"/>
    </row>
    <row r="91" spans="2:11" ht="15" customHeight="1">
      <c r="B91" s="510"/>
      <c r="C91" s="511"/>
      <c r="D91" s="1794"/>
      <c r="E91" s="511" t="s">
        <v>426</v>
      </c>
      <c r="F91" s="519" t="s">
        <v>177</v>
      </c>
      <c r="G91" s="356"/>
      <c r="H91" s="357"/>
      <c r="I91" s="356">
        <v>444.45</v>
      </c>
      <c r="J91" s="357"/>
      <c r="K91" s="747"/>
    </row>
    <row r="92" spans="2:11" ht="15" customHeight="1">
      <c r="B92" s="510"/>
      <c r="C92" s="511"/>
      <c r="D92" s="511"/>
      <c r="E92" s="511"/>
      <c r="F92" s="519"/>
      <c r="G92" s="520"/>
      <c r="H92" s="521"/>
      <c r="I92" s="520"/>
      <c r="J92" s="521"/>
    </row>
    <row r="93" spans="2:11" ht="15" customHeight="1">
      <c r="B93" s="510"/>
      <c r="C93" s="511"/>
      <c r="D93" s="1794" t="s">
        <v>68</v>
      </c>
      <c r="E93" s="511"/>
      <c r="F93" s="519"/>
      <c r="G93" s="520"/>
      <c r="H93" s="521"/>
      <c r="I93" s="520"/>
      <c r="J93" s="521"/>
    </row>
    <row r="94" spans="2:11" ht="15" customHeight="1">
      <c r="B94" s="510"/>
      <c r="C94" s="511"/>
      <c r="D94" s="511"/>
      <c r="E94" s="511" t="s">
        <v>387</v>
      </c>
      <c r="F94" s="519" t="s">
        <v>177</v>
      </c>
      <c r="G94" s="356"/>
      <c r="H94" s="357"/>
      <c r="I94" s="356">
        <v>1020.97</v>
      </c>
      <c r="J94" s="357">
        <v>1134.52</v>
      </c>
      <c r="K94" s="747"/>
    </row>
    <row r="95" spans="2:11" ht="15" customHeight="1">
      <c r="B95" s="510"/>
      <c r="C95" s="511"/>
      <c r="D95" s="1794"/>
      <c r="E95" s="511"/>
      <c r="F95" s="519"/>
      <c r="G95" s="520"/>
      <c r="H95" s="521"/>
      <c r="I95" s="520"/>
      <c r="J95" s="521"/>
    </row>
    <row r="96" spans="2:11" ht="15" customHeight="1">
      <c r="B96" s="510"/>
      <c r="C96" s="511"/>
      <c r="D96" s="1794" t="s">
        <v>631</v>
      </c>
      <c r="E96" s="511"/>
      <c r="F96" s="519"/>
      <c r="G96" s="520"/>
      <c r="H96" s="521"/>
      <c r="I96" s="520"/>
      <c r="J96" s="521"/>
    </row>
    <row r="97" spans="2:11" ht="15" customHeight="1">
      <c r="B97" s="510"/>
      <c r="C97" s="511"/>
      <c r="D97" s="1794"/>
      <c r="E97" s="527" t="s">
        <v>388</v>
      </c>
      <c r="F97" s="519" t="s">
        <v>738</v>
      </c>
      <c r="G97" s="356">
        <v>74.239999999999995</v>
      </c>
      <c r="H97" s="357">
        <v>89.087999999999994</v>
      </c>
      <c r="I97" s="356">
        <v>59.25</v>
      </c>
      <c r="J97" s="357">
        <v>66.58</v>
      </c>
      <c r="K97" s="747"/>
    </row>
    <row r="98" spans="2:11" ht="15" customHeight="1">
      <c r="B98" s="510"/>
      <c r="C98" s="511"/>
      <c r="D98" s="1794"/>
      <c r="E98" s="527" t="s">
        <v>389</v>
      </c>
      <c r="F98" s="519" t="s">
        <v>738</v>
      </c>
      <c r="G98" s="356">
        <v>51.24</v>
      </c>
      <c r="H98" s="357">
        <v>61.488</v>
      </c>
      <c r="I98" s="356">
        <v>44.23</v>
      </c>
      <c r="J98" s="357">
        <v>51.4</v>
      </c>
      <c r="K98" s="747"/>
    </row>
    <row r="99" spans="2:11" ht="15" customHeight="1">
      <c r="B99" s="510"/>
      <c r="C99" s="511"/>
      <c r="D99" s="1794"/>
      <c r="E99" s="527" t="s">
        <v>390</v>
      </c>
      <c r="F99" s="519" t="s">
        <v>738</v>
      </c>
      <c r="G99" s="356"/>
      <c r="H99" s="357"/>
      <c r="I99" s="356">
        <v>29.05</v>
      </c>
      <c r="J99" s="357">
        <v>33.17</v>
      </c>
      <c r="K99" s="747"/>
    </row>
    <row r="100" spans="2:11" ht="15" customHeight="1">
      <c r="B100" s="510"/>
      <c r="C100" s="511"/>
      <c r="D100" s="1794"/>
      <c r="E100" s="527" t="s">
        <v>391</v>
      </c>
      <c r="F100" s="519" t="s">
        <v>738</v>
      </c>
      <c r="G100" s="356"/>
      <c r="H100" s="357"/>
      <c r="I100" s="356"/>
      <c r="J100" s="357"/>
      <c r="K100" s="747"/>
    </row>
    <row r="101" spans="2:11" ht="15" customHeight="1">
      <c r="B101" s="510"/>
      <c r="C101" s="511"/>
      <c r="D101" s="1794"/>
      <c r="E101" s="527" t="s">
        <v>392</v>
      </c>
      <c r="F101" s="519" t="s">
        <v>738</v>
      </c>
      <c r="G101" s="356"/>
      <c r="H101" s="357"/>
      <c r="I101" s="356"/>
      <c r="J101" s="357"/>
      <c r="K101" s="747"/>
    </row>
    <row r="102" spans="2:11" ht="15" customHeight="1">
      <c r="B102" s="510"/>
      <c r="C102" s="511"/>
      <c r="D102" s="1794"/>
      <c r="E102" s="527" t="s">
        <v>393</v>
      </c>
      <c r="F102" s="519" t="s">
        <v>738</v>
      </c>
      <c r="G102" s="522"/>
      <c r="H102" s="523"/>
      <c r="I102" s="522"/>
      <c r="J102" s="523"/>
    </row>
    <row r="103" spans="2:11" ht="15" customHeight="1">
      <c r="B103" s="510"/>
      <c r="C103" s="511"/>
      <c r="D103" s="1794"/>
      <c r="E103" s="527" t="s">
        <v>394</v>
      </c>
      <c r="F103" s="519" t="s">
        <v>738</v>
      </c>
      <c r="G103" s="356">
        <v>77.239999999999995</v>
      </c>
      <c r="H103" s="357">
        <v>92.687999999999988</v>
      </c>
      <c r="I103" s="356">
        <v>77.239999999999995</v>
      </c>
      <c r="J103" s="357">
        <v>88.11</v>
      </c>
      <c r="K103" s="747"/>
    </row>
    <row r="104" spans="2:11" ht="15" customHeight="1">
      <c r="B104" s="510"/>
      <c r="C104" s="511"/>
      <c r="D104" s="1794"/>
      <c r="E104" s="527" t="s">
        <v>395</v>
      </c>
      <c r="F104" s="519" t="s">
        <v>738</v>
      </c>
      <c r="G104" s="522"/>
      <c r="H104" s="523"/>
      <c r="I104" s="522"/>
      <c r="J104" s="523"/>
    </row>
    <row r="105" spans="2:11" ht="15" customHeight="1">
      <c r="B105" s="510"/>
      <c r="C105" s="511"/>
      <c r="D105" s="1794"/>
      <c r="E105" s="511"/>
      <c r="F105" s="519"/>
      <c r="G105" s="520"/>
      <c r="H105" s="521"/>
      <c r="I105" s="520"/>
      <c r="J105" s="521"/>
    </row>
    <row r="106" spans="2:11" ht="15" customHeight="1">
      <c r="B106" s="510"/>
      <c r="C106" s="511"/>
      <c r="D106" s="1794" t="s">
        <v>506</v>
      </c>
      <c r="E106" s="511"/>
      <c r="F106" s="519"/>
      <c r="G106" s="520"/>
      <c r="H106" s="521"/>
      <c r="I106" s="520"/>
      <c r="J106" s="521"/>
    </row>
    <row r="107" spans="2:11" ht="15" customHeight="1">
      <c r="B107" s="510"/>
      <c r="C107" s="511"/>
      <c r="D107" s="511"/>
      <c r="E107" s="527" t="s">
        <v>396</v>
      </c>
      <c r="F107" s="519" t="s">
        <v>738</v>
      </c>
      <c r="G107" s="356"/>
      <c r="H107" s="357"/>
      <c r="I107" s="356"/>
      <c r="J107" s="357"/>
      <c r="K107" s="747"/>
    </row>
    <row r="108" spans="2:11" ht="15" customHeight="1">
      <c r="B108" s="510"/>
      <c r="C108" s="511"/>
      <c r="D108" s="511"/>
      <c r="E108" s="527" t="s">
        <v>397</v>
      </c>
      <c r="F108" s="519" t="s">
        <v>738</v>
      </c>
      <c r="G108" s="356">
        <v>228.25</v>
      </c>
      <c r="H108" s="357">
        <v>273.89999999999998</v>
      </c>
      <c r="I108" s="356">
        <v>223.81</v>
      </c>
      <c r="J108" s="357">
        <v>262.73</v>
      </c>
      <c r="K108" s="747"/>
    </row>
    <row r="109" spans="2:11" ht="15" customHeight="1">
      <c r="B109" s="510"/>
      <c r="C109" s="511"/>
      <c r="D109" s="511"/>
      <c r="E109" s="511" t="s">
        <v>398</v>
      </c>
      <c r="F109" s="519" t="s">
        <v>738</v>
      </c>
      <c r="G109" s="522"/>
      <c r="H109" s="523"/>
      <c r="I109" s="522"/>
      <c r="J109" s="523"/>
      <c r="K109" s="747"/>
    </row>
    <row r="110" spans="2:11" ht="15" customHeight="1">
      <c r="B110" s="510"/>
      <c r="C110" s="511"/>
      <c r="D110" s="511"/>
      <c r="E110" s="527" t="s">
        <v>589</v>
      </c>
      <c r="F110" s="519" t="s">
        <v>738</v>
      </c>
      <c r="G110" s="356">
        <v>411.49</v>
      </c>
      <c r="H110" s="357">
        <v>493.78800000000001</v>
      </c>
      <c r="I110" s="356">
        <v>399.61</v>
      </c>
      <c r="J110" s="357">
        <v>457.92</v>
      </c>
      <c r="K110" s="747"/>
    </row>
    <row r="111" spans="2:11" ht="15" customHeight="1">
      <c r="B111" s="510"/>
      <c r="C111" s="511"/>
      <c r="D111" s="1794"/>
      <c r="E111" s="511" t="s">
        <v>590</v>
      </c>
      <c r="F111" s="519" t="s">
        <v>738</v>
      </c>
      <c r="G111" s="522"/>
      <c r="H111" s="523"/>
      <c r="I111" s="522"/>
      <c r="J111" s="523"/>
    </row>
    <row r="112" spans="2:11" ht="15" customHeight="1" thickBot="1">
      <c r="B112" s="1795"/>
      <c r="C112" s="1796"/>
      <c r="D112" s="1796"/>
      <c r="E112" s="1796"/>
      <c r="F112" s="358"/>
      <c r="G112" s="529"/>
      <c r="H112" s="530"/>
      <c r="I112" s="529"/>
      <c r="J112" s="530"/>
    </row>
    <row r="113" spans="2:11" ht="15" customHeight="1">
      <c r="B113" s="526"/>
      <c r="C113" s="1797" t="s">
        <v>591</v>
      </c>
      <c r="D113" s="1797"/>
      <c r="E113" s="527"/>
      <c r="F113" s="528"/>
      <c r="G113" s="520"/>
      <c r="H113" s="521"/>
      <c r="I113" s="520"/>
      <c r="J113" s="521"/>
    </row>
    <row r="114" spans="2:11" ht="15" customHeight="1">
      <c r="B114" s="510"/>
      <c r="C114" s="511"/>
      <c r="D114" s="1794" t="s">
        <v>224</v>
      </c>
      <c r="E114" s="511"/>
      <c r="F114" s="519"/>
      <c r="G114" s="520"/>
      <c r="H114" s="521"/>
      <c r="I114" s="520"/>
      <c r="J114" s="521"/>
    </row>
    <row r="115" spans="2:11" ht="15" customHeight="1">
      <c r="B115" s="510"/>
      <c r="C115" s="511"/>
      <c r="D115" s="1794"/>
      <c r="E115" s="511" t="s">
        <v>592</v>
      </c>
      <c r="F115" s="519" t="s">
        <v>177</v>
      </c>
      <c r="G115" s="356">
        <v>74.69</v>
      </c>
      <c r="H115" s="357">
        <v>89.628</v>
      </c>
      <c r="I115" s="356">
        <v>52.85</v>
      </c>
      <c r="J115" s="357">
        <v>52.85</v>
      </c>
      <c r="K115" s="747"/>
    </row>
    <row r="116" spans="2:11" ht="15" customHeight="1">
      <c r="B116" s="510"/>
      <c r="C116" s="511"/>
      <c r="D116" s="1794"/>
      <c r="E116" s="511" t="s">
        <v>593</v>
      </c>
      <c r="F116" s="519" t="s">
        <v>177</v>
      </c>
      <c r="G116" s="356">
        <v>637</v>
      </c>
      <c r="H116" s="357">
        <v>764.4</v>
      </c>
      <c r="I116" s="356">
        <v>47.77</v>
      </c>
      <c r="J116" s="357">
        <v>53.51</v>
      </c>
      <c r="K116" s="747"/>
    </row>
    <row r="117" spans="2:11" ht="15" customHeight="1">
      <c r="B117" s="510"/>
      <c r="C117" s="511"/>
      <c r="D117" s="1794"/>
      <c r="E117" s="527"/>
      <c r="F117" s="519"/>
      <c r="G117" s="520"/>
      <c r="H117" s="521"/>
      <c r="I117" s="520"/>
      <c r="J117" s="521"/>
    </row>
    <row r="118" spans="2:11" ht="15" customHeight="1">
      <c r="B118" s="510"/>
      <c r="C118" s="511"/>
      <c r="D118" s="1794" t="s">
        <v>739</v>
      </c>
      <c r="E118" s="511"/>
      <c r="F118" s="528"/>
      <c r="G118" s="520"/>
      <c r="H118" s="521"/>
      <c r="I118" s="520"/>
      <c r="J118" s="521"/>
    </row>
    <row r="119" spans="2:11" ht="15" customHeight="1">
      <c r="B119" s="510"/>
      <c r="C119" s="511"/>
      <c r="D119" s="1794"/>
      <c r="E119" s="511" t="s">
        <v>594</v>
      </c>
      <c r="F119" s="519" t="s">
        <v>738</v>
      </c>
      <c r="G119" s="356"/>
      <c r="H119" s="357"/>
      <c r="I119" s="356">
        <v>2.61</v>
      </c>
      <c r="J119" s="357">
        <v>3.64</v>
      </c>
      <c r="K119" s="747"/>
    </row>
    <row r="120" spans="2:11" ht="15" customHeight="1">
      <c r="B120" s="510"/>
      <c r="C120" s="511"/>
      <c r="D120" s="1794"/>
      <c r="E120" s="511" t="s">
        <v>595</v>
      </c>
      <c r="F120" s="519" t="s">
        <v>738</v>
      </c>
      <c r="G120" s="356"/>
      <c r="H120" s="357"/>
      <c r="I120" s="356">
        <v>86.15</v>
      </c>
      <c r="J120" s="357">
        <v>98.62</v>
      </c>
      <c r="K120" s="747"/>
    </row>
    <row r="121" spans="2:11" ht="15" customHeight="1">
      <c r="B121" s="510"/>
      <c r="C121" s="511"/>
      <c r="D121" s="1794"/>
      <c r="E121" s="527" t="s">
        <v>438</v>
      </c>
      <c r="F121" s="519" t="s">
        <v>738</v>
      </c>
      <c r="G121" s="356"/>
      <c r="H121" s="357"/>
      <c r="I121" s="356">
        <v>2.98</v>
      </c>
      <c r="J121" s="357">
        <v>3.8</v>
      </c>
      <c r="K121" s="747"/>
    </row>
    <row r="122" spans="2:11" ht="15" customHeight="1">
      <c r="B122" s="510"/>
      <c r="C122" s="511"/>
      <c r="D122" s="511"/>
      <c r="E122" s="511"/>
      <c r="F122" s="519"/>
      <c r="G122" s="520"/>
      <c r="H122" s="521"/>
      <c r="I122" s="520"/>
      <c r="J122" s="521"/>
    </row>
    <row r="123" spans="2:11" ht="15" customHeight="1">
      <c r="B123" s="510"/>
      <c r="C123" s="511"/>
      <c r="D123" s="1794" t="s">
        <v>763</v>
      </c>
      <c r="E123" s="511"/>
      <c r="F123" s="528"/>
      <c r="G123" s="520"/>
      <c r="H123" s="521"/>
      <c r="I123" s="520"/>
      <c r="J123" s="521"/>
    </row>
    <row r="124" spans="2:11" ht="15" customHeight="1">
      <c r="B124" s="510"/>
      <c r="C124" s="511"/>
      <c r="D124" s="511"/>
      <c r="E124" s="511" t="s">
        <v>704</v>
      </c>
      <c r="F124" s="519" t="s">
        <v>177</v>
      </c>
      <c r="G124" s="356">
        <v>1170.8800000000001</v>
      </c>
      <c r="H124" s="357">
        <v>1405.056</v>
      </c>
      <c r="I124" s="356">
        <v>1191.4000000000001</v>
      </c>
      <c r="J124" s="357">
        <v>0</v>
      </c>
      <c r="K124" s="747"/>
    </row>
    <row r="125" spans="2:11" ht="15" customHeight="1">
      <c r="B125" s="510"/>
      <c r="C125" s="511"/>
      <c r="D125" s="511"/>
      <c r="E125" s="511" t="s">
        <v>703</v>
      </c>
      <c r="F125" s="519" t="s">
        <v>177</v>
      </c>
      <c r="G125" s="356"/>
      <c r="H125" s="357"/>
      <c r="I125" s="356">
        <v>1191.4000000000001</v>
      </c>
      <c r="J125" s="357">
        <v>1323.44</v>
      </c>
      <c r="K125" s="747"/>
    </row>
    <row r="126" spans="2:11" ht="15" customHeight="1">
      <c r="B126" s="510"/>
      <c r="C126" s="511"/>
      <c r="D126" s="511"/>
      <c r="E126" s="511" t="s">
        <v>667</v>
      </c>
      <c r="F126" s="519" t="s">
        <v>177</v>
      </c>
      <c r="G126" s="356"/>
      <c r="H126" s="357"/>
      <c r="I126" s="356"/>
      <c r="J126" s="357"/>
      <c r="K126" s="747"/>
    </row>
    <row r="127" spans="2:11" ht="15" customHeight="1">
      <c r="B127" s="510"/>
      <c r="C127" s="511"/>
      <c r="D127" s="511"/>
      <c r="E127" s="511"/>
      <c r="F127" s="515"/>
      <c r="G127" s="520"/>
      <c r="H127" s="521"/>
      <c r="I127" s="520"/>
      <c r="J127" s="521"/>
    </row>
    <row r="128" spans="2:11" ht="15" customHeight="1">
      <c r="B128" s="510"/>
      <c r="C128" s="511"/>
      <c r="D128" s="1794" t="s">
        <v>68</v>
      </c>
      <c r="E128" s="511"/>
      <c r="F128" s="515"/>
      <c r="G128" s="520"/>
      <c r="H128" s="521"/>
      <c r="I128" s="520"/>
      <c r="J128" s="521"/>
    </row>
    <row r="129" spans="2:11" ht="15" customHeight="1">
      <c r="B129" s="510"/>
      <c r="C129" s="511"/>
      <c r="D129" s="511"/>
      <c r="E129" s="527" t="s">
        <v>668</v>
      </c>
      <c r="F129" s="519" t="s">
        <v>177</v>
      </c>
      <c r="G129" s="356"/>
      <c r="H129" s="357"/>
      <c r="I129" s="356"/>
      <c r="J129" s="357"/>
      <c r="K129" s="747"/>
    </row>
    <row r="130" spans="2:11" ht="15" customHeight="1">
      <c r="B130" s="510"/>
      <c r="C130" s="511"/>
      <c r="D130" s="511"/>
      <c r="E130" s="511"/>
      <c r="F130" s="515"/>
      <c r="G130" s="520"/>
      <c r="H130" s="521"/>
      <c r="I130" s="520"/>
      <c r="J130" s="521"/>
    </row>
    <row r="131" spans="2:11" ht="15" customHeight="1">
      <c r="B131" s="510"/>
      <c r="C131" s="511"/>
      <c r="D131" s="1794" t="s">
        <v>631</v>
      </c>
      <c r="E131" s="511"/>
      <c r="F131" s="515"/>
      <c r="G131" s="520"/>
      <c r="H131" s="521"/>
      <c r="I131" s="520"/>
      <c r="J131" s="521"/>
    </row>
    <row r="132" spans="2:11" ht="15" customHeight="1">
      <c r="B132" s="510"/>
      <c r="C132" s="511"/>
      <c r="D132" s="511"/>
      <c r="E132" s="511" t="s">
        <v>669</v>
      </c>
      <c r="F132" s="519" t="s">
        <v>738</v>
      </c>
      <c r="G132" s="356">
        <v>120.95</v>
      </c>
      <c r="H132" s="357">
        <v>145.13999999999999</v>
      </c>
      <c r="I132" s="356">
        <v>131.08000000000001</v>
      </c>
      <c r="J132" s="357">
        <v>146.88</v>
      </c>
      <c r="K132" s="747"/>
    </row>
    <row r="133" spans="2:11" ht="15" customHeight="1">
      <c r="B133" s="510"/>
      <c r="C133" s="511"/>
      <c r="D133" s="511"/>
      <c r="E133" s="511" t="s">
        <v>670</v>
      </c>
      <c r="F133" s="519" t="s">
        <v>738</v>
      </c>
      <c r="G133" s="522"/>
      <c r="H133" s="523"/>
      <c r="I133" s="522"/>
      <c r="J133" s="523"/>
    </row>
    <row r="134" spans="2:11" ht="15" customHeight="1">
      <c r="B134" s="510"/>
      <c r="C134" s="511"/>
      <c r="D134" s="511"/>
      <c r="E134" s="511"/>
      <c r="F134" s="515"/>
      <c r="G134" s="520"/>
      <c r="H134" s="521"/>
      <c r="I134" s="520"/>
      <c r="J134" s="521"/>
    </row>
    <row r="135" spans="2:11" ht="15" customHeight="1">
      <c r="B135" s="510"/>
      <c r="C135" s="511"/>
      <c r="D135" s="1794" t="s">
        <v>506</v>
      </c>
      <c r="E135" s="511"/>
      <c r="F135" s="519"/>
      <c r="G135" s="520"/>
      <c r="H135" s="521"/>
      <c r="I135" s="520"/>
      <c r="J135" s="521"/>
    </row>
    <row r="136" spans="2:11" ht="15" customHeight="1">
      <c r="B136" s="510"/>
      <c r="C136" s="511"/>
      <c r="D136" s="511"/>
      <c r="E136" s="527" t="s">
        <v>671</v>
      </c>
      <c r="F136" s="519" t="s">
        <v>738</v>
      </c>
      <c r="G136" s="356">
        <v>975.14</v>
      </c>
      <c r="H136" s="357">
        <v>1170.1679999999999</v>
      </c>
      <c r="I136" s="356">
        <v>1018.69</v>
      </c>
      <c r="J136" s="357">
        <v>1139.95</v>
      </c>
      <c r="K136" s="747"/>
    </row>
    <row r="137" spans="2:11" ht="15" customHeight="1">
      <c r="B137" s="510"/>
      <c r="C137" s="511"/>
      <c r="D137" s="511"/>
      <c r="E137" s="527" t="s">
        <v>672</v>
      </c>
      <c r="F137" s="519" t="s">
        <v>738</v>
      </c>
      <c r="G137" s="522"/>
      <c r="H137" s="523"/>
      <c r="I137" s="522"/>
      <c r="J137" s="523"/>
    </row>
    <row r="138" spans="2:11" ht="15" customHeight="1" thickBot="1">
      <c r="B138" s="1795"/>
      <c r="C138" s="1796"/>
      <c r="D138" s="1796"/>
      <c r="E138" s="1796"/>
      <c r="F138" s="358"/>
      <c r="G138" s="529"/>
      <c r="H138" s="530"/>
      <c r="I138" s="529"/>
      <c r="J138" s="530"/>
    </row>
    <row r="139" spans="2:11" ht="15" customHeight="1">
      <c r="B139" s="526"/>
      <c r="C139" s="1797" t="s">
        <v>677</v>
      </c>
      <c r="D139" s="1797"/>
      <c r="E139" s="527"/>
      <c r="F139" s="528"/>
      <c r="G139" s="520"/>
      <c r="H139" s="521"/>
      <c r="I139" s="520"/>
      <c r="J139" s="521"/>
    </row>
    <row r="140" spans="2:11" ht="15" customHeight="1">
      <c r="B140" s="510"/>
      <c r="C140" s="511"/>
      <c r="D140" s="1794" t="s">
        <v>678</v>
      </c>
      <c r="E140" s="511"/>
      <c r="F140" s="519"/>
      <c r="G140" s="520"/>
      <c r="H140" s="521"/>
      <c r="I140" s="520"/>
      <c r="J140" s="521"/>
    </row>
    <row r="141" spans="2:11" ht="15" customHeight="1">
      <c r="B141" s="510"/>
      <c r="C141" s="511"/>
      <c r="D141" s="511"/>
      <c r="E141" s="527" t="s">
        <v>679</v>
      </c>
      <c r="F141" s="519" t="s">
        <v>738</v>
      </c>
      <c r="G141" s="522"/>
      <c r="H141" s="523"/>
      <c r="I141" s="522"/>
      <c r="J141" s="523"/>
    </row>
    <row r="142" spans="2:11" ht="15" customHeight="1">
      <c r="B142" s="510"/>
      <c r="C142" s="511"/>
      <c r="D142" s="511"/>
      <c r="E142" s="527" t="s">
        <v>848</v>
      </c>
      <c r="F142" s="519" t="s">
        <v>738</v>
      </c>
      <c r="G142" s="522"/>
      <c r="H142" s="523"/>
      <c r="I142" s="522"/>
      <c r="J142" s="523"/>
    </row>
    <row r="143" spans="2:11" ht="15" customHeight="1">
      <c r="B143" s="510"/>
      <c r="C143" s="527"/>
      <c r="D143" s="1794"/>
      <c r="E143" s="511"/>
      <c r="F143" s="519"/>
      <c r="G143" s="520"/>
      <c r="H143" s="521"/>
      <c r="I143" s="520"/>
      <c r="J143" s="521"/>
    </row>
    <row r="144" spans="2:11" ht="15" customHeight="1">
      <c r="B144" s="510"/>
      <c r="C144" s="511"/>
      <c r="D144" s="1794" t="s">
        <v>849</v>
      </c>
      <c r="E144" s="511"/>
      <c r="F144" s="519"/>
      <c r="G144" s="520"/>
      <c r="H144" s="521"/>
      <c r="I144" s="520"/>
      <c r="J144" s="521"/>
    </row>
    <row r="145" spans="2:11" ht="15" customHeight="1">
      <c r="B145" s="510"/>
      <c r="C145" s="511"/>
      <c r="D145" s="511"/>
      <c r="E145" s="527" t="s">
        <v>681</v>
      </c>
      <c r="F145" s="519" t="s">
        <v>738</v>
      </c>
      <c r="G145" s="522"/>
      <c r="H145" s="523"/>
      <c r="I145" s="522"/>
      <c r="J145" s="523"/>
    </row>
    <row r="146" spans="2:11" ht="15" customHeight="1">
      <c r="B146" s="510"/>
      <c r="C146" s="511"/>
      <c r="D146" s="511"/>
      <c r="E146" s="527" t="s">
        <v>682</v>
      </c>
      <c r="F146" s="519" t="s">
        <v>738</v>
      </c>
      <c r="G146" s="522"/>
      <c r="H146" s="523"/>
      <c r="I146" s="522"/>
      <c r="J146" s="523"/>
    </row>
    <row r="147" spans="2:11" ht="15" customHeight="1" thickBot="1">
      <c r="B147" s="1795"/>
      <c r="C147" s="1796"/>
      <c r="D147" s="1796"/>
      <c r="E147" s="1796"/>
      <c r="F147" s="358"/>
      <c r="G147" s="531"/>
      <c r="H147" s="532"/>
      <c r="I147" s="531"/>
      <c r="J147" s="532"/>
    </row>
    <row r="148" spans="2:11" ht="15" customHeight="1" thickBot="1">
      <c r="B148" s="527"/>
      <c r="C148" s="527"/>
      <c r="D148" s="527"/>
      <c r="E148" s="527"/>
      <c r="F148" s="527"/>
      <c r="G148" s="351"/>
      <c r="H148" s="351"/>
      <c r="I148" s="351"/>
      <c r="J148" s="351"/>
    </row>
    <row r="149" spans="2:11" ht="15" customHeight="1">
      <c r="B149" s="533"/>
      <c r="C149" s="1798" t="s">
        <v>683</v>
      </c>
      <c r="D149" s="1798"/>
      <c r="E149" s="534"/>
      <c r="F149" s="535"/>
      <c r="G149" s="536"/>
      <c r="H149" s="537"/>
      <c r="I149" s="536"/>
      <c r="J149" s="537"/>
    </row>
    <row r="150" spans="2:11" ht="15" customHeight="1">
      <c r="B150" s="518"/>
      <c r="C150" s="511"/>
      <c r="D150" s="1794"/>
      <c r="E150" s="1794" t="s">
        <v>80</v>
      </c>
      <c r="F150" s="519"/>
      <c r="G150" s="359"/>
      <c r="H150" s="360"/>
      <c r="I150" s="359"/>
      <c r="J150" s="360"/>
    </row>
    <row r="151" spans="2:11" ht="15" customHeight="1">
      <c r="B151" s="518"/>
      <c r="C151" s="511"/>
      <c r="D151" s="1794"/>
      <c r="E151" s="538" t="s">
        <v>684</v>
      </c>
      <c r="F151" s="519" t="s">
        <v>738</v>
      </c>
      <c r="G151" s="356">
        <v>20.49</v>
      </c>
      <c r="H151" s="357">
        <v>24.587999999999997</v>
      </c>
      <c r="I151" s="356">
        <v>21.37</v>
      </c>
      <c r="J151" s="357">
        <v>24.52</v>
      </c>
      <c r="K151" s="747"/>
    </row>
    <row r="152" spans="2:11" ht="15" customHeight="1">
      <c r="B152" s="518"/>
      <c r="C152" s="511"/>
      <c r="D152" s="1794"/>
      <c r="E152" s="538" t="s">
        <v>685</v>
      </c>
      <c r="F152" s="519" t="s">
        <v>738</v>
      </c>
      <c r="G152" s="356">
        <v>20.49</v>
      </c>
      <c r="H152" s="357">
        <v>24.587999999999997</v>
      </c>
      <c r="I152" s="356">
        <v>21.37</v>
      </c>
      <c r="J152" s="357">
        <v>24.52</v>
      </c>
      <c r="K152" s="747"/>
    </row>
    <row r="153" spans="2:11" ht="15" customHeight="1">
      <c r="B153" s="518"/>
      <c r="C153" s="511"/>
      <c r="D153" s="1794"/>
      <c r="E153" s="1794" t="s">
        <v>497</v>
      </c>
      <c r="F153" s="519"/>
      <c r="G153" s="359"/>
      <c r="H153" s="360"/>
      <c r="I153" s="359"/>
      <c r="J153" s="360"/>
    </row>
    <row r="154" spans="2:11" ht="15" customHeight="1">
      <c r="B154" s="518"/>
      <c r="C154" s="511"/>
      <c r="D154" s="1794"/>
      <c r="E154" s="538" t="s">
        <v>684</v>
      </c>
      <c r="F154" s="519" t="s">
        <v>738</v>
      </c>
      <c r="G154" s="356"/>
      <c r="H154" s="357"/>
      <c r="I154" s="356"/>
      <c r="J154" s="357"/>
      <c r="K154" s="747"/>
    </row>
    <row r="155" spans="2:11" ht="15" customHeight="1" thickBot="1">
      <c r="B155" s="539"/>
      <c r="C155" s="540"/>
      <c r="D155" s="1799"/>
      <c r="E155" s="541" t="s">
        <v>685</v>
      </c>
      <c r="F155" s="542" t="s">
        <v>738</v>
      </c>
      <c r="G155" s="361"/>
      <c r="H155" s="362"/>
      <c r="I155" s="361"/>
      <c r="J155" s="362"/>
      <c r="K155" s="747"/>
    </row>
  </sheetData>
  <mergeCells count="2">
    <mergeCell ref="B7:E9"/>
    <mergeCell ref="F7:F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enableFormatConditionsCalculation="0">
    <tabColor theme="3" tint="0.79998168889431442"/>
  </sheetPr>
  <dimension ref="J3:P10"/>
  <sheetViews>
    <sheetView workbookViewId="0">
      <selection sqref="A1:XFD1048576"/>
    </sheetView>
  </sheetViews>
  <sheetFormatPr defaultColWidth="11.42578125" defaultRowHeight="12.75"/>
  <sheetData>
    <row r="3" spans="10:16" ht="24" customHeight="1">
      <c r="J3" s="1993" t="s">
        <v>1003</v>
      </c>
      <c r="K3" s="1994"/>
      <c r="L3" s="1995"/>
      <c r="N3" s="1993" t="s">
        <v>1004</v>
      </c>
      <c r="O3" s="1994"/>
      <c r="P3" s="1995"/>
    </row>
    <row r="4" spans="10:16">
      <c r="J4" s="1996" t="s">
        <v>1005</v>
      </c>
      <c r="K4" s="1997"/>
      <c r="L4" s="1998"/>
      <c r="N4" s="1999" t="s">
        <v>1006</v>
      </c>
      <c r="O4" s="2000"/>
      <c r="P4" s="2001"/>
    </row>
    <row r="5" spans="10:16">
      <c r="J5" s="1311" t="s">
        <v>244</v>
      </c>
      <c r="K5" s="1315"/>
      <c r="L5" s="21"/>
      <c r="N5" s="14"/>
      <c r="O5" s="717" t="s">
        <v>14</v>
      </c>
      <c r="P5" s="716"/>
    </row>
    <row r="6" spans="10:16">
      <c r="J6" s="22" t="s">
        <v>242</v>
      </c>
      <c r="K6" s="1312"/>
      <c r="L6" s="23"/>
      <c r="N6" s="1313" t="s">
        <v>239</v>
      </c>
      <c r="O6" s="1316"/>
      <c r="P6" s="1314"/>
    </row>
    <row r="7" spans="10:16">
      <c r="J7" s="7"/>
      <c r="K7" s="7"/>
      <c r="L7" s="7"/>
      <c r="N7" s="222" t="s">
        <v>373</v>
      </c>
      <c r="O7" s="1317"/>
      <c r="P7" s="21"/>
    </row>
    <row r="8" spans="10:16">
      <c r="N8" s="222" t="s">
        <v>238</v>
      </c>
      <c r="O8" s="1317"/>
      <c r="P8" s="21"/>
    </row>
    <row r="9" spans="10:16">
      <c r="N9" s="222" t="s">
        <v>244</v>
      </c>
      <c r="O9" s="1317"/>
      <c r="P9" s="21"/>
    </row>
    <row r="10" spans="10:16">
      <c r="N10" s="225" t="s">
        <v>491</v>
      </c>
      <c r="O10" s="1318"/>
      <c r="P10" s="23"/>
    </row>
  </sheetData>
  <mergeCells count="4">
    <mergeCell ref="J3:L3"/>
    <mergeCell ref="N3:P3"/>
    <mergeCell ref="J4:L4"/>
    <mergeCell ref="N4:P4"/>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enableFormatConditionsCalculation="0">
    <tabColor rgb="FFC1DFFF"/>
  </sheetPr>
  <dimension ref="A1:AL27"/>
  <sheetViews>
    <sheetView workbookViewId="0">
      <selection sqref="A1:XFD1048576"/>
    </sheetView>
  </sheetViews>
  <sheetFormatPr defaultColWidth="8.85546875" defaultRowHeight="12.75"/>
  <cols>
    <col min="1" max="2" width="8.85546875" customWidth="1"/>
    <col min="3" max="3" width="19" customWidth="1"/>
  </cols>
  <sheetData>
    <row r="1" spans="1:38">
      <c r="A1" s="1342" t="s">
        <v>16</v>
      </c>
      <c r="F1" s="230" t="s">
        <v>1019</v>
      </c>
      <c r="H1" t="s">
        <v>1055</v>
      </c>
    </row>
    <row r="3" spans="1:38">
      <c r="A3" s="1342" t="s">
        <v>29</v>
      </c>
    </row>
    <row r="5" spans="1:38">
      <c r="C5" s="363" t="s">
        <v>409</v>
      </c>
      <c r="D5" s="364"/>
      <c r="E5" s="364"/>
      <c r="F5" s="364"/>
      <c r="G5" s="364"/>
      <c r="H5" s="364"/>
      <c r="I5" s="363"/>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5"/>
    </row>
    <row r="6" spans="1:38">
      <c r="C6" s="366"/>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8"/>
    </row>
    <row r="7" spans="1:38" ht="12.75" customHeight="1">
      <c r="C7" s="366"/>
      <c r="D7" s="2014" t="s">
        <v>406</v>
      </c>
      <c r="E7" s="2015"/>
      <c r="F7" s="2015"/>
      <c r="G7" s="2015"/>
      <c r="H7" s="2015"/>
      <c r="I7" s="2015"/>
      <c r="J7" s="2015"/>
      <c r="K7" s="2015"/>
      <c r="L7" s="2015"/>
      <c r="M7" s="2015"/>
      <c r="N7" s="2015"/>
      <c r="O7" s="2015"/>
      <c r="P7" s="2015"/>
      <c r="Q7" s="2015"/>
      <c r="R7" s="2015"/>
      <c r="S7" s="2015"/>
      <c r="T7" s="2015"/>
      <c r="U7" s="2015"/>
      <c r="V7" s="2015"/>
      <c r="W7" s="2015"/>
      <c r="X7" s="2016"/>
      <c r="Y7" s="2005" t="s">
        <v>469</v>
      </c>
      <c r="Z7" s="2005" t="s">
        <v>470</v>
      </c>
      <c r="AA7" s="2005" t="s">
        <v>768</v>
      </c>
      <c r="AB7" s="2005" t="s">
        <v>769</v>
      </c>
      <c r="AC7" s="2005" t="s">
        <v>754</v>
      </c>
      <c r="AD7" s="2005" t="s">
        <v>58</v>
      </c>
      <c r="AE7" s="2005" t="s">
        <v>755</v>
      </c>
      <c r="AF7" s="2005" t="s">
        <v>756</v>
      </c>
      <c r="AG7" s="2005" t="s">
        <v>757</v>
      </c>
      <c r="AH7" s="2005" t="s">
        <v>639</v>
      </c>
      <c r="AI7" s="2005" t="s">
        <v>641</v>
      </c>
      <c r="AJ7" s="2005" t="s">
        <v>642</v>
      </c>
      <c r="AK7" s="2002" t="s">
        <v>653</v>
      </c>
      <c r="AL7" s="369"/>
    </row>
    <row r="8" spans="1:38">
      <c r="C8" s="366"/>
      <c r="D8" s="2008" t="s">
        <v>650</v>
      </c>
      <c r="E8" s="2009"/>
      <c r="F8" s="2009"/>
      <c r="G8" s="2009"/>
      <c r="H8" s="2009"/>
      <c r="I8" s="2010"/>
      <c r="J8" s="2011" t="s">
        <v>466</v>
      </c>
      <c r="K8" s="2012"/>
      <c r="L8" s="2012"/>
      <c r="M8" s="2012"/>
      <c r="N8" s="2012"/>
      <c r="O8" s="2012"/>
      <c r="P8" s="2012"/>
      <c r="Q8" s="2012"/>
      <c r="R8" s="2012"/>
      <c r="S8" s="2012"/>
      <c r="T8" s="2012"/>
      <c r="U8" s="2012"/>
      <c r="V8" s="2012"/>
      <c r="W8" s="2012"/>
      <c r="X8" s="2013"/>
      <c r="Y8" s="2006"/>
      <c r="Z8" s="2006"/>
      <c r="AA8" s="2006"/>
      <c r="AB8" s="2006"/>
      <c r="AC8" s="2006"/>
      <c r="AD8" s="2006"/>
      <c r="AE8" s="2006"/>
      <c r="AF8" s="2006"/>
      <c r="AG8" s="2006"/>
      <c r="AH8" s="2006"/>
      <c r="AI8" s="2006"/>
      <c r="AJ8" s="2006"/>
      <c r="AK8" s="2003"/>
      <c r="AL8" s="369"/>
    </row>
    <row r="9" spans="1:38" s="390" customFormat="1" ht="160.5">
      <c r="C9" s="391" t="s">
        <v>498</v>
      </c>
      <c r="D9" s="392" t="s">
        <v>634</v>
      </c>
      <c r="E9" s="392" t="s">
        <v>464</v>
      </c>
      <c r="F9" s="392" t="s">
        <v>465</v>
      </c>
      <c r="G9" s="392" t="s">
        <v>212</v>
      </c>
      <c r="H9" s="392" t="s">
        <v>357</v>
      </c>
      <c r="I9" s="392" t="s">
        <v>214</v>
      </c>
      <c r="J9" s="392" t="s">
        <v>59</v>
      </c>
      <c r="K9" s="393" t="s">
        <v>60</v>
      </c>
      <c r="L9" s="393" t="s">
        <v>61</v>
      </c>
      <c r="M9" s="393" t="s">
        <v>62</v>
      </c>
      <c r="N9" s="393" t="s">
        <v>63</v>
      </c>
      <c r="O9" s="393" t="s">
        <v>64</v>
      </c>
      <c r="P9" s="393" t="s">
        <v>219</v>
      </c>
      <c r="Q9" s="393" t="s">
        <v>220</v>
      </c>
      <c r="R9" s="393" t="s">
        <v>779</v>
      </c>
      <c r="S9" s="393" t="s">
        <v>657</v>
      </c>
      <c r="T9" s="393" t="s">
        <v>778</v>
      </c>
      <c r="U9" s="393" t="s">
        <v>73</v>
      </c>
      <c r="V9" s="393" t="s">
        <v>499</v>
      </c>
      <c r="W9" s="393" t="s">
        <v>189</v>
      </c>
      <c r="X9" s="393" t="s">
        <v>468</v>
      </c>
      <c r="Y9" s="2007"/>
      <c r="Z9" s="2007"/>
      <c r="AA9" s="2007"/>
      <c r="AB9" s="2007"/>
      <c r="AC9" s="2007"/>
      <c r="AD9" s="2007"/>
      <c r="AE9" s="2007"/>
      <c r="AF9" s="2007"/>
      <c r="AG9" s="2007"/>
      <c r="AH9" s="2007"/>
      <c r="AI9" s="2007"/>
      <c r="AJ9" s="2007"/>
      <c r="AK9" s="2004"/>
      <c r="AL9" s="394"/>
    </row>
    <row r="10" spans="1:38">
      <c r="C10" s="370"/>
      <c r="D10" s="371" t="s">
        <v>157</v>
      </c>
      <c r="E10" s="371" t="s">
        <v>157</v>
      </c>
      <c r="F10" s="371" t="s">
        <v>157</v>
      </c>
      <c r="G10" s="371" t="s">
        <v>157</v>
      </c>
      <c r="H10" s="371" t="s">
        <v>157</v>
      </c>
      <c r="I10" s="371" t="s">
        <v>157</v>
      </c>
      <c r="J10" s="371" t="s">
        <v>157</v>
      </c>
      <c r="K10" s="371" t="s">
        <v>157</v>
      </c>
      <c r="L10" s="371" t="s">
        <v>157</v>
      </c>
      <c r="M10" s="371" t="s">
        <v>157</v>
      </c>
      <c r="N10" s="371" t="s">
        <v>157</v>
      </c>
      <c r="O10" s="371" t="s">
        <v>157</v>
      </c>
      <c r="P10" s="371" t="s">
        <v>157</v>
      </c>
      <c r="Q10" s="371" t="s">
        <v>157</v>
      </c>
      <c r="R10" s="371" t="s">
        <v>157</v>
      </c>
      <c r="S10" s="371" t="s">
        <v>157</v>
      </c>
      <c r="T10" s="371" t="s">
        <v>157</v>
      </c>
      <c r="U10" s="371" t="s">
        <v>157</v>
      </c>
      <c r="V10" s="371" t="s">
        <v>157</v>
      </c>
      <c r="W10" s="371" t="s">
        <v>157</v>
      </c>
      <c r="X10" s="371" t="s">
        <v>157</v>
      </c>
      <c r="Y10" s="371" t="s">
        <v>157</v>
      </c>
      <c r="Z10" s="371" t="s">
        <v>157</v>
      </c>
      <c r="AA10" s="371" t="s">
        <v>157</v>
      </c>
      <c r="AB10" s="371" t="s">
        <v>157</v>
      </c>
      <c r="AC10" s="371" t="s">
        <v>157</v>
      </c>
      <c r="AD10" s="371" t="s">
        <v>157</v>
      </c>
      <c r="AE10" s="371" t="s">
        <v>157</v>
      </c>
      <c r="AF10" s="371" t="s">
        <v>157</v>
      </c>
      <c r="AG10" s="371" t="s">
        <v>157</v>
      </c>
      <c r="AH10" s="371" t="s">
        <v>157</v>
      </c>
      <c r="AI10" s="371" t="s">
        <v>157</v>
      </c>
      <c r="AJ10" s="371" t="s">
        <v>157</v>
      </c>
      <c r="AK10" s="371" t="s">
        <v>157</v>
      </c>
      <c r="AL10" s="368"/>
    </row>
    <row r="11" spans="1:38">
      <c r="C11" s="372"/>
      <c r="D11" s="373"/>
      <c r="E11" s="373"/>
      <c r="F11" s="373"/>
      <c r="G11" s="373"/>
      <c r="H11" s="373"/>
      <c r="I11" s="373"/>
      <c r="J11" s="373"/>
      <c r="K11" s="373"/>
      <c r="L11" s="373"/>
      <c r="M11" s="373"/>
      <c r="N11" s="373"/>
      <c r="O11" s="373"/>
      <c r="P11" s="373"/>
      <c r="Q11" s="373"/>
      <c r="R11" s="373"/>
      <c r="S11" s="373"/>
      <c r="T11" s="373"/>
      <c r="U11" s="373"/>
      <c r="V11" s="373"/>
      <c r="W11" s="373"/>
      <c r="X11" s="373"/>
      <c r="Y11" s="373"/>
      <c r="Z11" s="373"/>
      <c r="AA11" s="373"/>
      <c r="AB11" s="373"/>
      <c r="AC11" s="373"/>
      <c r="AD11" s="373"/>
      <c r="AE11" s="373"/>
      <c r="AF11" s="373"/>
      <c r="AG11" s="373"/>
      <c r="AH11" s="373"/>
      <c r="AI11" s="373"/>
      <c r="AJ11" s="373"/>
      <c r="AK11" s="373"/>
      <c r="AL11" s="368"/>
    </row>
    <row r="12" spans="1:38">
      <c r="C12" s="374" t="s">
        <v>501</v>
      </c>
      <c r="D12" s="375">
        <v>-0.50000000000000178</v>
      </c>
      <c r="E12" s="375">
        <v>32.299999999999997</v>
      </c>
      <c r="F12" s="375">
        <v>3</v>
      </c>
      <c r="G12" s="375">
        <v>8.3000000000000007</v>
      </c>
      <c r="H12" s="375">
        <v>5.5</v>
      </c>
      <c r="I12" s="375">
        <v>4.0999999999999996</v>
      </c>
      <c r="J12" s="375">
        <v>0.6</v>
      </c>
      <c r="K12" s="375">
        <v>3.5</v>
      </c>
      <c r="L12" s="375">
        <v>2.9</v>
      </c>
      <c r="M12" s="375">
        <v>7.2</v>
      </c>
      <c r="N12" s="375">
        <v>1.9</v>
      </c>
      <c r="O12" s="375">
        <v>1</v>
      </c>
      <c r="P12" s="375">
        <v>0.7</v>
      </c>
      <c r="Q12" s="375">
        <v>0.9</v>
      </c>
      <c r="R12" s="375">
        <v>2.7</v>
      </c>
      <c r="S12" s="375">
        <v>6.8</v>
      </c>
      <c r="T12" s="375">
        <v>2.1</v>
      </c>
      <c r="U12" s="375">
        <v>0.9</v>
      </c>
      <c r="V12" s="375">
        <v>1.1000000000000001</v>
      </c>
      <c r="W12" s="375">
        <v>5.8</v>
      </c>
      <c r="X12" s="375">
        <v>1.8</v>
      </c>
      <c r="Y12" s="375">
        <v>4.3</v>
      </c>
      <c r="Z12" s="375">
        <v>13.4</v>
      </c>
      <c r="AA12" s="375">
        <v>1.8</v>
      </c>
      <c r="AB12" s="375">
        <v>8.9</v>
      </c>
      <c r="AC12" s="375">
        <v>-0.1</v>
      </c>
      <c r="AD12" s="375">
        <v>0.1</v>
      </c>
      <c r="AE12" s="375">
        <v>-2.7755575615628914E-17</v>
      </c>
      <c r="AF12" s="375">
        <v>25.3</v>
      </c>
      <c r="AG12" s="375">
        <v>15.1</v>
      </c>
      <c r="AH12" s="375">
        <v>4.2</v>
      </c>
      <c r="AI12" s="375">
        <v>0</v>
      </c>
      <c r="AJ12" s="375">
        <v>-2.9000000000000057</v>
      </c>
      <c r="AK12" s="375">
        <v>162.69999999999999</v>
      </c>
      <c r="AL12" s="376"/>
    </row>
    <row r="13" spans="1:38">
      <c r="C13" s="374" t="s">
        <v>502</v>
      </c>
      <c r="D13" s="377"/>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77"/>
      <c r="AI13" s="377"/>
      <c r="AJ13" s="377"/>
      <c r="AK13" s="378">
        <v>0</v>
      </c>
      <c r="AL13" s="376"/>
    </row>
    <row r="14" spans="1:38">
      <c r="C14" s="374" t="s">
        <v>501</v>
      </c>
      <c r="D14" s="375">
        <v>-0.50000000000000178</v>
      </c>
      <c r="E14" s="375">
        <v>32.299999999999997</v>
      </c>
      <c r="F14" s="375">
        <v>3</v>
      </c>
      <c r="G14" s="375">
        <v>8.3000000000000007</v>
      </c>
      <c r="H14" s="375">
        <v>5.5</v>
      </c>
      <c r="I14" s="375">
        <v>4.0999999999999996</v>
      </c>
      <c r="J14" s="375">
        <v>0.6</v>
      </c>
      <c r="K14" s="375">
        <v>3.5</v>
      </c>
      <c r="L14" s="375">
        <v>2.9</v>
      </c>
      <c r="M14" s="375">
        <v>7.2</v>
      </c>
      <c r="N14" s="375">
        <v>1.9</v>
      </c>
      <c r="O14" s="375">
        <v>1</v>
      </c>
      <c r="P14" s="375">
        <v>0.7</v>
      </c>
      <c r="Q14" s="375">
        <v>0.9</v>
      </c>
      <c r="R14" s="375">
        <v>2.7</v>
      </c>
      <c r="S14" s="375">
        <v>6.8</v>
      </c>
      <c r="T14" s="375">
        <v>2.1</v>
      </c>
      <c r="U14" s="375">
        <v>0.9</v>
      </c>
      <c r="V14" s="375">
        <v>1.1000000000000001</v>
      </c>
      <c r="W14" s="375">
        <v>5.8</v>
      </c>
      <c r="X14" s="375">
        <v>1.8</v>
      </c>
      <c r="Y14" s="375">
        <v>4.3</v>
      </c>
      <c r="Z14" s="375">
        <v>13.4</v>
      </c>
      <c r="AA14" s="375">
        <v>1.8</v>
      </c>
      <c r="AB14" s="375">
        <v>8.9</v>
      </c>
      <c r="AC14" s="375">
        <v>-0.1</v>
      </c>
      <c r="AD14" s="375">
        <v>0.1</v>
      </c>
      <c r="AE14" s="375">
        <v>-2.7755575615628914E-17</v>
      </c>
      <c r="AF14" s="375">
        <v>25.3</v>
      </c>
      <c r="AG14" s="375">
        <v>15.1</v>
      </c>
      <c r="AH14" s="375">
        <v>4.2</v>
      </c>
      <c r="AI14" s="375">
        <v>0</v>
      </c>
      <c r="AJ14" s="375">
        <v>-2.9000000000000057</v>
      </c>
      <c r="AK14" s="375">
        <v>162.69999999999999</v>
      </c>
      <c r="AL14" s="376"/>
    </row>
    <row r="15" spans="1:38">
      <c r="C15" s="374"/>
      <c r="D15" s="375"/>
      <c r="E15" s="375"/>
      <c r="F15" s="375"/>
      <c r="G15" s="375"/>
      <c r="H15" s="375"/>
      <c r="I15" s="375"/>
      <c r="J15" s="375"/>
      <c r="K15" s="375"/>
      <c r="L15" s="375"/>
      <c r="M15" s="375"/>
      <c r="N15" s="375"/>
      <c r="O15" s="375"/>
      <c r="P15" s="375"/>
      <c r="Q15" s="375"/>
      <c r="R15" s="375"/>
      <c r="S15" s="375"/>
      <c r="T15" s="375"/>
      <c r="U15" s="375"/>
      <c r="V15" s="375"/>
      <c r="W15" s="375"/>
      <c r="X15" s="375"/>
      <c r="Y15" s="375"/>
      <c r="Z15" s="375"/>
      <c r="AA15" s="375"/>
      <c r="AB15" s="375"/>
      <c r="AC15" s="375"/>
      <c r="AD15" s="375"/>
      <c r="AE15" s="375"/>
      <c r="AF15" s="375"/>
      <c r="AG15" s="375"/>
      <c r="AH15" s="375"/>
      <c r="AI15" s="375"/>
      <c r="AJ15" s="375"/>
      <c r="AK15" s="375"/>
      <c r="AL15" s="376"/>
    </row>
    <row r="16" spans="1:38">
      <c r="C16" s="374" t="s">
        <v>503</v>
      </c>
      <c r="D16" s="375">
        <v>2.8</v>
      </c>
      <c r="E16" s="375">
        <v>25.5</v>
      </c>
      <c r="F16" s="375">
        <v>4.3</v>
      </c>
      <c r="G16" s="375">
        <v>8.6</v>
      </c>
      <c r="H16" s="375">
        <v>5.3</v>
      </c>
      <c r="I16" s="375">
        <v>2.9</v>
      </c>
      <c r="J16" s="375">
        <v>0.6</v>
      </c>
      <c r="K16" s="375">
        <v>3</v>
      </c>
      <c r="L16" s="375">
        <v>2.2000000000000002</v>
      </c>
      <c r="M16" s="375">
        <v>5.2</v>
      </c>
      <c r="N16" s="375">
        <v>1.9</v>
      </c>
      <c r="O16" s="375">
        <v>0.8</v>
      </c>
      <c r="P16" s="375">
        <v>0.6</v>
      </c>
      <c r="Q16" s="375">
        <v>1.6</v>
      </c>
      <c r="R16" s="375">
        <v>2.8</v>
      </c>
      <c r="S16" s="375">
        <v>6.3</v>
      </c>
      <c r="T16" s="375">
        <v>2.1</v>
      </c>
      <c r="U16" s="375">
        <v>1</v>
      </c>
      <c r="V16" s="375">
        <v>0.9</v>
      </c>
      <c r="W16" s="375">
        <v>4.8</v>
      </c>
      <c r="X16" s="375">
        <v>1.5</v>
      </c>
      <c r="Y16" s="375">
        <v>4.9000000000000004</v>
      </c>
      <c r="Z16" s="375">
        <v>6.9</v>
      </c>
      <c r="AA16" s="375">
        <v>5.9</v>
      </c>
      <c r="AB16" s="375">
        <v>13.7</v>
      </c>
      <c r="AC16" s="375">
        <v>0.2</v>
      </c>
      <c r="AD16" s="375">
        <v>0</v>
      </c>
      <c r="AE16" s="375">
        <v>0</v>
      </c>
      <c r="AF16" s="375">
        <v>33.9</v>
      </c>
      <c r="AG16" s="375">
        <v>14.6</v>
      </c>
      <c r="AH16" s="375">
        <v>4.2</v>
      </c>
      <c r="AI16" s="375">
        <v>0</v>
      </c>
      <c r="AJ16" s="375">
        <v>-8.8000000000000114</v>
      </c>
      <c r="AK16" s="375">
        <v>160.19999999999999</v>
      </c>
      <c r="AL16" s="379"/>
    </row>
    <row r="17" spans="3:38">
      <c r="C17" s="374"/>
      <c r="D17" s="375"/>
      <c r="E17" s="375"/>
      <c r="F17" s="375"/>
      <c r="G17" s="375"/>
      <c r="H17" s="375"/>
      <c r="I17" s="375"/>
      <c r="J17" s="375"/>
      <c r="K17" s="375"/>
      <c r="L17" s="375"/>
      <c r="M17" s="375"/>
      <c r="N17" s="375"/>
      <c r="O17" s="375"/>
      <c r="P17" s="375"/>
      <c r="Q17" s="375"/>
      <c r="R17" s="375"/>
      <c r="S17" s="375"/>
      <c r="T17" s="375"/>
      <c r="U17" s="375"/>
      <c r="V17" s="375"/>
      <c r="W17" s="375"/>
      <c r="X17" s="375"/>
      <c r="Y17" s="375"/>
      <c r="Z17" s="375"/>
      <c r="AA17" s="375"/>
      <c r="AB17" s="375"/>
      <c r="AC17" s="375"/>
      <c r="AD17" s="375"/>
      <c r="AE17" s="375"/>
      <c r="AF17" s="375"/>
      <c r="AG17" s="375"/>
      <c r="AH17" s="375"/>
      <c r="AI17" s="375"/>
      <c r="AJ17" s="375"/>
      <c r="AK17" s="375"/>
      <c r="AL17" s="379"/>
    </row>
    <row r="18" spans="3:38">
      <c r="C18" s="374" t="s">
        <v>504</v>
      </c>
      <c r="D18" s="375">
        <v>5.5</v>
      </c>
      <c r="E18" s="375">
        <v>17.3</v>
      </c>
      <c r="F18" s="375">
        <v>2.4</v>
      </c>
      <c r="G18" s="375">
        <v>8.1</v>
      </c>
      <c r="H18" s="375">
        <v>6.8</v>
      </c>
      <c r="I18" s="375">
        <v>3.3</v>
      </c>
      <c r="J18" s="375">
        <v>0.6</v>
      </c>
      <c r="K18" s="375">
        <v>3.2</v>
      </c>
      <c r="L18" s="375">
        <v>2.2999999999999998</v>
      </c>
      <c r="M18" s="375">
        <v>6.5</v>
      </c>
      <c r="N18" s="375">
        <v>2.5</v>
      </c>
      <c r="O18" s="375">
        <v>0.8</v>
      </c>
      <c r="P18" s="375">
        <v>0.9</v>
      </c>
      <c r="Q18" s="375">
        <v>1.5</v>
      </c>
      <c r="R18" s="375">
        <v>2.9</v>
      </c>
      <c r="S18" s="375">
        <v>6.2</v>
      </c>
      <c r="T18" s="375">
        <v>2.2000000000000002</v>
      </c>
      <c r="U18" s="375">
        <v>0.8</v>
      </c>
      <c r="V18" s="375">
        <v>0.7</v>
      </c>
      <c r="W18" s="375">
        <v>4</v>
      </c>
      <c r="X18" s="375">
        <v>1.9</v>
      </c>
      <c r="Y18" s="375">
        <v>1.6</v>
      </c>
      <c r="Z18" s="375">
        <v>4.3</v>
      </c>
      <c r="AA18" s="375">
        <v>5.0999999999999996</v>
      </c>
      <c r="AB18" s="375">
        <v>5</v>
      </c>
      <c r="AC18" s="375">
        <v>0</v>
      </c>
      <c r="AD18" s="375">
        <v>0</v>
      </c>
      <c r="AE18" s="375">
        <v>0</v>
      </c>
      <c r="AF18" s="375">
        <v>31.395595999999998</v>
      </c>
      <c r="AG18" s="375">
        <v>14.3</v>
      </c>
      <c r="AH18" s="375">
        <v>3.9</v>
      </c>
      <c r="AI18" s="375">
        <v>-0.9</v>
      </c>
      <c r="AJ18" s="375">
        <v>-4.8955959999999834</v>
      </c>
      <c r="AK18" s="375">
        <v>140.19999999999999</v>
      </c>
      <c r="AL18" s="379"/>
    </row>
    <row r="19" spans="3:38">
      <c r="C19" s="380"/>
      <c r="D19" s="381"/>
      <c r="E19" s="381"/>
      <c r="F19" s="381"/>
      <c r="G19" s="381"/>
      <c r="H19" s="381"/>
      <c r="I19" s="381"/>
      <c r="J19" s="381"/>
      <c r="K19" s="381"/>
      <c r="L19" s="381"/>
      <c r="M19" s="381"/>
      <c r="N19" s="381"/>
      <c r="O19" s="381"/>
      <c r="P19" s="381"/>
      <c r="Q19" s="381"/>
      <c r="R19" s="381"/>
      <c r="S19" s="381"/>
      <c r="T19" s="381"/>
      <c r="U19" s="381"/>
      <c r="V19" s="381"/>
      <c r="W19" s="381"/>
      <c r="X19" s="381"/>
      <c r="Y19" s="381"/>
      <c r="Z19" s="381"/>
      <c r="AA19" s="381"/>
      <c r="AB19" s="381"/>
      <c r="AC19" s="381"/>
      <c r="AD19" s="381"/>
      <c r="AE19" s="381"/>
      <c r="AF19" s="381"/>
      <c r="AG19" s="381"/>
      <c r="AH19" s="381"/>
      <c r="AI19" s="381"/>
      <c r="AJ19" s="381"/>
      <c r="AK19" s="381"/>
      <c r="AL19" s="376"/>
    </row>
    <row r="20" spans="3:38">
      <c r="C20" s="367"/>
      <c r="D20" s="382"/>
      <c r="E20" s="382"/>
      <c r="F20" s="382"/>
      <c r="G20" s="382"/>
      <c r="H20" s="382"/>
      <c r="I20" s="382"/>
      <c r="J20" s="382"/>
      <c r="K20" s="382"/>
      <c r="L20" s="382"/>
      <c r="M20" s="382"/>
      <c r="N20" s="382"/>
      <c r="O20" s="382"/>
      <c r="P20" s="382"/>
      <c r="Q20" s="382"/>
      <c r="R20" s="382"/>
      <c r="S20" s="382"/>
      <c r="T20" s="382"/>
      <c r="U20" s="382"/>
      <c r="V20" s="382"/>
      <c r="W20" s="382"/>
      <c r="X20" s="382"/>
      <c r="Y20" s="382"/>
      <c r="Z20" s="382"/>
      <c r="AA20" s="382"/>
      <c r="AB20" s="382"/>
      <c r="AC20" s="382"/>
      <c r="AD20" s="382"/>
      <c r="AE20" s="382"/>
      <c r="AF20" s="382"/>
      <c r="AG20" s="382"/>
      <c r="AH20" s="382"/>
      <c r="AI20" s="382"/>
      <c r="AJ20" s="382"/>
      <c r="AK20" s="382"/>
      <c r="AL20" s="376"/>
    </row>
    <row r="21" spans="3:38">
      <c r="C21" s="383" t="s">
        <v>475</v>
      </c>
      <c r="D21" s="383"/>
      <c r="E21" s="383"/>
      <c r="F21" s="384"/>
      <c r="G21" s="385"/>
      <c r="H21" s="385"/>
      <c r="I21" s="385"/>
      <c r="J21" s="385"/>
      <c r="K21" s="385"/>
      <c r="L21" s="385"/>
      <c r="M21" s="385"/>
      <c r="N21" s="385"/>
      <c r="O21" s="385"/>
      <c r="P21" s="385"/>
      <c r="Q21" s="385"/>
      <c r="R21" s="386"/>
      <c r="S21" s="383"/>
      <c r="T21" s="383"/>
      <c r="U21" s="383"/>
      <c r="V21" s="383"/>
      <c r="W21" s="383"/>
      <c r="X21" s="383"/>
      <c r="Y21" s="383"/>
      <c r="Z21" s="383"/>
      <c r="AA21" s="383"/>
      <c r="AB21" s="382"/>
      <c r="AC21" s="382"/>
      <c r="AD21" s="382"/>
      <c r="AE21" s="382"/>
      <c r="AF21" s="382"/>
      <c r="AG21" s="382"/>
      <c r="AH21" s="382"/>
      <c r="AI21" s="382"/>
      <c r="AJ21" s="382"/>
      <c r="AK21" s="382"/>
      <c r="AL21" s="376"/>
    </row>
    <row r="22" spans="3:38" ht="12.75" customHeight="1">
      <c r="C22" s="383">
        <v>1</v>
      </c>
      <c r="D22" s="2017" t="s">
        <v>344</v>
      </c>
      <c r="E22" s="2017"/>
      <c r="F22" s="2017"/>
      <c r="G22" s="2017"/>
      <c r="H22" s="2017"/>
      <c r="I22" s="2017"/>
      <c r="J22" s="2017"/>
      <c r="K22" s="2017"/>
      <c r="L22" s="2017"/>
      <c r="M22" s="2017"/>
      <c r="N22" s="2017"/>
      <c r="O22" s="2017"/>
      <c r="P22" s="2017"/>
      <c r="Q22" s="2017"/>
      <c r="R22" s="2017"/>
      <c r="S22" s="2017"/>
      <c r="T22" s="2017"/>
      <c r="U22" s="2017"/>
      <c r="V22" s="2017"/>
      <c r="W22" s="2017"/>
      <c r="X22" s="2017"/>
      <c r="Y22" s="2017"/>
      <c r="Z22" s="2017"/>
      <c r="AA22" s="2017"/>
      <c r="AB22" s="382"/>
      <c r="AC22" s="382"/>
      <c r="AD22" s="382"/>
      <c r="AE22" s="382"/>
      <c r="AF22" s="382"/>
      <c r="AG22" s="382"/>
      <c r="AH22" s="382"/>
      <c r="AI22" s="382"/>
      <c r="AJ22" s="382"/>
      <c r="AK22" s="382"/>
      <c r="AL22" s="376"/>
    </row>
    <row r="23" spans="3:38" ht="12.75" customHeight="1">
      <c r="C23" s="383">
        <v>2</v>
      </c>
      <c r="D23" s="2017" t="s">
        <v>410</v>
      </c>
      <c r="E23" s="2017"/>
      <c r="F23" s="2017"/>
      <c r="G23" s="2017"/>
      <c r="H23" s="2017"/>
      <c r="I23" s="2017"/>
      <c r="J23" s="2017"/>
      <c r="K23" s="2017"/>
      <c r="L23" s="2017"/>
      <c r="M23" s="2017"/>
      <c r="N23" s="2017"/>
      <c r="O23" s="2017"/>
      <c r="P23" s="2017"/>
      <c r="Q23" s="2017"/>
      <c r="R23" s="2017"/>
      <c r="S23" s="2017"/>
      <c r="T23" s="2017"/>
      <c r="U23" s="2017"/>
      <c r="V23" s="2017"/>
      <c r="W23" s="2017"/>
      <c r="X23" s="2017"/>
      <c r="Y23" s="2017"/>
      <c r="Z23" s="2017"/>
      <c r="AA23" s="2017"/>
      <c r="AB23" s="382"/>
      <c r="AC23" s="382"/>
      <c r="AD23" s="382"/>
      <c r="AE23" s="382"/>
      <c r="AF23" s="382"/>
      <c r="AG23" s="382"/>
      <c r="AH23" s="382"/>
      <c r="AI23" s="382"/>
      <c r="AJ23" s="382"/>
      <c r="AK23" s="382"/>
      <c r="AL23" s="376"/>
    </row>
    <row r="24" spans="3:38" ht="12.75" customHeight="1">
      <c r="C24" s="383">
        <v>3</v>
      </c>
      <c r="D24" s="2017" t="s">
        <v>368</v>
      </c>
      <c r="E24" s="2017"/>
      <c r="F24" s="2017"/>
      <c r="G24" s="2017"/>
      <c r="H24" s="2017"/>
      <c r="I24" s="2017"/>
      <c r="J24" s="2017"/>
      <c r="K24" s="2017"/>
      <c r="L24" s="2017"/>
      <c r="M24" s="2017"/>
      <c r="N24" s="2017"/>
      <c r="O24" s="2017"/>
      <c r="P24" s="2017"/>
      <c r="Q24" s="2017"/>
      <c r="R24" s="2017"/>
      <c r="S24" s="2017"/>
      <c r="T24" s="2017"/>
      <c r="U24" s="2017"/>
      <c r="V24" s="2017"/>
      <c r="W24" s="2017"/>
      <c r="X24" s="2017"/>
      <c r="Y24" s="2017"/>
      <c r="Z24" s="2017"/>
      <c r="AA24" s="2017"/>
      <c r="AB24" s="382"/>
      <c r="AC24" s="382"/>
      <c r="AD24" s="382"/>
      <c r="AE24" s="382"/>
      <c r="AF24" s="382"/>
      <c r="AG24" s="382"/>
      <c r="AH24" s="382"/>
      <c r="AI24" s="382"/>
      <c r="AJ24" s="382"/>
      <c r="AK24" s="382"/>
      <c r="AL24" s="376"/>
    </row>
    <row r="25" spans="3:38" ht="12.75" customHeight="1">
      <c r="C25" s="383">
        <v>4</v>
      </c>
      <c r="D25" s="2017" t="s">
        <v>411</v>
      </c>
      <c r="E25" s="2017"/>
      <c r="F25" s="2017"/>
      <c r="G25" s="2017"/>
      <c r="H25" s="2017"/>
      <c r="I25" s="2017"/>
      <c r="J25" s="2017"/>
      <c r="K25" s="2017"/>
      <c r="L25" s="2017"/>
      <c r="M25" s="2017"/>
      <c r="N25" s="2017"/>
      <c r="O25" s="2017"/>
      <c r="P25" s="2017"/>
      <c r="Q25" s="2017"/>
      <c r="R25" s="2017"/>
      <c r="S25" s="2017"/>
      <c r="T25" s="2017"/>
      <c r="U25" s="2017"/>
      <c r="V25" s="2017"/>
      <c r="W25" s="2017"/>
      <c r="X25" s="2017"/>
      <c r="Y25" s="2017"/>
      <c r="Z25" s="2017"/>
      <c r="AA25" s="2017"/>
      <c r="AB25" s="382"/>
      <c r="AC25" s="382"/>
      <c r="AD25" s="382"/>
      <c r="AE25" s="382"/>
      <c r="AF25" s="382"/>
      <c r="AG25" s="382"/>
      <c r="AH25" s="382"/>
      <c r="AI25" s="382"/>
      <c r="AJ25" s="382"/>
      <c r="AK25" s="382"/>
      <c r="AL25" s="376"/>
    </row>
    <row r="26" spans="3:38" ht="12.75" customHeight="1">
      <c r="C26" s="383">
        <v>5</v>
      </c>
      <c r="D26" s="2017" t="s">
        <v>412</v>
      </c>
      <c r="E26" s="2017"/>
      <c r="F26" s="2017"/>
      <c r="G26" s="2017"/>
      <c r="H26" s="2017"/>
      <c r="I26" s="2017"/>
      <c r="J26" s="2017"/>
      <c r="K26" s="2017"/>
      <c r="L26" s="2017"/>
      <c r="M26" s="2017"/>
      <c r="N26" s="2017"/>
      <c r="O26" s="2017"/>
      <c r="P26" s="2017"/>
      <c r="Q26" s="2017"/>
      <c r="R26" s="2017"/>
      <c r="S26" s="2017"/>
      <c r="T26" s="2017"/>
      <c r="U26" s="2017"/>
      <c r="V26" s="2017"/>
      <c r="W26" s="2017"/>
      <c r="X26" s="2017"/>
      <c r="Y26" s="2017"/>
      <c r="Z26" s="2017"/>
      <c r="AA26" s="2017"/>
      <c r="AB26" s="382"/>
      <c r="AC26" s="382"/>
      <c r="AD26" s="382"/>
      <c r="AE26" s="382"/>
      <c r="AF26" s="382"/>
      <c r="AG26" s="382"/>
      <c r="AH26" s="382"/>
      <c r="AI26" s="382"/>
      <c r="AJ26" s="382"/>
      <c r="AK26" s="382"/>
      <c r="AL26" s="376"/>
    </row>
    <row r="27" spans="3:38">
      <c r="C27" s="387"/>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c r="AK27" s="388"/>
      <c r="AL27" s="389"/>
    </row>
  </sheetData>
  <mergeCells count="21">
    <mergeCell ref="D26:AA26"/>
    <mergeCell ref="D22:AA22"/>
    <mergeCell ref="D23:AA23"/>
    <mergeCell ref="D24:AA24"/>
    <mergeCell ref="D25:AA25"/>
    <mergeCell ref="D8:I8"/>
    <mergeCell ref="AJ7:AJ9"/>
    <mergeCell ref="Z7:Z9"/>
    <mergeCell ref="AH7:AH9"/>
    <mergeCell ref="AI7:AI9"/>
    <mergeCell ref="AB7:AB9"/>
    <mergeCell ref="J8:X8"/>
    <mergeCell ref="AE7:AE9"/>
    <mergeCell ref="D7:X7"/>
    <mergeCell ref="Y7:Y9"/>
    <mergeCell ref="AC7:AC9"/>
    <mergeCell ref="AK7:AK9"/>
    <mergeCell ref="AF7:AF9"/>
    <mergeCell ref="AG7:AG9"/>
    <mergeCell ref="AD7:AD9"/>
    <mergeCell ref="AA7:AA9"/>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enableFormatConditionsCalculation="0">
    <tabColor rgb="FFC1DFFF"/>
  </sheetPr>
  <dimension ref="A1:R51"/>
  <sheetViews>
    <sheetView workbookViewId="0">
      <selection sqref="A1:XFD1048576"/>
    </sheetView>
  </sheetViews>
  <sheetFormatPr defaultColWidth="8.85546875" defaultRowHeight="12.75"/>
  <cols>
    <col min="1" max="1" width="11.42578125" style="852" customWidth="1"/>
    <col min="2" max="2" width="8.85546875" style="852" customWidth="1"/>
    <col min="3" max="3" width="29.85546875" style="852" customWidth="1"/>
    <col min="4" max="4" width="8.85546875" style="852" customWidth="1"/>
    <col min="5" max="5" width="25.42578125" style="852" customWidth="1"/>
    <col min="6" max="6" width="13.42578125" style="852" customWidth="1"/>
    <col min="7" max="10" width="8.85546875" style="852"/>
    <col min="11" max="11" width="9.5703125" style="852" customWidth="1"/>
    <col min="12" max="12" width="8.85546875" style="852"/>
    <col min="13" max="17" width="12.5703125" style="852" customWidth="1"/>
    <col min="18" max="16384" width="8.85546875" style="852"/>
  </cols>
  <sheetData>
    <row r="1" spans="1:18" ht="18" customHeight="1">
      <c r="A1" s="890" t="s">
        <v>16</v>
      </c>
      <c r="E1" s="1015" t="s">
        <v>1019</v>
      </c>
    </row>
    <row r="2" spans="1:18">
      <c r="A2" s="890"/>
    </row>
    <row r="3" spans="1:18" ht="18" customHeight="1">
      <c r="A3" s="890" t="s">
        <v>29</v>
      </c>
    </row>
    <row r="5" spans="1:18" ht="17.25" customHeight="1">
      <c r="A5" s="1016" t="s">
        <v>1</v>
      </c>
      <c r="B5" s="1017"/>
      <c r="C5" s="1017"/>
      <c r="D5" s="1018"/>
      <c r="E5" s="1017"/>
      <c r="F5" s="1017"/>
      <c r="G5" s="1017"/>
      <c r="H5" s="1017"/>
      <c r="I5" s="1017"/>
      <c r="J5" s="1017"/>
      <c r="K5" s="1017"/>
      <c r="L5" s="1017"/>
      <c r="M5" s="1017"/>
      <c r="N5" s="1017"/>
      <c r="O5" s="1017"/>
      <c r="P5" s="1017"/>
      <c r="Q5" s="1017"/>
      <c r="R5" s="1017"/>
    </row>
    <row r="6" spans="1:18" ht="18" customHeight="1" thickBot="1">
      <c r="A6" s="1017"/>
      <c r="B6" s="1017"/>
      <c r="C6" s="1017"/>
      <c r="D6" s="1018"/>
      <c r="E6" s="1017"/>
      <c r="F6" s="1017"/>
      <c r="G6" s="1017"/>
      <c r="H6" s="1017"/>
      <c r="I6" s="1017"/>
      <c r="J6" s="1017"/>
      <c r="K6" s="1017"/>
      <c r="L6" s="1017"/>
      <c r="R6" s="1017"/>
    </row>
    <row r="7" spans="1:18" s="889" customFormat="1" ht="18" customHeight="1" thickBot="1">
      <c r="A7" s="1019"/>
      <c r="B7" s="1019"/>
      <c r="C7" s="1019"/>
      <c r="D7" s="1020"/>
      <c r="E7" s="2095" t="s">
        <v>2</v>
      </c>
      <c r="F7" s="2096"/>
      <c r="G7" s="2097"/>
      <c r="H7" s="1021"/>
      <c r="I7" s="2098" t="s">
        <v>3</v>
      </c>
      <c r="J7" s="2099"/>
      <c r="K7" s="2100"/>
      <c r="L7" s="1019"/>
      <c r="M7" s="2092" t="s">
        <v>407</v>
      </c>
      <c r="N7" s="2093"/>
      <c r="O7" s="2093"/>
      <c r="P7" s="2093"/>
      <c r="Q7" s="2094"/>
      <c r="R7" s="1020"/>
    </row>
    <row r="8" spans="1:18" ht="27.75" customHeight="1" thickBot="1">
      <c r="A8" s="1023"/>
      <c r="B8" s="1023"/>
      <c r="C8" s="1023"/>
      <c r="D8" s="1024"/>
      <c r="E8" s="2101" t="s">
        <v>4</v>
      </c>
      <c r="F8" s="2102"/>
      <c r="G8" s="2103"/>
      <c r="H8" s="1021"/>
      <c r="I8" s="1089" t="s">
        <v>4</v>
      </c>
      <c r="J8" s="1026"/>
      <c r="K8" s="1027" t="s">
        <v>5</v>
      </c>
      <c r="L8" s="1028"/>
      <c r="M8" s="2104" t="s">
        <v>2</v>
      </c>
      <c r="N8" s="2105"/>
      <c r="O8" s="2106"/>
      <c r="P8" s="1028"/>
      <c r="Q8" s="1341" t="s">
        <v>212</v>
      </c>
      <c r="R8" s="1029"/>
    </row>
    <row r="9" spans="1:18" ht="16.5" thickBot="1">
      <c r="A9" s="2082" t="s">
        <v>6</v>
      </c>
      <c r="B9" s="2083"/>
      <c r="C9" s="2084"/>
      <c r="D9" s="399"/>
      <c r="E9" s="1030" t="s">
        <v>7</v>
      </c>
      <c r="F9" s="1031" t="s">
        <v>19</v>
      </c>
      <c r="G9" s="1032" t="s">
        <v>20</v>
      </c>
      <c r="H9" s="1033"/>
      <c r="I9" s="1025" t="s">
        <v>20</v>
      </c>
      <c r="J9" s="1034"/>
      <c r="K9" s="1035" t="s">
        <v>20</v>
      </c>
      <c r="L9" s="1028"/>
      <c r="M9" s="1036" t="s">
        <v>7</v>
      </c>
      <c r="N9" s="1037" t="s">
        <v>19</v>
      </c>
      <c r="O9" s="1038" t="s">
        <v>20</v>
      </c>
      <c r="P9" s="1028"/>
      <c r="Q9" s="1035" t="s">
        <v>20</v>
      </c>
      <c r="R9" s="1029"/>
    </row>
    <row r="10" spans="1:18" ht="16.5" thickBot="1">
      <c r="A10" s="2085"/>
      <c r="B10" s="2086"/>
      <c r="C10" s="2087"/>
      <c r="D10" s="399"/>
      <c r="E10" s="1039" t="s">
        <v>157</v>
      </c>
      <c r="F10" s="1040" t="s">
        <v>157</v>
      </c>
      <c r="G10" s="1041" t="s">
        <v>157</v>
      </c>
      <c r="H10" s="1021"/>
      <c r="I10" s="1042"/>
      <c r="J10" s="1034"/>
      <c r="K10" s="1042"/>
      <c r="L10" s="1028"/>
      <c r="M10" s="1043" t="s">
        <v>157</v>
      </c>
      <c r="N10" s="1044" t="s">
        <v>157</v>
      </c>
      <c r="O10" s="1042" t="s">
        <v>157</v>
      </c>
      <c r="P10" s="1028"/>
      <c r="Q10" s="1042" t="s">
        <v>157</v>
      </c>
      <c r="R10" s="1029"/>
    </row>
    <row r="11" spans="1:18" ht="18" customHeight="1">
      <c r="A11" s="2074" t="s">
        <v>21</v>
      </c>
      <c r="B11" s="2070" t="s">
        <v>104</v>
      </c>
      <c r="C11" s="2071"/>
      <c r="D11" s="402"/>
      <c r="E11" s="2088">
        <v>0.1</v>
      </c>
      <c r="F11" s="2088">
        <v>0.3</v>
      </c>
      <c r="G11" s="2091">
        <v>0.4</v>
      </c>
      <c r="H11" s="1800"/>
      <c r="I11" s="1801">
        <v>0.6</v>
      </c>
      <c r="J11" s="1024"/>
      <c r="K11" s="1045"/>
      <c r="L11" s="1029"/>
      <c r="M11" s="1029"/>
      <c r="N11" s="1029"/>
      <c r="O11" s="1029"/>
      <c r="P11" s="1029"/>
      <c r="Q11" s="1029"/>
      <c r="R11" s="1029"/>
    </row>
    <row r="12" spans="1:18" ht="18" customHeight="1">
      <c r="A12" s="2075"/>
      <c r="B12" s="2089" t="s">
        <v>105</v>
      </c>
      <c r="C12" s="2090"/>
      <c r="D12" s="402"/>
      <c r="E12" s="2081"/>
      <c r="F12" s="2081"/>
      <c r="G12" s="2064"/>
      <c r="H12" s="1800"/>
      <c r="I12" s="1802">
        <v>1.4</v>
      </c>
      <c r="J12" s="1024"/>
      <c r="K12" s="1046"/>
      <c r="L12" s="1029"/>
      <c r="M12" s="1029"/>
      <c r="N12" s="1029"/>
      <c r="O12" s="1029"/>
      <c r="P12" s="1029"/>
      <c r="Q12" s="1029"/>
      <c r="R12" s="1029"/>
    </row>
    <row r="13" spans="1:18" ht="18" customHeight="1">
      <c r="A13" s="2074" t="s">
        <v>842</v>
      </c>
      <c r="B13" s="2077" t="s">
        <v>221</v>
      </c>
      <c r="C13" s="2078"/>
      <c r="D13" s="402"/>
      <c r="E13" s="1803">
        <v>0.1</v>
      </c>
      <c r="F13" s="1803">
        <v>0.1</v>
      </c>
      <c r="G13" s="1804">
        <v>0.2</v>
      </c>
      <c r="H13" s="1800"/>
      <c r="I13" s="1802">
        <v>0.5</v>
      </c>
      <c r="J13" s="1024"/>
      <c r="K13" s="1046"/>
      <c r="L13" s="1029"/>
      <c r="M13" s="1029"/>
      <c r="N13" s="1029"/>
      <c r="O13" s="1029"/>
      <c r="P13" s="1029"/>
      <c r="Q13" s="1029"/>
      <c r="R13" s="1029"/>
    </row>
    <row r="14" spans="1:18" ht="18" customHeight="1">
      <c r="A14" s="2075"/>
      <c r="B14" s="2065" t="s">
        <v>22</v>
      </c>
      <c r="C14" s="2066"/>
      <c r="D14" s="402"/>
      <c r="E14" s="2079"/>
      <c r="F14" s="2079">
        <v>0.1</v>
      </c>
      <c r="G14" s="2062">
        <v>0.1</v>
      </c>
      <c r="H14" s="1800"/>
      <c r="I14" s="1802"/>
      <c r="J14" s="1024"/>
      <c r="K14" s="1046"/>
      <c r="L14" s="1029"/>
      <c r="M14" s="1029"/>
      <c r="N14" s="1029"/>
      <c r="O14" s="1029"/>
      <c r="P14" s="1029"/>
      <c r="Q14" s="1029"/>
      <c r="R14" s="1029"/>
    </row>
    <row r="15" spans="1:18" ht="18" customHeight="1">
      <c r="A15" s="2075"/>
      <c r="B15" s="2065" t="s">
        <v>23</v>
      </c>
      <c r="C15" s="2066"/>
      <c r="D15" s="402"/>
      <c r="E15" s="2080"/>
      <c r="F15" s="2080"/>
      <c r="G15" s="2063"/>
      <c r="H15" s="1800"/>
      <c r="I15" s="1802">
        <v>2.1</v>
      </c>
      <c r="J15" s="1024"/>
      <c r="K15" s="1046"/>
      <c r="L15" s="1029"/>
      <c r="M15" s="1029"/>
      <c r="N15" s="1029"/>
      <c r="O15" s="1029"/>
      <c r="P15" s="1029"/>
      <c r="Q15" s="1029"/>
      <c r="R15" s="1029"/>
    </row>
    <row r="16" spans="1:18" ht="18" customHeight="1" thickBot="1">
      <c r="A16" s="2076"/>
      <c r="B16" s="2067" t="s">
        <v>223</v>
      </c>
      <c r="C16" s="2068"/>
      <c r="D16" s="402"/>
      <c r="E16" s="2081"/>
      <c r="F16" s="2081"/>
      <c r="G16" s="2064"/>
      <c r="H16" s="1800"/>
      <c r="I16" s="1805">
        <v>0.3</v>
      </c>
      <c r="J16" s="1024"/>
      <c r="K16" s="1047"/>
      <c r="L16" s="1029"/>
      <c r="M16" s="1029"/>
      <c r="N16" s="1029"/>
      <c r="O16" s="1029"/>
      <c r="P16" s="1029"/>
      <c r="Q16" s="1029"/>
      <c r="R16" s="1029"/>
    </row>
    <row r="17" spans="1:18" ht="18" customHeight="1">
      <c r="A17" s="2053" t="s">
        <v>24</v>
      </c>
      <c r="B17" s="2070" t="s">
        <v>224</v>
      </c>
      <c r="C17" s="2071"/>
      <c r="D17" s="403"/>
      <c r="E17" s="1803">
        <v>0.5</v>
      </c>
      <c r="F17" s="1803">
        <v>0.1</v>
      </c>
      <c r="G17" s="1804">
        <v>0.6</v>
      </c>
      <c r="H17" s="1800"/>
      <c r="I17" s="1806">
        <v>0.8</v>
      </c>
      <c r="J17" s="1024"/>
      <c r="K17" s="1048"/>
      <c r="L17" s="1029"/>
      <c r="M17" s="1029"/>
      <c r="N17" s="1029"/>
      <c r="O17" s="1029"/>
      <c r="P17" s="1029"/>
      <c r="Q17" s="1029"/>
      <c r="R17" s="1029"/>
    </row>
    <row r="18" spans="1:18" ht="18" customHeight="1">
      <c r="A18" s="2054"/>
      <c r="B18" s="2072" t="s">
        <v>119</v>
      </c>
      <c r="C18" s="2073"/>
      <c r="D18" s="1049"/>
      <c r="E18" s="1803"/>
      <c r="F18" s="1803"/>
      <c r="G18" s="1807">
        <v>0</v>
      </c>
      <c r="H18" s="1800"/>
      <c r="I18" s="1802">
        <v>1.5</v>
      </c>
      <c r="J18" s="1024"/>
      <c r="K18" s="1046"/>
      <c r="L18" s="1029"/>
      <c r="M18" s="1029"/>
      <c r="N18" s="1029"/>
      <c r="O18" s="1029"/>
      <c r="P18" s="1029"/>
      <c r="Q18" s="1029"/>
      <c r="R18" s="1029"/>
    </row>
    <row r="19" spans="1:18" ht="18" customHeight="1" thickBot="1">
      <c r="A19" s="2069"/>
      <c r="B19" s="2058" t="s">
        <v>609</v>
      </c>
      <c r="C19" s="2059"/>
      <c r="D19" s="403"/>
      <c r="E19" s="1808">
        <v>0.1</v>
      </c>
      <c r="F19" s="1809">
        <v>1.5</v>
      </c>
      <c r="G19" s="1810">
        <v>1.6</v>
      </c>
      <c r="H19" s="1800"/>
      <c r="I19" s="1811">
        <v>0.2</v>
      </c>
      <c r="J19" s="1024"/>
      <c r="K19" s="1052"/>
      <c r="L19" s="1029"/>
      <c r="M19" s="1029"/>
      <c r="N19" s="1029"/>
      <c r="O19" s="1029"/>
      <c r="P19" s="1029"/>
      <c r="Q19" s="1029"/>
      <c r="R19" s="1029"/>
    </row>
    <row r="20" spans="1:18" ht="18" customHeight="1">
      <c r="A20" s="2052" t="s">
        <v>244</v>
      </c>
      <c r="B20" s="2056" t="s">
        <v>224</v>
      </c>
      <c r="C20" s="2057"/>
      <c r="D20" s="403"/>
      <c r="E20" s="1803">
        <v>0.1</v>
      </c>
      <c r="F20" s="1803"/>
      <c r="G20" s="1812">
        <v>0.1</v>
      </c>
      <c r="H20" s="1800"/>
      <c r="I20" s="1801">
        <v>0.1</v>
      </c>
      <c r="J20" s="1024"/>
      <c r="K20" s="1045"/>
      <c r="L20" s="1029"/>
      <c r="M20" s="1029"/>
      <c r="N20" s="1029"/>
      <c r="O20" s="1029"/>
      <c r="P20" s="1029"/>
      <c r="Q20" s="1029"/>
      <c r="R20" s="1029"/>
    </row>
    <row r="21" spans="1:18" ht="18" customHeight="1">
      <c r="A21" s="2053"/>
      <c r="B21" s="1339" t="s">
        <v>610</v>
      </c>
      <c r="C21" s="401"/>
      <c r="D21" s="402"/>
      <c r="E21" s="1803"/>
      <c r="F21" s="1803"/>
      <c r="G21" s="1804">
        <v>0</v>
      </c>
      <c r="H21" s="1800"/>
      <c r="I21" s="1806"/>
      <c r="J21" s="1024"/>
      <c r="K21" s="1048"/>
      <c r="L21" s="1029"/>
      <c r="M21" s="1029"/>
      <c r="N21" s="1029"/>
      <c r="O21" s="1029"/>
      <c r="P21" s="1029"/>
      <c r="Q21" s="1029"/>
      <c r="R21" s="1029"/>
    </row>
    <row r="22" spans="1:18" ht="18" customHeight="1">
      <c r="A22" s="2054"/>
      <c r="B22" s="1339" t="s">
        <v>611</v>
      </c>
      <c r="C22" s="401"/>
      <c r="D22" s="402"/>
      <c r="E22" s="1803"/>
      <c r="F22" s="1803"/>
      <c r="G22" s="1807">
        <v>0</v>
      </c>
      <c r="H22" s="1800"/>
      <c r="I22" s="1802">
        <v>0.3</v>
      </c>
      <c r="J22" s="1024"/>
      <c r="K22" s="1046"/>
      <c r="L22" s="1029"/>
      <c r="M22" s="1029"/>
      <c r="N22" s="1029"/>
      <c r="O22" s="1029"/>
      <c r="P22" s="1029"/>
      <c r="Q22" s="1029"/>
      <c r="R22" s="1029"/>
    </row>
    <row r="23" spans="1:18" ht="18" customHeight="1" thickBot="1">
      <c r="A23" s="2055"/>
      <c r="B23" s="2058" t="s">
        <v>609</v>
      </c>
      <c r="C23" s="2059"/>
      <c r="D23" s="402"/>
      <c r="E23" s="1808">
        <v>0.1</v>
      </c>
      <c r="F23" s="1809">
        <v>0.7</v>
      </c>
      <c r="G23" s="1813">
        <v>0.8</v>
      </c>
      <c r="H23" s="1800"/>
      <c r="I23" s="1805">
        <v>0.2</v>
      </c>
      <c r="J23" s="1024"/>
      <c r="K23" s="1047"/>
      <c r="L23" s="1029"/>
      <c r="M23" s="1029"/>
      <c r="N23" s="1029"/>
      <c r="O23" s="1029"/>
      <c r="P23" s="1029"/>
      <c r="Q23" s="1029"/>
      <c r="R23" s="1029"/>
    </row>
    <row r="24" spans="1:18" ht="18" customHeight="1">
      <c r="A24" s="2060" t="s">
        <v>242</v>
      </c>
      <c r="B24" s="2056" t="s">
        <v>224</v>
      </c>
      <c r="C24" s="2057"/>
      <c r="D24" s="403"/>
      <c r="E24" s="1803">
        <v>0.2</v>
      </c>
      <c r="F24" s="1803">
        <v>0.6</v>
      </c>
      <c r="G24" s="1804">
        <v>0.8</v>
      </c>
      <c r="H24" s="1800"/>
      <c r="I24" s="1806"/>
      <c r="J24" s="1024"/>
      <c r="K24" s="1048"/>
      <c r="L24" s="1029"/>
      <c r="M24" s="1053"/>
      <c r="N24" s="1053"/>
      <c r="O24" s="1054">
        <v>0</v>
      </c>
      <c r="P24" s="1029"/>
      <c r="Q24" s="1045"/>
      <c r="R24" s="1029"/>
    </row>
    <row r="25" spans="1:18" ht="18" customHeight="1">
      <c r="A25" s="2061"/>
      <c r="B25" s="1339" t="s">
        <v>610</v>
      </c>
      <c r="C25" s="1340"/>
      <c r="D25" s="402"/>
      <c r="E25" s="1803"/>
      <c r="F25" s="1803"/>
      <c r="G25" s="1807">
        <v>0</v>
      </c>
      <c r="H25" s="1800"/>
      <c r="I25" s="1802"/>
      <c r="J25" s="1024"/>
      <c r="K25" s="1046"/>
      <c r="L25" s="1029"/>
      <c r="M25" s="1050"/>
      <c r="N25" s="1050"/>
      <c r="O25" s="1051">
        <v>0</v>
      </c>
      <c r="P25" s="1029"/>
      <c r="Q25" s="1046"/>
      <c r="R25" s="1029"/>
    </row>
    <row r="26" spans="1:18" ht="18" customHeight="1">
      <c r="A26" s="2061"/>
      <c r="B26" s="1339" t="s">
        <v>611</v>
      </c>
      <c r="C26" s="1340"/>
      <c r="D26" s="402"/>
      <c r="E26" s="1803"/>
      <c r="F26" s="1803"/>
      <c r="G26" s="1807">
        <v>0</v>
      </c>
      <c r="H26" s="1800"/>
      <c r="I26" s="1802"/>
      <c r="J26" s="1024"/>
      <c r="K26" s="1046"/>
      <c r="L26" s="1029"/>
      <c r="M26" s="1050"/>
      <c r="N26" s="1050"/>
      <c r="O26" s="1051">
        <v>0</v>
      </c>
      <c r="P26" s="1029"/>
      <c r="Q26" s="1046"/>
      <c r="R26" s="1029"/>
    </row>
    <row r="27" spans="1:18" ht="18" customHeight="1" thickBot="1">
      <c r="A27" s="2061"/>
      <c r="B27" s="2058" t="s">
        <v>609</v>
      </c>
      <c r="C27" s="2059"/>
      <c r="D27" s="402"/>
      <c r="E27" s="1803">
        <v>0.1</v>
      </c>
      <c r="F27" s="1803">
        <v>0.5</v>
      </c>
      <c r="G27" s="1810">
        <v>0.6</v>
      </c>
      <c r="H27" s="1800"/>
      <c r="I27" s="1811"/>
      <c r="J27" s="1024"/>
      <c r="K27" s="1052"/>
      <c r="L27" s="1029"/>
      <c r="M27" s="1055"/>
      <c r="N27" s="1055"/>
      <c r="O27" s="1056">
        <v>0</v>
      </c>
      <c r="P27" s="1029"/>
      <c r="Q27" s="1047"/>
      <c r="R27" s="1029"/>
    </row>
    <row r="28" spans="1:18" ht="18" customHeight="1" thickBot="1">
      <c r="A28" s="2024" t="s">
        <v>612</v>
      </c>
      <c r="B28" s="2025"/>
      <c r="C28" s="2026"/>
      <c r="D28" s="402"/>
      <c r="E28" s="1803"/>
      <c r="F28" s="1803"/>
      <c r="G28" s="1814"/>
      <c r="H28" s="1800"/>
      <c r="I28" s="1815"/>
      <c r="J28" s="1024"/>
      <c r="K28" s="1059"/>
      <c r="L28" s="1029"/>
      <c r="M28" s="1057"/>
      <c r="N28" s="1057"/>
      <c r="O28" s="1058">
        <v>0</v>
      </c>
      <c r="P28" s="1029"/>
      <c r="Q28" s="1059"/>
      <c r="R28" s="1029"/>
    </row>
    <row r="29" spans="1:18" ht="18" customHeight="1" thickBot="1">
      <c r="A29" s="2024" t="s">
        <v>728</v>
      </c>
      <c r="B29" s="2025"/>
      <c r="C29" s="2026"/>
      <c r="D29" s="404"/>
      <c r="E29" s="1816"/>
      <c r="F29" s="1817"/>
      <c r="G29" s="1818"/>
      <c r="H29" s="1819"/>
      <c r="I29" s="1820">
        <v>1</v>
      </c>
      <c r="J29" s="1024"/>
      <c r="K29" s="1063"/>
      <c r="L29" s="1064"/>
      <c r="M29" s="1065"/>
      <c r="N29" s="1066"/>
      <c r="O29" s="1062"/>
      <c r="P29" s="1064"/>
      <c r="Q29" s="1067"/>
      <c r="R29" s="1064"/>
    </row>
    <row r="30" spans="1:18" ht="18" customHeight="1" thickBot="1">
      <c r="A30" s="2024" t="s">
        <v>25</v>
      </c>
      <c r="B30" s="2025"/>
      <c r="C30" s="2026"/>
      <c r="D30" s="404"/>
      <c r="E30" s="1816"/>
      <c r="F30" s="1803">
        <v>0.6</v>
      </c>
      <c r="G30" s="1810">
        <v>0.6</v>
      </c>
      <c r="H30" s="1819"/>
      <c r="I30" s="1821"/>
      <c r="J30" s="1024"/>
      <c r="K30" s="1068"/>
      <c r="L30" s="1064"/>
      <c r="M30" s="1060"/>
      <c r="N30" s="1061"/>
      <c r="O30" s="1062"/>
      <c r="P30" s="1064"/>
      <c r="Q30" s="1069"/>
      <c r="R30" s="1064"/>
    </row>
    <row r="31" spans="1:18" ht="18" customHeight="1" thickBot="1">
      <c r="A31" s="2024" t="s">
        <v>26</v>
      </c>
      <c r="B31" s="2025"/>
      <c r="C31" s="2026"/>
      <c r="D31" s="404"/>
      <c r="E31" s="1816"/>
      <c r="F31" s="1803">
        <v>0.1</v>
      </c>
      <c r="G31" s="1814">
        <v>0.1</v>
      </c>
      <c r="H31" s="1819"/>
      <c r="I31" s="1821"/>
      <c r="J31" s="1024"/>
      <c r="K31" s="1068"/>
      <c r="L31" s="1064"/>
      <c r="M31" s="1060"/>
      <c r="N31" s="1061"/>
      <c r="O31" s="1062"/>
      <c r="P31" s="1064"/>
      <c r="Q31" s="1069"/>
      <c r="R31" s="1064"/>
    </row>
    <row r="32" spans="1:18" ht="18" customHeight="1" thickBot="1">
      <c r="A32" s="2024" t="s">
        <v>27</v>
      </c>
      <c r="B32" s="2025"/>
      <c r="C32" s="2026"/>
      <c r="D32" s="404"/>
      <c r="E32" s="1816"/>
      <c r="F32" s="1817"/>
      <c r="G32" s="1818"/>
      <c r="H32" s="1819"/>
      <c r="I32" s="1820">
        <v>-0.6</v>
      </c>
      <c r="J32" s="1024"/>
      <c r="K32" s="1068"/>
      <c r="L32" s="1064"/>
      <c r="M32" s="1060"/>
      <c r="N32" s="1061"/>
      <c r="O32" s="1062"/>
      <c r="P32" s="1064"/>
      <c r="Q32" s="1069"/>
      <c r="R32" s="1064"/>
    </row>
    <row r="33" spans="1:18" ht="18" customHeight="1" thickBot="1">
      <c r="A33" s="2024" t="s">
        <v>28</v>
      </c>
      <c r="B33" s="2025"/>
      <c r="C33" s="2026"/>
      <c r="D33" s="404"/>
      <c r="E33" s="1816"/>
      <c r="F33" s="1803"/>
      <c r="G33" s="1814">
        <v>0</v>
      </c>
      <c r="H33" s="1819"/>
      <c r="I33" s="1822"/>
      <c r="J33" s="1024"/>
      <c r="K33" s="1068"/>
      <c r="L33" s="1064"/>
      <c r="M33" s="1060"/>
      <c r="N33" s="1061"/>
      <c r="O33" s="1062"/>
      <c r="P33" s="1064"/>
      <c r="Q33" s="1069"/>
      <c r="R33" s="1064"/>
    </row>
    <row r="34" spans="1:18" ht="18" customHeight="1" thickBot="1">
      <c r="A34" s="2027" t="s">
        <v>245</v>
      </c>
      <c r="B34" s="2028"/>
      <c r="C34" s="2029"/>
      <c r="D34" s="1070"/>
      <c r="E34" s="1823">
        <v>1.3</v>
      </c>
      <c r="F34" s="1823">
        <v>4.5999999999999996</v>
      </c>
      <c r="G34" s="1823">
        <v>5.9</v>
      </c>
      <c r="H34" s="1824"/>
      <c r="I34" s="1823">
        <v>8.4</v>
      </c>
      <c r="J34" s="1070"/>
      <c r="K34" s="1071">
        <f>SUM(K11:K33)</f>
        <v>0</v>
      </c>
      <c r="L34" s="1072"/>
      <c r="M34" s="1071">
        <v>0</v>
      </c>
      <c r="N34" s="1071">
        <v>0</v>
      </c>
      <c r="O34" s="1071">
        <v>0</v>
      </c>
      <c r="P34" s="1072"/>
      <c r="Q34" s="1071">
        <v>0</v>
      </c>
      <c r="R34" s="1072"/>
    </row>
    <row r="35" spans="1:18" ht="15" thickBot="1">
      <c r="A35" s="1029"/>
      <c r="B35" s="1029"/>
      <c r="C35" s="1029"/>
      <c r="D35" s="1073"/>
      <c r="E35" s="1029"/>
      <c r="F35" s="1029"/>
      <c r="G35" s="1074"/>
      <c r="H35" s="1029"/>
      <c r="I35" s="1074"/>
      <c r="J35" s="1028"/>
      <c r="K35" s="1074"/>
      <c r="L35" s="1029"/>
      <c r="M35" s="1029"/>
      <c r="N35" s="1029"/>
      <c r="O35" s="1029"/>
      <c r="P35" s="1029"/>
      <c r="Q35" s="1029"/>
      <c r="R35" s="1029"/>
    </row>
    <row r="36" spans="1:18" ht="30.75" thickBot="1">
      <c r="A36" s="1075"/>
      <c r="B36" s="1075"/>
      <c r="C36" s="1076"/>
      <c r="D36" s="451"/>
      <c r="E36" s="1077" t="s">
        <v>741</v>
      </c>
      <c r="F36" s="1078"/>
      <c r="G36" s="1078"/>
      <c r="H36" s="1078"/>
      <c r="I36" s="1090" t="s">
        <v>4</v>
      </c>
      <c r="J36" s="1070"/>
      <c r="K36" s="1080" t="s">
        <v>5</v>
      </c>
      <c r="L36" s="1081"/>
      <c r="M36" s="1072"/>
      <c r="N36" s="1072"/>
      <c r="O36" s="1072"/>
      <c r="P36" s="1072"/>
      <c r="Q36" s="1072"/>
      <c r="R36" s="1072"/>
    </row>
    <row r="37" spans="1:18" ht="17.25" customHeight="1" thickBot="1">
      <c r="A37" s="1072"/>
      <c r="B37" s="1081"/>
      <c r="C37" s="1081"/>
      <c r="D37" s="1081"/>
      <c r="E37" s="2040"/>
      <c r="F37" s="2041"/>
      <c r="G37" s="2041"/>
      <c r="H37" s="2042"/>
      <c r="I37" s="1338" t="s">
        <v>157</v>
      </c>
      <c r="J37" s="1070"/>
      <c r="K37" s="1079" t="s">
        <v>157</v>
      </c>
      <c r="L37" s="1072"/>
      <c r="M37" s="1072"/>
      <c r="N37" s="1072"/>
      <c r="O37" s="1072"/>
      <c r="P37" s="1072"/>
      <c r="Q37" s="1072"/>
      <c r="R37" s="1072"/>
    </row>
    <row r="38" spans="1:18" ht="17.25" customHeight="1">
      <c r="A38" s="1029"/>
      <c r="B38" s="1073"/>
      <c r="C38" s="1073"/>
      <c r="D38" s="1073"/>
      <c r="E38" s="2043" t="s">
        <v>742</v>
      </c>
      <c r="F38" s="2044"/>
      <c r="G38" s="2044"/>
      <c r="H38" s="2045"/>
      <c r="I38" s="1825">
        <v>2.4</v>
      </c>
      <c r="J38" s="1024"/>
      <c r="K38" s="1048"/>
      <c r="L38" s="1029"/>
      <c r="M38" s="1029"/>
      <c r="N38" s="1029"/>
      <c r="O38" s="1029"/>
      <c r="P38" s="1029"/>
      <c r="Q38" s="1029"/>
      <c r="R38" s="1029"/>
    </row>
    <row r="39" spans="1:18" ht="17.25" customHeight="1" thickBot="1">
      <c r="A39" s="1029"/>
      <c r="B39" s="1073"/>
      <c r="C39" s="1073"/>
      <c r="D39" s="1073"/>
      <c r="E39" s="2046" t="s">
        <v>743</v>
      </c>
      <c r="F39" s="2047"/>
      <c r="G39" s="2047"/>
      <c r="H39" s="2048"/>
      <c r="I39" s="1826">
        <v>6</v>
      </c>
      <c r="J39" s="1024"/>
      <c r="K39" s="1052"/>
      <c r="L39" s="1029"/>
      <c r="M39" s="1029"/>
      <c r="N39" s="1029"/>
      <c r="O39" s="1029"/>
      <c r="P39" s="1029"/>
      <c r="Q39" s="1029"/>
      <c r="R39" s="1029"/>
    </row>
    <row r="40" spans="1:18" ht="17.25" customHeight="1" thickBot="1">
      <c r="A40" s="1029"/>
      <c r="B40" s="1070"/>
      <c r="C40" s="1070"/>
      <c r="D40" s="1070"/>
      <c r="E40" s="2049" t="s">
        <v>744</v>
      </c>
      <c r="F40" s="2050"/>
      <c r="G40" s="2050"/>
      <c r="H40" s="2051"/>
      <c r="I40" s="1814">
        <v>8.4</v>
      </c>
      <c r="J40" s="1024"/>
      <c r="K40" s="1058">
        <f>SUM(K38:K39)</f>
        <v>0</v>
      </c>
      <c r="L40" s="1029"/>
      <c r="M40" s="1029"/>
      <c r="N40" s="1029"/>
      <c r="O40" s="1029"/>
      <c r="P40" s="1029"/>
      <c r="Q40" s="1029"/>
      <c r="R40" s="1029"/>
    </row>
    <row r="41" spans="1:18" ht="15" thickBot="1">
      <c r="A41" s="1029"/>
      <c r="B41" s="1029"/>
      <c r="C41" s="1029"/>
      <c r="D41" s="1073"/>
      <c r="E41" s="1029"/>
      <c r="F41" s="1029"/>
      <c r="G41" s="1029"/>
      <c r="H41" s="1029"/>
      <c r="I41" s="1074"/>
      <c r="J41" s="1082"/>
      <c r="K41" s="1074"/>
      <c r="L41" s="1029"/>
      <c r="M41" s="1029"/>
      <c r="N41" s="1029"/>
      <c r="O41" s="1029"/>
      <c r="P41" s="1029"/>
      <c r="Q41" s="1029"/>
      <c r="R41" s="1029"/>
    </row>
    <row r="42" spans="1:18" ht="20.25">
      <c r="A42" s="1028"/>
      <c r="B42" s="1083"/>
      <c r="C42" s="2032" t="s">
        <v>214</v>
      </c>
      <c r="D42" s="2033"/>
      <c r="E42" s="2033"/>
      <c r="F42" s="2034"/>
      <c r="G42" s="2038" t="s">
        <v>157</v>
      </c>
      <c r="H42" s="1024"/>
      <c r="I42" s="1028"/>
      <c r="J42" s="1028"/>
      <c r="K42" s="1028"/>
      <c r="L42" s="1028"/>
      <c r="M42" s="2032" t="s">
        <v>214</v>
      </c>
      <c r="N42" s="2033"/>
      <c r="O42" s="2038" t="s">
        <v>157</v>
      </c>
      <c r="P42" s="1028"/>
      <c r="Q42" s="1028"/>
      <c r="R42" s="1028"/>
    </row>
    <row r="43" spans="1:18" ht="21" thickBot="1">
      <c r="A43" s="1028"/>
      <c r="B43" s="1083"/>
      <c r="C43" s="2035"/>
      <c r="D43" s="2036"/>
      <c r="E43" s="2036"/>
      <c r="F43" s="2037"/>
      <c r="G43" s="2039"/>
      <c r="H43" s="1024"/>
      <c r="I43" s="1028"/>
      <c r="J43" s="1028"/>
      <c r="K43" s="1028"/>
      <c r="L43" s="1028"/>
      <c r="M43" s="2035"/>
      <c r="N43" s="2036"/>
      <c r="O43" s="2039"/>
      <c r="P43" s="1028"/>
      <c r="Q43" s="1028"/>
      <c r="R43" s="1028"/>
    </row>
    <row r="44" spans="1:18" ht="18" customHeight="1" thickBot="1">
      <c r="A44" s="1028"/>
      <c r="B44" s="1084"/>
      <c r="C44" s="2018" t="s">
        <v>239</v>
      </c>
      <c r="D44" s="2019"/>
      <c r="E44" s="2019"/>
      <c r="F44" s="2020"/>
      <c r="G44" s="1825">
        <v>1.1655181170566711</v>
      </c>
      <c r="H44" s="1024"/>
      <c r="I44" s="1028"/>
      <c r="J44" s="1028"/>
      <c r="K44" s="1028"/>
      <c r="L44" s="1028"/>
      <c r="M44" s="2030" t="s">
        <v>242</v>
      </c>
      <c r="N44" s="2031"/>
      <c r="O44" s="1827">
        <v>0.1</v>
      </c>
      <c r="P44" s="1028"/>
      <c r="Q44" s="1028"/>
      <c r="R44" s="1028"/>
    </row>
    <row r="45" spans="1:18" ht="18" customHeight="1" thickBot="1">
      <c r="A45" s="1028"/>
      <c r="B45" s="1084"/>
      <c r="C45" s="2018" t="s">
        <v>238</v>
      </c>
      <c r="D45" s="2019"/>
      <c r="E45" s="2019"/>
      <c r="F45" s="2020"/>
      <c r="G45" s="1825">
        <v>2.3630693363750601</v>
      </c>
      <c r="H45" s="1024"/>
      <c r="I45" s="1028"/>
      <c r="J45" s="1028"/>
      <c r="K45" s="1028"/>
      <c r="L45" s="1028"/>
      <c r="M45" s="1028"/>
      <c r="N45" s="1028"/>
      <c r="O45" s="1028"/>
      <c r="P45" s="1028"/>
      <c r="Q45" s="1028"/>
      <c r="R45" s="1028"/>
    </row>
    <row r="46" spans="1:18" ht="18" customHeight="1" thickBot="1">
      <c r="A46" s="1028"/>
      <c r="B46" s="1084"/>
      <c r="C46" s="2018" t="s">
        <v>244</v>
      </c>
      <c r="D46" s="2019"/>
      <c r="E46" s="2019"/>
      <c r="F46" s="2020"/>
      <c r="G46" s="1825">
        <v>0.48131015744404471</v>
      </c>
      <c r="H46" s="1024"/>
      <c r="I46" s="1028"/>
      <c r="J46" s="1028"/>
      <c r="K46" s="1028"/>
      <c r="L46" s="1028"/>
      <c r="M46" s="1028"/>
      <c r="N46" s="1028"/>
      <c r="O46" s="1028"/>
      <c r="P46" s="1028"/>
      <c r="Q46" s="1028"/>
      <c r="R46" s="1028"/>
    </row>
    <row r="47" spans="1:18" ht="18" customHeight="1" thickBot="1">
      <c r="A47" s="1028"/>
      <c r="B47" s="1084"/>
      <c r="C47" s="2018" t="s">
        <v>242</v>
      </c>
      <c r="D47" s="2019"/>
      <c r="E47" s="2019"/>
      <c r="F47" s="2020"/>
      <c r="G47" s="1825">
        <v>0.14846693171693162</v>
      </c>
      <c r="H47" s="1024"/>
      <c r="I47" s="1028"/>
      <c r="J47" s="1028"/>
      <c r="K47" s="1028"/>
      <c r="L47" s="1028"/>
      <c r="M47" s="1028"/>
      <c r="N47" s="1028"/>
      <c r="O47" s="1028"/>
      <c r="P47" s="1028"/>
      <c r="Q47" s="1028"/>
      <c r="R47" s="1028"/>
    </row>
    <row r="48" spans="1:18" ht="18" customHeight="1" thickBot="1">
      <c r="A48" s="1028"/>
      <c r="B48" s="1085"/>
      <c r="C48" s="2021" t="s">
        <v>39</v>
      </c>
      <c r="D48" s="2022"/>
      <c r="E48" s="2022"/>
      <c r="F48" s="2023"/>
      <c r="G48" s="1828">
        <v>4.1583645425927083</v>
      </c>
      <c r="H48" s="1024"/>
      <c r="I48" s="1028"/>
      <c r="J48" s="1028"/>
      <c r="K48" s="1028"/>
      <c r="L48" s="1028"/>
      <c r="M48" s="1028"/>
      <c r="N48" s="1028"/>
      <c r="O48" s="1028"/>
      <c r="P48" s="1028"/>
      <c r="Q48" s="1028"/>
      <c r="R48" s="1028"/>
    </row>
    <row r="49" spans="1:18" ht="15">
      <c r="A49" s="445"/>
      <c r="B49" s="445"/>
      <c r="C49" s="445"/>
      <c r="D49" s="445"/>
      <c r="E49" s="445"/>
      <c r="F49" s="445"/>
      <c r="G49" s="1074"/>
      <c r="H49" s="1086"/>
      <c r="I49" s="1087"/>
      <c r="J49" s="1087"/>
      <c r="K49" s="1087"/>
      <c r="L49" s="1088"/>
      <c r="M49" s="1029"/>
      <c r="N49" s="1029"/>
      <c r="O49" s="1029"/>
      <c r="P49" s="1029"/>
      <c r="Q49" s="1029"/>
      <c r="R49" s="1029"/>
    </row>
    <row r="50" spans="1:18" ht="13.5" thickBot="1"/>
    <row r="51" spans="1:18" ht="14.25">
      <c r="E51" s="2018"/>
      <c r="F51" s="2019"/>
      <c r="G51" s="2019"/>
      <c r="H51" s="2020"/>
    </row>
  </sheetData>
  <mergeCells count="52">
    <mergeCell ref="G11:G12"/>
    <mergeCell ref="F11:F12"/>
    <mergeCell ref="M7:Q7"/>
    <mergeCell ref="E7:G7"/>
    <mergeCell ref="I7:K7"/>
    <mergeCell ref="E8:G8"/>
    <mergeCell ref="M8:O8"/>
    <mergeCell ref="A9:C10"/>
    <mergeCell ref="A11:A12"/>
    <mergeCell ref="B11:C11"/>
    <mergeCell ref="E11:E12"/>
    <mergeCell ref="B12:C12"/>
    <mergeCell ref="G14:G16"/>
    <mergeCell ref="B15:C15"/>
    <mergeCell ref="B16:C16"/>
    <mergeCell ref="A17:A19"/>
    <mergeCell ref="B17:C17"/>
    <mergeCell ref="B18:C18"/>
    <mergeCell ref="B19:C19"/>
    <mergeCell ref="A13:A16"/>
    <mergeCell ref="B13:C13"/>
    <mergeCell ref="B14:C14"/>
    <mergeCell ref="E14:E16"/>
    <mergeCell ref="F14:F16"/>
    <mergeCell ref="A20:A23"/>
    <mergeCell ref="B20:C20"/>
    <mergeCell ref="B23:C23"/>
    <mergeCell ref="A24:A27"/>
    <mergeCell ref="B24:C24"/>
    <mergeCell ref="B27:C27"/>
    <mergeCell ref="O42:O43"/>
    <mergeCell ref="G42:G43"/>
    <mergeCell ref="E37:H37"/>
    <mergeCell ref="E38:H38"/>
    <mergeCell ref="E39:H39"/>
    <mergeCell ref="E40:H40"/>
    <mergeCell ref="M42:N43"/>
    <mergeCell ref="M44:N44"/>
    <mergeCell ref="C42:F43"/>
    <mergeCell ref="C44:F44"/>
    <mergeCell ref="C45:F45"/>
    <mergeCell ref="C46:F46"/>
    <mergeCell ref="C47:F47"/>
    <mergeCell ref="C48:F48"/>
    <mergeCell ref="E51:H51"/>
    <mergeCell ref="A28:C28"/>
    <mergeCell ref="A34:C34"/>
    <mergeCell ref="A32:C32"/>
    <mergeCell ref="A33:C33"/>
    <mergeCell ref="A29:C29"/>
    <mergeCell ref="A30:C30"/>
    <mergeCell ref="A31:C31"/>
  </mergeCells>
  <phoneticPr fontId="0" type="noConversion"/>
  <dataValidations count="1">
    <dataValidation type="decimal" operator="lessThanOrEqual" allowBlank="1" showInputMessage="1" showErrorMessage="1" sqref="I32">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enableFormatConditionsCalculation="0">
    <tabColor rgb="FFC1DFFF"/>
  </sheetPr>
  <dimension ref="A1:N89"/>
  <sheetViews>
    <sheetView workbookViewId="0">
      <selection sqref="A1:XFD1048576"/>
    </sheetView>
  </sheetViews>
  <sheetFormatPr defaultColWidth="8.85546875" defaultRowHeight="12.75"/>
  <cols>
    <col min="1" max="2" width="8.85546875" customWidth="1"/>
    <col min="3" max="3" width="74.85546875" bestFit="1" customWidth="1"/>
    <col min="4" max="4" width="42" customWidth="1"/>
  </cols>
  <sheetData>
    <row r="1" spans="1:14" s="852" customFormat="1">
      <c r="A1" s="890" t="s">
        <v>16</v>
      </c>
      <c r="E1" s="1015" t="s">
        <v>1019</v>
      </c>
    </row>
    <row r="2" spans="1:14">
      <c r="A2" s="1342"/>
    </row>
    <row r="3" spans="1:14">
      <c r="A3" s="1342" t="s">
        <v>29</v>
      </c>
    </row>
    <row r="5" spans="1:14" ht="20.25">
      <c r="A5" s="395" t="s">
        <v>194</v>
      </c>
      <c r="B5" s="396"/>
      <c r="C5" s="396"/>
      <c r="D5" s="397"/>
      <c r="E5" s="396"/>
      <c r="F5" s="396"/>
      <c r="G5" s="396"/>
      <c r="H5" s="396"/>
      <c r="I5" s="396"/>
      <c r="J5" s="396"/>
      <c r="K5" s="396"/>
      <c r="L5" s="396"/>
      <c r="M5" s="407"/>
      <c r="N5" s="407"/>
    </row>
    <row r="6" spans="1:14" ht="21" thickBot="1">
      <c r="A6" s="395"/>
      <c r="B6" s="396"/>
      <c r="C6" s="396"/>
      <c r="D6" s="397"/>
      <c r="E6" s="396"/>
      <c r="F6" s="396"/>
      <c r="G6" s="396"/>
      <c r="H6" s="396"/>
      <c r="I6" s="396"/>
      <c r="J6" s="396"/>
      <c r="K6" s="396"/>
      <c r="L6" s="396"/>
      <c r="M6" s="407"/>
      <c r="N6" s="407"/>
    </row>
    <row r="7" spans="1:14" ht="18.75" thickBot="1">
      <c r="A7" s="398"/>
      <c r="B7" s="398"/>
      <c r="C7" s="2126" t="s">
        <v>747</v>
      </c>
      <c r="D7" s="2127"/>
      <c r="E7" s="408"/>
      <c r="F7" s="408"/>
      <c r="G7" s="408"/>
      <c r="H7" s="408"/>
      <c r="I7" s="408"/>
      <c r="J7" s="408"/>
      <c r="K7" s="408"/>
      <c r="L7" s="409"/>
      <c r="M7" s="398"/>
      <c r="N7" s="398"/>
    </row>
    <row r="8" spans="1:14" ht="109.5" thickBot="1">
      <c r="A8" s="398"/>
      <c r="B8" s="398"/>
      <c r="C8" s="2082" t="s">
        <v>83</v>
      </c>
      <c r="D8" s="2084"/>
      <c r="E8" s="410" t="s">
        <v>84</v>
      </c>
      <c r="F8" s="1092" t="s">
        <v>85</v>
      </c>
      <c r="G8" s="1092" t="s">
        <v>86</v>
      </c>
      <c r="H8" s="410" t="s">
        <v>159</v>
      </c>
      <c r="I8" s="1092" t="s">
        <v>160</v>
      </c>
      <c r="J8" s="1093" t="s">
        <v>15</v>
      </c>
      <c r="K8" s="1094" t="s">
        <v>780</v>
      </c>
      <c r="L8" s="411" t="s">
        <v>245</v>
      </c>
      <c r="M8" s="398"/>
      <c r="N8" s="398"/>
    </row>
    <row r="9" spans="1:14" ht="15.75" thickBot="1">
      <c r="A9" s="398"/>
      <c r="B9" s="398"/>
      <c r="C9" s="2085"/>
      <c r="D9" s="2087"/>
      <c r="E9" s="412" t="s">
        <v>157</v>
      </c>
      <c r="F9" s="413" t="s">
        <v>157</v>
      </c>
      <c r="G9" s="413" t="s">
        <v>157</v>
      </c>
      <c r="H9" s="412" t="s">
        <v>157</v>
      </c>
      <c r="I9" s="413" t="s">
        <v>157</v>
      </c>
      <c r="J9" s="413" t="s">
        <v>157</v>
      </c>
      <c r="K9" s="414" t="s">
        <v>157</v>
      </c>
      <c r="L9" s="415" t="s">
        <v>157</v>
      </c>
      <c r="M9" s="398"/>
      <c r="N9" s="398"/>
    </row>
    <row r="10" spans="1:14" ht="15">
      <c r="A10" s="398"/>
      <c r="B10" s="398"/>
      <c r="C10" s="2136" t="s">
        <v>664</v>
      </c>
      <c r="D10" s="2137"/>
      <c r="E10" s="416"/>
      <c r="F10" s="417"/>
      <c r="G10" s="417"/>
      <c r="H10" s="416"/>
      <c r="I10" s="417"/>
      <c r="J10" s="418"/>
      <c r="K10" s="418"/>
      <c r="L10" s="419"/>
      <c r="M10" s="398"/>
      <c r="N10" s="398"/>
    </row>
    <row r="11" spans="1:14" ht="14.25">
      <c r="A11" s="398"/>
      <c r="B11" s="398"/>
      <c r="C11" s="2149" t="s">
        <v>665</v>
      </c>
      <c r="D11" s="2150"/>
      <c r="E11" s="1829">
        <v>13.8</v>
      </c>
      <c r="F11" s="1829"/>
      <c r="G11" s="1829">
        <v>0.9</v>
      </c>
      <c r="H11" s="1829">
        <v>0.8</v>
      </c>
      <c r="I11" s="420"/>
      <c r="J11" s="421"/>
      <c r="K11" s="422"/>
      <c r="L11" s="423">
        <v>15.5</v>
      </c>
      <c r="M11" s="398"/>
      <c r="N11" s="398"/>
    </row>
    <row r="12" spans="1:14" ht="14.25">
      <c r="A12" s="398"/>
      <c r="B12" s="398"/>
      <c r="C12" s="2149" t="s">
        <v>666</v>
      </c>
      <c r="D12" s="2150"/>
      <c r="E12" s="1829">
        <v>2.4</v>
      </c>
      <c r="F12" s="1829"/>
      <c r="G12" s="1829">
        <v>0.2</v>
      </c>
      <c r="H12" s="1829">
        <v>0.3</v>
      </c>
      <c r="I12" s="420"/>
      <c r="J12" s="421"/>
      <c r="K12" s="422"/>
      <c r="L12" s="423">
        <v>2.9</v>
      </c>
      <c r="M12" s="398"/>
      <c r="N12" s="398"/>
    </row>
    <row r="13" spans="1:14" ht="14.25">
      <c r="A13" s="398"/>
      <c r="B13" s="398"/>
      <c r="C13" s="2149" t="s">
        <v>839</v>
      </c>
      <c r="D13" s="2150"/>
      <c r="E13" s="1829">
        <v>0.5</v>
      </c>
      <c r="F13" s="1829"/>
      <c r="G13" s="1829">
        <v>1.1000000000000001</v>
      </c>
      <c r="H13" s="1829">
        <v>0.6</v>
      </c>
      <c r="I13" s="420"/>
      <c r="J13" s="421"/>
      <c r="K13" s="422"/>
      <c r="L13" s="423">
        <v>2.2000000000000002</v>
      </c>
      <c r="M13" s="398"/>
      <c r="N13" s="398"/>
    </row>
    <row r="14" spans="1:14" ht="14.25">
      <c r="A14" s="398"/>
      <c r="B14" s="398"/>
      <c r="C14" s="2140" t="s">
        <v>840</v>
      </c>
      <c r="D14" s="2141"/>
      <c r="E14" s="1829">
        <v>0</v>
      </c>
      <c r="F14" s="1829"/>
      <c r="G14" s="1829">
        <v>0</v>
      </c>
      <c r="H14" s="1829">
        <v>0</v>
      </c>
      <c r="I14" s="420"/>
      <c r="J14" s="421"/>
      <c r="K14" s="422"/>
      <c r="L14" s="423">
        <v>0</v>
      </c>
      <c r="M14" s="398"/>
      <c r="N14" s="398"/>
    </row>
    <row r="15" spans="1:14" ht="15">
      <c r="A15" s="398"/>
      <c r="B15" s="398"/>
      <c r="C15" s="2138" t="s">
        <v>841</v>
      </c>
      <c r="D15" s="2139"/>
      <c r="E15" s="424"/>
      <c r="F15" s="425"/>
      <c r="G15" s="425"/>
      <c r="H15" s="424"/>
      <c r="I15" s="420"/>
      <c r="J15" s="421"/>
      <c r="K15" s="422"/>
      <c r="L15" s="426">
        <v>0</v>
      </c>
      <c r="M15" s="398"/>
      <c r="N15" s="398"/>
    </row>
    <row r="16" spans="1:14" ht="14.25">
      <c r="A16" s="398"/>
      <c r="B16" s="398"/>
      <c r="C16" s="2140" t="s">
        <v>842</v>
      </c>
      <c r="D16" s="2141"/>
      <c r="E16" s="427"/>
      <c r="F16" s="420"/>
      <c r="G16" s="420"/>
      <c r="H16" s="420"/>
      <c r="I16" s="1829">
        <v>0.3</v>
      </c>
      <c r="J16" s="1829"/>
      <c r="K16" s="422"/>
      <c r="L16" s="423">
        <v>0.3</v>
      </c>
      <c r="M16" s="398"/>
      <c r="N16" s="398"/>
    </row>
    <row r="17" spans="1:14" ht="14.25">
      <c r="A17" s="398"/>
      <c r="B17" s="398"/>
      <c r="C17" s="2140" t="s">
        <v>837</v>
      </c>
      <c r="D17" s="2141"/>
      <c r="E17" s="427"/>
      <c r="F17" s="420"/>
      <c r="G17" s="420"/>
      <c r="H17" s="420"/>
      <c r="I17" s="1829">
        <v>0.9</v>
      </c>
      <c r="J17" s="1829"/>
      <c r="K17" s="422"/>
      <c r="L17" s="423">
        <v>0.9</v>
      </c>
      <c r="M17" s="398"/>
      <c r="N17" s="398"/>
    </row>
    <row r="18" spans="1:14" ht="14.25">
      <c r="A18" s="398"/>
      <c r="B18" s="398"/>
      <c r="C18" s="2140" t="s">
        <v>838</v>
      </c>
      <c r="D18" s="2141"/>
      <c r="E18" s="427"/>
      <c r="F18" s="420"/>
      <c r="G18" s="420"/>
      <c r="H18" s="420"/>
      <c r="I18" s="1829">
        <v>1.4</v>
      </c>
      <c r="J18" s="1829"/>
      <c r="K18" s="422"/>
      <c r="L18" s="423">
        <v>1.4</v>
      </c>
      <c r="M18" s="398"/>
      <c r="N18" s="398"/>
    </row>
    <row r="19" spans="1:14" ht="14.25">
      <c r="A19" s="398"/>
      <c r="B19" s="398"/>
      <c r="C19" s="2140" t="s">
        <v>781</v>
      </c>
      <c r="D19" s="2141"/>
      <c r="E19" s="427"/>
      <c r="F19" s="420"/>
      <c r="G19" s="420"/>
      <c r="H19" s="420"/>
      <c r="I19" s="1829">
        <v>1.1000000000000001</v>
      </c>
      <c r="J19" s="1829"/>
      <c r="K19" s="422"/>
      <c r="L19" s="423">
        <v>1.1000000000000001</v>
      </c>
      <c r="M19" s="398"/>
      <c r="N19" s="398"/>
    </row>
    <row r="20" spans="1:14" ht="15">
      <c r="A20" s="398"/>
      <c r="B20" s="398"/>
      <c r="C20" s="2138" t="s">
        <v>780</v>
      </c>
      <c r="D20" s="2139"/>
      <c r="E20" s="428"/>
      <c r="F20" s="429"/>
      <c r="G20" s="429"/>
      <c r="H20" s="429"/>
      <c r="I20" s="429"/>
      <c r="J20" s="422"/>
      <c r="K20" s="1829"/>
      <c r="L20" s="423">
        <v>0</v>
      </c>
      <c r="M20" s="398"/>
      <c r="N20" s="398"/>
    </row>
    <row r="21" spans="1:14" ht="15">
      <c r="A21" s="398"/>
      <c r="B21" s="398"/>
      <c r="C21" s="2138" t="s">
        <v>782</v>
      </c>
      <c r="D21" s="2139"/>
      <c r="E21" s="430">
        <v>16.7</v>
      </c>
      <c r="F21" s="430">
        <v>0</v>
      </c>
      <c r="G21" s="430">
        <v>2.2000000000000002</v>
      </c>
      <c r="H21" s="430">
        <v>1.7</v>
      </c>
      <c r="I21" s="430">
        <v>3.7</v>
      </c>
      <c r="J21" s="430">
        <v>0</v>
      </c>
      <c r="K21" s="431">
        <v>0</v>
      </c>
      <c r="L21" s="432">
        <v>24.3</v>
      </c>
      <c r="M21" s="433"/>
      <c r="N21" s="398"/>
    </row>
    <row r="22" spans="1:14" ht="15" customHeight="1">
      <c r="A22" s="398"/>
      <c r="B22" s="398"/>
      <c r="C22" s="2140" t="s">
        <v>783</v>
      </c>
      <c r="D22" s="2141"/>
      <c r="E22" s="1829"/>
      <c r="F22" s="420"/>
      <c r="G22" s="1829"/>
      <c r="H22" s="1829"/>
      <c r="I22" s="1829"/>
      <c r="J22" s="1829"/>
      <c r="K22" s="1829"/>
      <c r="L22" s="423">
        <v>0</v>
      </c>
      <c r="M22" s="433"/>
      <c r="N22" s="398"/>
    </row>
    <row r="23" spans="1:14" ht="15">
      <c r="A23" s="398"/>
      <c r="B23" s="398"/>
      <c r="C23" s="2138" t="s">
        <v>831</v>
      </c>
      <c r="D23" s="2139"/>
      <c r="E23" s="430">
        <v>16.7</v>
      </c>
      <c r="F23" s="434">
        <v>0</v>
      </c>
      <c r="G23" s="434">
        <v>2.2000000000000002</v>
      </c>
      <c r="H23" s="434">
        <v>1.7</v>
      </c>
      <c r="I23" s="434">
        <v>3.7</v>
      </c>
      <c r="J23" s="434">
        <v>0</v>
      </c>
      <c r="K23" s="435">
        <v>0</v>
      </c>
      <c r="L23" s="432">
        <v>24.3</v>
      </c>
      <c r="M23" s="436"/>
      <c r="N23" s="398"/>
    </row>
    <row r="24" spans="1:14" ht="15.75" thickBot="1">
      <c r="A24" s="398"/>
      <c r="B24" s="398"/>
      <c r="C24" s="2140" t="s">
        <v>832</v>
      </c>
      <c r="D24" s="2141"/>
      <c r="E24" s="1829">
        <v>-22</v>
      </c>
      <c r="F24" s="1829"/>
      <c r="G24" s="1829">
        <v>-2.8</v>
      </c>
      <c r="H24" s="437"/>
      <c r="I24" s="438"/>
      <c r="J24" s="438"/>
      <c r="K24" s="1829"/>
      <c r="L24" s="439">
        <v>-24.8</v>
      </c>
      <c r="M24" s="440"/>
      <c r="N24" s="398"/>
    </row>
    <row r="25" spans="1:14" ht="15.75" thickBot="1">
      <c r="A25" s="398"/>
      <c r="B25" s="398"/>
      <c r="C25" s="2138" t="s">
        <v>833</v>
      </c>
      <c r="D25" s="2139"/>
      <c r="E25" s="441">
        <v>-5.3</v>
      </c>
      <c r="F25" s="442">
        <v>0</v>
      </c>
      <c r="G25" s="442">
        <v>-0.6</v>
      </c>
      <c r="H25" s="442">
        <v>1.7</v>
      </c>
      <c r="I25" s="442">
        <v>3.7</v>
      </c>
      <c r="J25" s="442">
        <v>0</v>
      </c>
      <c r="K25" s="443">
        <v>0</v>
      </c>
      <c r="L25" s="444">
        <v>-0.5</v>
      </c>
      <c r="M25" s="436"/>
      <c r="N25" s="398"/>
    </row>
    <row r="26" spans="1:14" ht="15.75" thickBot="1">
      <c r="A26" s="398"/>
      <c r="B26" s="398"/>
      <c r="C26" s="445"/>
      <c r="D26" s="445"/>
      <c r="E26" s="446"/>
      <c r="F26" s="446"/>
      <c r="G26" s="406"/>
      <c r="H26" s="447"/>
      <c r="I26" s="398"/>
      <c r="J26" s="398"/>
      <c r="K26" s="398"/>
      <c r="L26" s="398"/>
      <c r="M26" s="398"/>
      <c r="N26" s="398"/>
    </row>
    <row r="27" spans="1:14" ht="18.75" thickBot="1">
      <c r="A27" s="398"/>
      <c r="B27" s="398"/>
      <c r="C27" s="2128" t="s">
        <v>913</v>
      </c>
      <c r="D27" s="2129"/>
      <c r="E27" s="448"/>
      <c r="F27" s="448"/>
      <c r="G27" s="449"/>
      <c r="H27" s="398"/>
      <c r="I27" s="398"/>
      <c r="J27" s="398"/>
      <c r="K27" s="398"/>
      <c r="L27" s="405"/>
      <c r="M27" s="398"/>
      <c r="N27" s="398"/>
    </row>
    <row r="28" spans="1:14" ht="18" customHeight="1" thickBot="1">
      <c r="A28" s="398"/>
      <c r="B28" s="398"/>
      <c r="C28" s="2082" t="s">
        <v>83</v>
      </c>
      <c r="D28" s="2084"/>
      <c r="E28" s="2145" t="s">
        <v>49</v>
      </c>
      <c r="F28" s="2146"/>
      <c r="G28" s="450"/>
      <c r="H28" s="398"/>
      <c r="I28" s="398"/>
      <c r="J28" s="398"/>
      <c r="K28" s="398"/>
      <c r="L28" s="405"/>
      <c r="M28" s="398"/>
      <c r="N28" s="398"/>
    </row>
    <row r="29" spans="1:14" ht="45.75" thickBot="1">
      <c r="A29" s="398"/>
      <c r="B29" s="398"/>
      <c r="C29" s="2130"/>
      <c r="D29" s="2131"/>
      <c r="E29" s="1095" t="s">
        <v>845</v>
      </c>
      <c r="F29" s="1095" t="s">
        <v>101</v>
      </c>
      <c r="G29" s="1095" t="s">
        <v>102</v>
      </c>
      <c r="H29" s="398"/>
      <c r="I29" s="398"/>
      <c r="J29" s="398"/>
      <c r="K29" s="398"/>
      <c r="L29" s="405"/>
      <c r="M29" s="398"/>
      <c r="N29" s="398"/>
    </row>
    <row r="30" spans="1:14" ht="15.75" thickBot="1">
      <c r="A30" s="398"/>
      <c r="B30" s="398"/>
      <c r="C30" s="2085"/>
      <c r="D30" s="2087"/>
      <c r="E30" s="400" t="s">
        <v>157</v>
      </c>
      <c r="F30" s="400" t="s">
        <v>157</v>
      </c>
      <c r="G30" s="400" t="s">
        <v>157</v>
      </c>
      <c r="H30" s="398"/>
      <c r="I30" s="398"/>
      <c r="J30" s="398"/>
      <c r="K30" s="398"/>
      <c r="L30" s="405"/>
      <c r="M30" s="398"/>
      <c r="N30" s="398"/>
    </row>
    <row r="31" spans="1:14" s="852" customFormat="1" ht="18" customHeight="1">
      <c r="A31" s="1029"/>
      <c r="B31" s="1029"/>
      <c r="C31" s="2147" t="s">
        <v>103</v>
      </c>
      <c r="D31" s="453" t="s">
        <v>104</v>
      </c>
      <c r="E31" s="1830">
        <v>1.5</v>
      </c>
      <c r="F31" s="1829">
        <v>0</v>
      </c>
      <c r="G31" s="1831">
        <v>1.5</v>
      </c>
      <c r="H31" s="1029"/>
      <c r="I31" s="1029"/>
      <c r="J31" s="1029"/>
      <c r="K31" s="1029"/>
      <c r="L31" s="1072"/>
      <c r="M31" s="1029"/>
      <c r="N31" s="1029"/>
    </row>
    <row r="32" spans="1:14" s="852" customFormat="1" ht="18" customHeight="1" thickBot="1">
      <c r="A32" s="1029"/>
      <c r="B32" s="1029"/>
      <c r="C32" s="2148"/>
      <c r="D32" s="1096" t="s">
        <v>105</v>
      </c>
      <c r="E32" s="1832">
        <v>0.6</v>
      </c>
      <c r="F32" s="1832">
        <v>0</v>
      </c>
      <c r="G32" s="1833">
        <v>0.6</v>
      </c>
      <c r="H32" s="1029"/>
      <c r="I32" s="1029"/>
      <c r="J32" s="1029"/>
      <c r="K32" s="1029"/>
      <c r="L32" s="1072"/>
      <c r="M32" s="1029"/>
      <c r="N32" s="1029"/>
    </row>
    <row r="33" spans="1:14" s="852" customFormat="1" ht="18" customHeight="1">
      <c r="A33" s="1029"/>
      <c r="B33" s="1029"/>
      <c r="C33" s="2147" t="s">
        <v>106</v>
      </c>
      <c r="D33" s="453" t="s">
        <v>104</v>
      </c>
      <c r="E33" s="1830">
        <v>0</v>
      </c>
      <c r="F33" s="1829">
        <v>0</v>
      </c>
      <c r="G33" s="1831">
        <v>0</v>
      </c>
      <c r="H33" s="1029"/>
      <c r="I33" s="1029"/>
      <c r="J33" s="1029"/>
      <c r="K33" s="1029"/>
      <c r="L33" s="1072"/>
      <c r="M33" s="1029"/>
      <c r="N33" s="1029"/>
    </row>
    <row r="34" spans="1:14" s="852" customFormat="1" ht="18" customHeight="1" thickBot="1">
      <c r="A34" s="1029"/>
      <c r="B34" s="1029"/>
      <c r="C34" s="2148"/>
      <c r="D34" s="1096" t="s">
        <v>105</v>
      </c>
      <c r="E34" s="1832">
        <v>0.1</v>
      </c>
      <c r="F34" s="1832">
        <v>0</v>
      </c>
      <c r="G34" s="1833">
        <v>0.1</v>
      </c>
      <c r="H34" s="1029"/>
      <c r="I34" s="1029"/>
      <c r="J34" s="1029"/>
      <c r="K34" s="1029"/>
      <c r="L34" s="1072"/>
      <c r="M34" s="1029"/>
      <c r="N34" s="1029"/>
    </row>
    <row r="35" spans="1:14" s="852" customFormat="1" ht="18" customHeight="1">
      <c r="A35" s="1029"/>
      <c r="B35" s="1029"/>
      <c r="C35" s="2142" t="s">
        <v>842</v>
      </c>
      <c r="D35" s="453" t="s">
        <v>221</v>
      </c>
      <c r="E35" s="1830">
        <v>2</v>
      </c>
      <c r="F35" s="1829">
        <v>0</v>
      </c>
      <c r="G35" s="1831">
        <v>2</v>
      </c>
      <c r="H35" s="1029"/>
      <c r="I35" s="1029"/>
      <c r="J35" s="1029"/>
      <c r="K35" s="1029"/>
      <c r="L35" s="1072"/>
      <c r="M35" s="1029"/>
      <c r="N35" s="1029"/>
    </row>
    <row r="36" spans="1:14" s="852" customFormat="1" ht="18" customHeight="1">
      <c r="A36" s="1029"/>
      <c r="B36" s="1029"/>
      <c r="C36" s="2143"/>
      <c r="D36" s="1097" t="s">
        <v>222</v>
      </c>
      <c r="E36" s="1830">
        <v>0.2</v>
      </c>
      <c r="F36" s="1829">
        <v>0.1</v>
      </c>
      <c r="G36" s="423">
        <v>0.3</v>
      </c>
      <c r="H36" s="1029"/>
      <c r="I36" s="1029"/>
      <c r="J36" s="1029"/>
      <c r="K36" s="1029"/>
      <c r="L36" s="1072"/>
      <c r="M36" s="1029"/>
      <c r="N36" s="1029"/>
    </row>
    <row r="37" spans="1:14" s="852" customFormat="1" ht="18" customHeight="1" thickBot="1">
      <c r="A37" s="1029"/>
      <c r="B37" s="1029"/>
      <c r="C37" s="2144"/>
      <c r="D37" s="452" t="s">
        <v>223</v>
      </c>
      <c r="E37" s="1832">
        <v>0.1</v>
      </c>
      <c r="F37" s="1832">
        <v>0</v>
      </c>
      <c r="G37" s="1833">
        <v>0.1</v>
      </c>
      <c r="H37" s="1029"/>
      <c r="I37" s="1029"/>
      <c r="J37" s="1029"/>
      <c r="K37" s="1029"/>
      <c r="L37" s="1072"/>
      <c r="M37" s="1029"/>
      <c r="N37" s="1029"/>
    </row>
    <row r="38" spans="1:14" s="852" customFormat="1" ht="18" customHeight="1">
      <c r="A38" s="1029"/>
      <c r="B38" s="1029"/>
      <c r="C38" s="2142" t="s">
        <v>238</v>
      </c>
      <c r="D38" s="453" t="s">
        <v>224</v>
      </c>
      <c r="E38" s="1830">
        <v>5.6</v>
      </c>
      <c r="F38" s="1829">
        <v>0</v>
      </c>
      <c r="G38" s="1831">
        <v>5.6</v>
      </c>
      <c r="H38" s="1029"/>
      <c r="I38" s="1029"/>
      <c r="J38" s="1029"/>
      <c r="K38" s="1029"/>
      <c r="L38" s="1072"/>
      <c r="M38" s="1029"/>
      <c r="N38" s="1029"/>
    </row>
    <row r="39" spans="1:14" s="852" customFormat="1" ht="18" customHeight="1">
      <c r="A39" s="1029"/>
      <c r="B39" s="1029"/>
      <c r="C39" s="2143"/>
      <c r="D39" s="1097" t="s">
        <v>119</v>
      </c>
      <c r="E39" s="1830">
        <v>1.1000000000000001</v>
      </c>
      <c r="F39" s="1829">
        <v>0</v>
      </c>
      <c r="G39" s="423">
        <v>1.1000000000000001</v>
      </c>
      <c r="H39" s="1029"/>
      <c r="I39" s="1029"/>
      <c r="J39" s="1029"/>
      <c r="K39" s="1029"/>
      <c r="L39" s="1072"/>
      <c r="M39" s="1029"/>
      <c r="N39" s="1029"/>
    </row>
    <row r="40" spans="1:14" s="852" customFormat="1" ht="18" customHeight="1">
      <c r="A40" s="1029"/>
      <c r="B40" s="1029"/>
      <c r="C40" s="2143"/>
      <c r="D40" s="454" t="s">
        <v>120</v>
      </c>
      <c r="E40" s="1830">
        <v>0</v>
      </c>
      <c r="F40" s="1829">
        <v>0</v>
      </c>
      <c r="G40" s="423">
        <v>0</v>
      </c>
      <c r="H40" s="1029"/>
      <c r="I40" s="1029"/>
      <c r="J40" s="1029"/>
      <c r="K40" s="1029"/>
      <c r="L40" s="1072"/>
      <c r="M40" s="1029"/>
      <c r="N40" s="1029"/>
    </row>
    <row r="41" spans="1:14" s="852" customFormat="1" ht="18" customHeight="1">
      <c r="A41" s="1029"/>
      <c r="B41" s="1029"/>
      <c r="C41" s="2143"/>
      <c r="D41" s="454" t="s">
        <v>223</v>
      </c>
      <c r="E41" s="1830">
        <v>2.5</v>
      </c>
      <c r="F41" s="1829">
        <v>0.1</v>
      </c>
      <c r="G41" s="423">
        <v>2.6</v>
      </c>
      <c r="H41" s="1029"/>
      <c r="I41" s="1029"/>
      <c r="J41" s="1029"/>
      <c r="K41" s="1029"/>
      <c r="L41" s="1072"/>
      <c r="M41" s="1029"/>
      <c r="N41" s="1029"/>
    </row>
    <row r="42" spans="1:14" s="852" customFormat="1" ht="18" customHeight="1">
      <c r="A42" s="1029"/>
      <c r="B42" s="1029"/>
      <c r="C42" s="2143"/>
      <c r="D42" s="1097" t="s">
        <v>862</v>
      </c>
      <c r="E42" s="1830">
        <v>0.7</v>
      </c>
      <c r="F42" s="1829">
        <v>0.1</v>
      </c>
      <c r="G42" s="423">
        <v>0.8</v>
      </c>
      <c r="H42" s="1029"/>
      <c r="I42" s="1029"/>
      <c r="J42" s="1029"/>
      <c r="K42" s="1029"/>
      <c r="L42" s="1072"/>
      <c r="M42" s="1029"/>
      <c r="N42" s="1029"/>
    </row>
    <row r="43" spans="1:14" s="852" customFormat="1" ht="18" customHeight="1" thickBot="1">
      <c r="A43" s="1029"/>
      <c r="B43" s="1029"/>
      <c r="C43" s="2144"/>
      <c r="D43" s="1096" t="s">
        <v>863</v>
      </c>
      <c r="E43" s="1832">
        <v>0.8</v>
      </c>
      <c r="F43" s="1832">
        <v>0</v>
      </c>
      <c r="G43" s="1833">
        <v>0.8</v>
      </c>
      <c r="H43" s="1029"/>
      <c r="I43" s="1029"/>
      <c r="J43" s="1029"/>
      <c r="K43" s="1029"/>
      <c r="L43" s="1072"/>
      <c r="M43" s="1029"/>
      <c r="N43" s="1029"/>
    </row>
    <row r="44" spans="1:14" s="852" customFormat="1" ht="18" customHeight="1">
      <c r="A44" s="1029"/>
      <c r="B44" s="1029"/>
      <c r="C44" s="2142" t="s">
        <v>244</v>
      </c>
      <c r="D44" s="453" t="s">
        <v>224</v>
      </c>
      <c r="E44" s="1830">
        <v>1</v>
      </c>
      <c r="F44" s="1829">
        <v>0</v>
      </c>
      <c r="G44" s="1831">
        <v>1</v>
      </c>
      <c r="H44" s="1029"/>
      <c r="I44" s="1029"/>
      <c r="J44" s="1029"/>
      <c r="K44" s="1029"/>
      <c r="L44" s="1072"/>
      <c r="M44" s="1029"/>
      <c r="N44" s="1029"/>
    </row>
    <row r="45" spans="1:14" s="852" customFormat="1" ht="18" customHeight="1">
      <c r="A45" s="1029"/>
      <c r="B45" s="1029"/>
      <c r="C45" s="2143"/>
      <c r="D45" s="1097" t="s">
        <v>119</v>
      </c>
      <c r="E45" s="1830">
        <v>0</v>
      </c>
      <c r="F45" s="1829">
        <v>0</v>
      </c>
      <c r="G45" s="423">
        <v>0</v>
      </c>
      <c r="H45" s="1029"/>
      <c r="I45" s="1029"/>
      <c r="J45" s="1029"/>
      <c r="K45" s="1029"/>
      <c r="L45" s="1072"/>
      <c r="M45" s="1029"/>
      <c r="N45" s="1029"/>
    </row>
    <row r="46" spans="1:14" s="852" customFormat="1" ht="18" customHeight="1">
      <c r="A46" s="1029"/>
      <c r="B46" s="1029"/>
      <c r="C46" s="2143"/>
      <c r="D46" s="1097" t="s">
        <v>120</v>
      </c>
      <c r="E46" s="1830">
        <v>0</v>
      </c>
      <c r="F46" s="1829">
        <v>0</v>
      </c>
      <c r="G46" s="423">
        <v>0</v>
      </c>
      <c r="H46" s="1029"/>
      <c r="I46" s="1029"/>
      <c r="J46" s="1029"/>
      <c r="K46" s="1029"/>
      <c r="L46" s="1072"/>
      <c r="M46" s="1029"/>
      <c r="N46" s="1029"/>
    </row>
    <row r="47" spans="1:14" s="852" customFormat="1" ht="18" customHeight="1">
      <c r="A47" s="1029"/>
      <c r="B47" s="1029"/>
      <c r="C47" s="2143"/>
      <c r="D47" s="1097" t="s">
        <v>223</v>
      </c>
      <c r="E47" s="1830">
        <v>1.9</v>
      </c>
      <c r="F47" s="1829">
        <v>0</v>
      </c>
      <c r="G47" s="423">
        <v>1.9</v>
      </c>
      <c r="H47" s="1029"/>
      <c r="I47" s="1029"/>
      <c r="J47" s="1029"/>
      <c r="K47" s="1029"/>
      <c r="L47" s="1072"/>
      <c r="M47" s="1029"/>
      <c r="N47" s="1029"/>
    </row>
    <row r="48" spans="1:14" s="852" customFormat="1" ht="18" customHeight="1">
      <c r="A48" s="1029"/>
      <c r="B48" s="1029"/>
      <c r="C48" s="2143"/>
      <c r="D48" s="1097" t="s">
        <v>862</v>
      </c>
      <c r="E48" s="1830">
        <v>0.8</v>
      </c>
      <c r="F48" s="1829">
        <v>0.2</v>
      </c>
      <c r="G48" s="423">
        <v>1</v>
      </c>
      <c r="H48" s="1029"/>
      <c r="I48" s="1029"/>
      <c r="J48" s="1029"/>
      <c r="K48" s="1029"/>
      <c r="L48" s="1072"/>
      <c r="M48" s="1029"/>
      <c r="N48" s="1029"/>
    </row>
    <row r="49" spans="1:14" s="852" customFormat="1" ht="18" customHeight="1" thickBot="1">
      <c r="A49" s="1029"/>
      <c r="B49" s="1029"/>
      <c r="C49" s="2144"/>
      <c r="D49" s="452" t="s">
        <v>863</v>
      </c>
      <c r="E49" s="1832">
        <v>0.3</v>
      </c>
      <c r="F49" s="1832">
        <v>0</v>
      </c>
      <c r="G49" s="1833">
        <v>0.3</v>
      </c>
      <c r="H49" s="1029"/>
      <c r="I49" s="1029"/>
      <c r="J49" s="1029"/>
      <c r="K49" s="1029"/>
      <c r="L49" s="1072"/>
      <c r="M49" s="1029"/>
      <c r="N49" s="1029"/>
    </row>
    <row r="50" spans="1:14" s="852" customFormat="1" ht="18" customHeight="1">
      <c r="A50" s="1029"/>
      <c r="B50" s="1029"/>
      <c r="C50" s="2142" t="s">
        <v>242</v>
      </c>
      <c r="D50" s="453" t="s">
        <v>224</v>
      </c>
      <c r="E50" s="1830">
        <v>2</v>
      </c>
      <c r="F50" s="1829">
        <v>0</v>
      </c>
      <c r="G50" s="1831">
        <v>2</v>
      </c>
      <c r="H50" s="1029"/>
      <c r="I50" s="1029"/>
      <c r="J50" s="1029"/>
      <c r="K50" s="1029"/>
      <c r="L50" s="1072"/>
      <c r="M50" s="1029"/>
      <c r="N50" s="1029"/>
    </row>
    <row r="51" spans="1:14" s="852" customFormat="1" ht="18" customHeight="1">
      <c r="A51" s="1029"/>
      <c r="B51" s="1029"/>
      <c r="C51" s="2143"/>
      <c r="D51" s="1097" t="s">
        <v>119</v>
      </c>
      <c r="E51" s="1830">
        <v>0.4</v>
      </c>
      <c r="F51" s="1829">
        <v>0</v>
      </c>
      <c r="G51" s="423">
        <v>0.4</v>
      </c>
      <c r="H51" s="1029"/>
      <c r="I51" s="1029"/>
      <c r="J51" s="1029"/>
      <c r="K51" s="1029"/>
      <c r="L51" s="1072"/>
      <c r="M51" s="1029"/>
      <c r="N51" s="1029"/>
    </row>
    <row r="52" spans="1:14" s="852" customFormat="1" ht="18" customHeight="1">
      <c r="A52" s="1029"/>
      <c r="B52" s="1029"/>
      <c r="C52" s="2143"/>
      <c r="D52" s="454" t="s">
        <v>864</v>
      </c>
      <c r="E52" s="1830">
        <v>0</v>
      </c>
      <c r="F52" s="1829">
        <v>0</v>
      </c>
      <c r="G52" s="423">
        <v>0</v>
      </c>
      <c r="H52" s="1029"/>
      <c r="I52" s="1029"/>
      <c r="J52" s="1029"/>
      <c r="K52" s="1029"/>
      <c r="L52" s="1072"/>
      <c r="M52" s="1029"/>
      <c r="N52" s="1029"/>
    </row>
    <row r="53" spans="1:14" s="852" customFormat="1" ht="18" customHeight="1">
      <c r="A53" s="1029"/>
      <c r="B53" s="1029"/>
      <c r="C53" s="2143"/>
      <c r="D53" s="454" t="s">
        <v>223</v>
      </c>
      <c r="E53" s="1830">
        <v>0.1</v>
      </c>
      <c r="F53" s="1829">
        <v>0</v>
      </c>
      <c r="G53" s="423">
        <v>0.1</v>
      </c>
      <c r="H53" s="1029"/>
      <c r="I53" s="1029"/>
      <c r="J53" s="1029"/>
      <c r="K53" s="1029"/>
      <c r="L53" s="1072"/>
      <c r="M53" s="1029"/>
      <c r="N53" s="1029"/>
    </row>
    <row r="54" spans="1:14" s="852" customFormat="1" ht="18" customHeight="1">
      <c r="A54" s="1029"/>
      <c r="B54" s="1029"/>
      <c r="C54" s="2143"/>
      <c r="D54" s="454" t="s">
        <v>862</v>
      </c>
      <c r="E54" s="1830">
        <v>0.8</v>
      </c>
      <c r="F54" s="1829">
        <v>0</v>
      </c>
      <c r="G54" s="423">
        <v>0.8</v>
      </c>
      <c r="H54" s="1029"/>
      <c r="I54" s="1029"/>
      <c r="J54" s="1029"/>
      <c r="K54" s="1029"/>
      <c r="L54" s="1072"/>
      <c r="M54" s="1029"/>
      <c r="N54" s="1029"/>
    </row>
    <row r="55" spans="1:14" s="852" customFormat="1" ht="18" customHeight="1" thickBot="1">
      <c r="A55" s="1029"/>
      <c r="B55" s="1029"/>
      <c r="C55" s="2144"/>
      <c r="D55" s="452" t="s">
        <v>863</v>
      </c>
      <c r="E55" s="1830">
        <v>0.9</v>
      </c>
      <c r="F55" s="1829">
        <v>0</v>
      </c>
      <c r="G55" s="423">
        <v>0.9</v>
      </c>
      <c r="H55" s="1029"/>
      <c r="I55" s="1029"/>
      <c r="J55" s="1029"/>
      <c r="K55" s="1029"/>
      <c r="L55" s="1072"/>
      <c r="M55" s="1029"/>
      <c r="N55" s="1029"/>
    </row>
    <row r="56" spans="1:14" s="852" customFormat="1" ht="18" customHeight="1" thickBot="1">
      <c r="A56" s="1029"/>
      <c r="B56" s="1029"/>
      <c r="C56" s="2027" t="s">
        <v>865</v>
      </c>
      <c r="D56" s="2029"/>
      <c r="E56" s="1834">
        <v>23.4</v>
      </c>
      <c r="F56" s="1834">
        <v>0.5</v>
      </c>
      <c r="G56" s="1834">
        <v>23.9</v>
      </c>
      <c r="H56" s="1098"/>
      <c r="I56" s="1029"/>
      <c r="J56" s="1029"/>
      <c r="K56" s="1029"/>
      <c r="L56" s="1029"/>
      <c r="M56" s="1072"/>
      <c r="N56" s="1029"/>
    </row>
    <row r="57" spans="1:14" s="852" customFormat="1" ht="18" customHeight="1" thickBot="1">
      <c r="A57" s="1029"/>
      <c r="B57" s="1029"/>
      <c r="C57" s="2109" t="s">
        <v>832</v>
      </c>
      <c r="D57" s="2110"/>
      <c r="E57" s="1830">
        <v>-0.3</v>
      </c>
      <c r="F57" s="1829"/>
      <c r="G57" s="423">
        <v>-0.3</v>
      </c>
      <c r="H57" s="1098"/>
      <c r="I57" s="1098"/>
      <c r="J57" s="1098"/>
      <c r="K57" s="1029"/>
      <c r="L57" s="1029"/>
      <c r="M57" s="1072"/>
      <c r="N57" s="1029"/>
    </row>
    <row r="58" spans="1:14" s="852" customFormat="1" ht="18" customHeight="1" thickBot="1">
      <c r="A58" s="1029"/>
      <c r="B58" s="1029"/>
      <c r="C58" s="2027" t="s">
        <v>866</v>
      </c>
      <c r="D58" s="2029"/>
      <c r="E58" s="1834">
        <v>23.1</v>
      </c>
      <c r="F58" s="1834">
        <v>0.5</v>
      </c>
      <c r="G58" s="1834">
        <v>23.6</v>
      </c>
      <c r="H58" s="1029"/>
      <c r="I58" s="1029"/>
      <c r="J58" s="1029"/>
      <c r="K58" s="1029"/>
      <c r="L58" s="1072"/>
      <c r="M58" s="1029"/>
      <c r="N58" s="1029"/>
    </row>
    <row r="59" spans="1:14" s="852" customFormat="1" ht="18" customHeight="1" thickBot="1">
      <c r="C59" s="2111"/>
      <c r="D59" s="2111"/>
    </row>
    <row r="60" spans="1:14" s="852" customFormat="1" ht="18" customHeight="1" thickBot="1">
      <c r="A60" s="1029"/>
      <c r="B60" s="1029"/>
      <c r="C60" s="2132" t="s">
        <v>867</v>
      </c>
      <c r="D60" s="2133"/>
      <c r="E60" s="1099" t="s">
        <v>239</v>
      </c>
      <c r="F60" s="1099" t="s">
        <v>238</v>
      </c>
      <c r="G60" s="1099" t="s">
        <v>244</v>
      </c>
      <c r="H60" s="1099" t="s">
        <v>242</v>
      </c>
      <c r="I60" s="1099" t="s">
        <v>245</v>
      </c>
      <c r="J60" s="1029"/>
      <c r="K60" s="1029"/>
      <c r="L60" s="1029"/>
      <c r="M60" s="1072"/>
      <c r="N60" s="1029"/>
    </row>
    <row r="61" spans="1:14" s="852" customFormat="1" ht="18" customHeight="1" thickBot="1">
      <c r="A61" s="1029"/>
      <c r="B61" s="1029"/>
      <c r="C61" s="2134" t="s">
        <v>83</v>
      </c>
      <c r="D61" s="2135"/>
      <c r="E61" s="1079" t="s">
        <v>157</v>
      </c>
      <c r="F61" s="1079" t="s">
        <v>157</v>
      </c>
      <c r="G61" s="1079" t="s">
        <v>157</v>
      </c>
      <c r="H61" s="1079" t="s">
        <v>157</v>
      </c>
      <c r="I61" s="1079" t="s">
        <v>157</v>
      </c>
      <c r="J61" s="1029"/>
      <c r="K61" s="1029"/>
      <c r="L61" s="1029"/>
      <c r="M61" s="1029"/>
      <c r="N61" s="1072"/>
    </row>
    <row r="62" spans="1:14" s="852" customFormat="1" ht="18" customHeight="1">
      <c r="A62" s="1029"/>
      <c r="B62" s="1029"/>
      <c r="C62" s="2124" t="s">
        <v>868</v>
      </c>
      <c r="D62" s="2125"/>
      <c r="E62" s="1830">
        <v>0.2</v>
      </c>
      <c r="F62" s="1829">
        <v>3.4</v>
      </c>
      <c r="G62" s="1829">
        <v>0</v>
      </c>
      <c r="H62" s="1829">
        <v>0</v>
      </c>
      <c r="I62" s="1835">
        <v>3.6</v>
      </c>
      <c r="J62" s="1029"/>
      <c r="K62" s="1029"/>
      <c r="L62" s="1029"/>
      <c r="M62" s="1029"/>
      <c r="N62" s="1072"/>
    </row>
    <row r="63" spans="1:14" s="852" customFormat="1" ht="18" customHeight="1">
      <c r="A63" s="1029"/>
      <c r="B63" s="1029"/>
      <c r="C63" s="2118" t="s">
        <v>869</v>
      </c>
      <c r="D63" s="2119"/>
      <c r="E63" s="1830">
        <v>0</v>
      </c>
      <c r="F63" s="1829">
        <v>0</v>
      </c>
      <c r="G63" s="1829">
        <v>0</v>
      </c>
      <c r="H63" s="1829">
        <v>0</v>
      </c>
      <c r="I63" s="432">
        <v>0</v>
      </c>
      <c r="J63" s="1029"/>
      <c r="K63" s="1029"/>
      <c r="L63" s="1029"/>
      <c r="M63" s="1029"/>
      <c r="N63" s="1072"/>
    </row>
    <row r="64" spans="1:14" s="852" customFormat="1" ht="18" customHeight="1">
      <c r="A64" s="1029"/>
      <c r="B64" s="1029"/>
      <c r="C64" s="2118" t="s">
        <v>121</v>
      </c>
      <c r="D64" s="2119"/>
      <c r="E64" s="1830">
        <v>0</v>
      </c>
      <c r="F64" s="1829">
        <v>0</v>
      </c>
      <c r="G64" s="1829">
        <v>0</v>
      </c>
      <c r="H64" s="1829">
        <v>0</v>
      </c>
      <c r="I64" s="432">
        <v>0</v>
      </c>
      <c r="J64" s="1029"/>
      <c r="K64" s="1029"/>
      <c r="L64" s="1029"/>
      <c r="M64" s="1029"/>
      <c r="N64" s="1072"/>
    </row>
    <row r="65" spans="1:14" s="852" customFormat="1" ht="18" customHeight="1">
      <c r="A65" s="1029"/>
      <c r="B65" s="1029"/>
      <c r="C65" s="2118" t="s">
        <v>122</v>
      </c>
      <c r="D65" s="2119"/>
      <c r="E65" s="1830">
        <v>0</v>
      </c>
      <c r="F65" s="1829">
        <v>0</v>
      </c>
      <c r="G65" s="1829">
        <v>0</v>
      </c>
      <c r="H65" s="1829">
        <v>0</v>
      </c>
      <c r="I65" s="432">
        <v>0</v>
      </c>
      <c r="J65" s="1029"/>
      <c r="K65" s="1029"/>
      <c r="L65" s="1029"/>
      <c r="M65" s="1029"/>
      <c r="N65" s="1072"/>
    </row>
    <row r="66" spans="1:14" s="852" customFormat="1" ht="18" customHeight="1">
      <c r="A66" s="1029"/>
      <c r="B66" s="1029"/>
      <c r="C66" s="2118" t="s">
        <v>123</v>
      </c>
      <c r="D66" s="2119"/>
      <c r="E66" s="1830">
        <v>0</v>
      </c>
      <c r="F66" s="1829">
        <v>0</v>
      </c>
      <c r="G66" s="1829">
        <v>0</v>
      </c>
      <c r="H66" s="1829">
        <v>0</v>
      </c>
      <c r="I66" s="432">
        <v>0</v>
      </c>
      <c r="J66" s="1029"/>
      <c r="K66" s="1029"/>
      <c r="L66" s="1029"/>
      <c r="M66" s="1029"/>
      <c r="N66" s="1072"/>
    </row>
    <row r="67" spans="1:14" s="852" customFormat="1" ht="18" customHeight="1">
      <c r="A67" s="1029"/>
      <c r="B67" s="1029"/>
      <c r="C67" s="2118" t="s">
        <v>124</v>
      </c>
      <c r="D67" s="2119"/>
      <c r="E67" s="1830">
        <v>0</v>
      </c>
      <c r="F67" s="1829">
        <v>0</v>
      </c>
      <c r="G67" s="1829">
        <v>0</v>
      </c>
      <c r="H67" s="1829">
        <v>0</v>
      </c>
      <c r="I67" s="432">
        <v>0</v>
      </c>
      <c r="J67" s="1029"/>
      <c r="K67" s="1029"/>
      <c r="L67" s="1029"/>
      <c r="M67" s="1029"/>
      <c r="N67" s="1072"/>
    </row>
    <row r="68" spans="1:14" s="852" customFormat="1" ht="18" customHeight="1">
      <c r="A68" s="1029"/>
      <c r="B68" s="1029"/>
      <c r="C68" s="2118" t="s">
        <v>125</v>
      </c>
      <c r="D68" s="2119"/>
      <c r="E68" s="1830">
        <v>0</v>
      </c>
      <c r="F68" s="1829">
        <v>0</v>
      </c>
      <c r="G68" s="1829">
        <v>0</v>
      </c>
      <c r="H68" s="1829">
        <v>0</v>
      </c>
      <c r="I68" s="432">
        <v>0</v>
      </c>
      <c r="J68" s="1029"/>
      <c r="K68" s="1029"/>
      <c r="L68" s="1029"/>
      <c r="M68" s="1029"/>
      <c r="N68" s="1072"/>
    </row>
    <row r="69" spans="1:14" s="852" customFormat="1" ht="18" customHeight="1">
      <c r="A69" s="1029"/>
      <c r="B69" s="1029"/>
      <c r="C69" s="2118" t="s">
        <v>143</v>
      </c>
      <c r="D69" s="2119"/>
      <c r="E69" s="1830">
        <v>0</v>
      </c>
      <c r="F69" s="1829">
        <v>3.4</v>
      </c>
      <c r="G69" s="1829">
        <v>0</v>
      </c>
      <c r="H69" s="1829">
        <v>0</v>
      </c>
      <c r="I69" s="439">
        <v>3.4</v>
      </c>
      <c r="J69" s="1029"/>
      <c r="K69" s="1029"/>
      <c r="L69" s="1029"/>
      <c r="M69" s="1029"/>
      <c r="N69" s="1072"/>
    </row>
    <row r="70" spans="1:14" s="852" customFormat="1" ht="18" customHeight="1" thickBot="1">
      <c r="A70" s="1029"/>
      <c r="B70" s="1029"/>
      <c r="C70" s="2120" t="s">
        <v>144</v>
      </c>
      <c r="D70" s="2121"/>
      <c r="E70" s="1830">
        <v>0.4</v>
      </c>
      <c r="F70" s="1829">
        <v>0.8</v>
      </c>
      <c r="G70" s="1829">
        <v>0.1</v>
      </c>
      <c r="H70" s="1829">
        <v>0</v>
      </c>
      <c r="I70" s="1836">
        <v>1.3</v>
      </c>
      <c r="J70" s="1029"/>
      <c r="K70" s="1029"/>
      <c r="L70" s="1029"/>
      <c r="M70" s="1029"/>
      <c r="N70" s="1072"/>
    </row>
    <row r="71" spans="1:14" s="852" customFormat="1" ht="18" customHeight="1" thickBot="1">
      <c r="A71" s="1029"/>
      <c r="B71" s="1029"/>
      <c r="C71" s="2112" t="s">
        <v>135</v>
      </c>
      <c r="D71" s="2113"/>
      <c r="E71" s="444">
        <v>0.6</v>
      </c>
      <c r="F71" s="444">
        <v>7.6</v>
      </c>
      <c r="G71" s="444">
        <v>0.1</v>
      </c>
      <c r="H71" s="444">
        <v>0</v>
      </c>
      <c r="I71" s="444">
        <v>8.3000000000000007</v>
      </c>
      <c r="J71" s="1029"/>
      <c r="K71" s="1029"/>
      <c r="L71" s="1029"/>
      <c r="M71" s="1029"/>
      <c r="N71" s="1072"/>
    </row>
    <row r="72" spans="1:14" s="852" customFormat="1" ht="18" customHeight="1" thickBot="1">
      <c r="A72" s="1029"/>
      <c r="B72" s="1029"/>
      <c r="C72" s="2122" t="s">
        <v>832</v>
      </c>
      <c r="D72" s="2123"/>
      <c r="E72" s="1830"/>
      <c r="F72" s="1829"/>
      <c r="G72" s="1829"/>
      <c r="H72" s="1829"/>
      <c r="I72" s="444">
        <v>0</v>
      </c>
      <c r="J72" s="1029"/>
      <c r="K72" s="1029"/>
      <c r="L72" s="1029"/>
      <c r="M72" s="1072"/>
      <c r="N72" s="1029"/>
    </row>
    <row r="73" spans="1:14" s="852" customFormat="1" ht="18" customHeight="1" thickBot="1">
      <c r="A73" s="1029"/>
      <c r="B73" s="1029"/>
      <c r="C73" s="2112" t="s">
        <v>0</v>
      </c>
      <c r="D73" s="2113"/>
      <c r="E73" s="1837">
        <v>0.6</v>
      </c>
      <c r="F73" s="1837">
        <v>7.6</v>
      </c>
      <c r="G73" s="1837">
        <v>0.1</v>
      </c>
      <c r="H73" s="1837">
        <v>0</v>
      </c>
      <c r="I73" s="1837">
        <v>8.3000000000000007</v>
      </c>
      <c r="J73" s="1029"/>
      <c r="K73" s="1029"/>
      <c r="L73" s="1029"/>
      <c r="M73" s="1072"/>
      <c r="N73" s="1029"/>
    </row>
    <row r="74" spans="1:14" s="852" customFormat="1" ht="18" customHeight="1" thickBot="1">
      <c r="A74" s="1029"/>
      <c r="B74" s="1029"/>
      <c r="C74" s="1022"/>
      <c r="D74" s="1101"/>
      <c r="E74" s="1101"/>
      <c r="F74" s="1101"/>
      <c r="G74" s="1101"/>
      <c r="H74" s="1102"/>
      <c r="I74" s="1102"/>
      <c r="J74" s="1102"/>
      <c r="K74" s="1102"/>
      <c r="L74" s="1029"/>
      <c r="M74" s="1029"/>
      <c r="N74" s="1029"/>
    </row>
    <row r="75" spans="1:14" s="852" customFormat="1" ht="18" customHeight="1" thickBot="1">
      <c r="A75" s="1029"/>
      <c r="B75" s="1029"/>
      <c r="C75" s="2112" t="s">
        <v>709</v>
      </c>
      <c r="D75" s="2113"/>
      <c r="E75" s="1103">
        <f>+I71+G56</f>
        <v>32.200000000000003</v>
      </c>
      <c r="F75" s="1098"/>
      <c r="G75" s="1029"/>
      <c r="H75" s="1029"/>
      <c r="I75" s="1029"/>
      <c r="J75" s="1029"/>
      <c r="K75" s="1029"/>
      <c r="L75" s="1029"/>
      <c r="M75" s="1072"/>
      <c r="N75" s="1029"/>
    </row>
    <row r="76" spans="1:14" s="852" customFormat="1" ht="18" customHeight="1" thickBot="1">
      <c r="A76" s="1029"/>
      <c r="B76" s="1029"/>
      <c r="C76" s="2112" t="s">
        <v>832</v>
      </c>
      <c r="D76" s="2113"/>
      <c r="E76" s="1838">
        <v>-0.3</v>
      </c>
      <c r="F76" s="1098"/>
      <c r="G76" s="1029"/>
      <c r="H76" s="1029"/>
      <c r="I76" s="1029"/>
      <c r="J76" s="1029"/>
      <c r="K76" s="1029"/>
      <c r="L76" s="1029"/>
      <c r="M76" s="1072"/>
      <c r="N76" s="1029"/>
    </row>
    <row r="77" spans="1:14" s="852" customFormat="1" ht="18" customHeight="1" thickBot="1">
      <c r="A77" s="1029"/>
      <c r="B77" s="1029"/>
      <c r="C77" s="2112" t="s">
        <v>600</v>
      </c>
      <c r="D77" s="2113"/>
      <c r="E77" s="1837">
        <v>31.9</v>
      </c>
      <c r="F77" s="1029"/>
      <c r="G77" s="1029"/>
      <c r="H77" s="1029"/>
      <c r="I77" s="1029"/>
      <c r="J77" s="1029"/>
      <c r="K77" s="1029"/>
      <c r="L77" s="1029"/>
      <c r="M77" s="1072"/>
      <c r="N77" s="1029"/>
    </row>
    <row r="78" spans="1:14" s="852" customFormat="1" ht="18" customHeight="1" thickBot="1">
      <c r="A78" s="1029"/>
      <c r="B78" s="1029"/>
      <c r="C78" s="1023"/>
      <c r="D78" s="1023"/>
      <c r="E78" s="1023"/>
      <c r="F78" s="1023"/>
      <c r="G78" s="1023"/>
      <c r="H78" s="1023"/>
      <c r="I78" s="1023"/>
      <c r="J78" s="1023"/>
      <c r="K78" s="1023"/>
      <c r="L78" s="1029"/>
      <c r="M78" s="1029"/>
      <c r="N78" s="1029"/>
    </row>
    <row r="79" spans="1:14" s="852" customFormat="1" ht="18.75" thickBot="1">
      <c r="A79" s="1029"/>
      <c r="B79" s="1029"/>
      <c r="C79" s="455" t="s">
        <v>601</v>
      </c>
      <c r="D79" s="456"/>
      <c r="E79" s="1104"/>
      <c r="F79" s="1104"/>
      <c r="G79" s="1105"/>
      <c r="H79" s="1029"/>
      <c r="I79" s="1029"/>
      <c r="J79" s="1029"/>
      <c r="K79" s="1029"/>
      <c r="L79" s="1029"/>
      <c r="M79" s="1029"/>
      <c r="N79" s="1029"/>
    </row>
    <row r="80" spans="1:14" s="852" customFormat="1" ht="60.75" thickBot="1">
      <c r="A80" s="1029"/>
      <c r="B80" s="1029"/>
      <c r="C80" s="2114" t="s">
        <v>83</v>
      </c>
      <c r="D80" s="2115"/>
      <c r="E80" s="1106" t="s">
        <v>245</v>
      </c>
      <c r="F80" s="1107" t="s">
        <v>602</v>
      </c>
      <c r="G80" s="1107" t="s">
        <v>603</v>
      </c>
      <c r="H80" s="1029"/>
      <c r="I80" s="1029"/>
      <c r="J80" s="1029"/>
      <c r="K80" s="1029"/>
      <c r="L80" s="1029"/>
      <c r="M80" s="1029"/>
      <c r="N80" s="1029"/>
    </row>
    <row r="81" spans="1:14" s="852" customFormat="1" ht="15.75" thickBot="1">
      <c r="A81" s="1029"/>
      <c r="B81" s="1029"/>
      <c r="C81" s="2116"/>
      <c r="D81" s="2117"/>
      <c r="E81" s="1091" t="s">
        <v>157</v>
      </c>
      <c r="F81" s="1079" t="s">
        <v>157</v>
      </c>
      <c r="G81" s="1079" t="s">
        <v>157</v>
      </c>
      <c r="H81" s="1029"/>
      <c r="I81" s="1029"/>
      <c r="J81" s="1029"/>
      <c r="K81" s="1029"/>
      <c r="L81" s="1029"/>
      <c r="M81" s="1029"/>
      <c r="N81" s="1029"/>
    </row>
    <row r="82" spans="1:14" s="852" customFormat="1" ht="18" customHeight="1">
      <c r="A82" s="1029"/>
      <c r="B82" s="1029"/>
      <c r="C82" s="2043" t="s">
        <v>721</v>
      </c>
      <c r="D82" s="2045"/>
      <c r="E82" s="1831">
        <v>0.2</v>
      </c>
      <c r="F82" s="1829">
        <v>0.2</v>
      </c>
      <c r="G82" s="1830">
        <v>0</v>
      </c>
      <c r="H82" s="1029"/>
      <c r="I82" s="1029"/>
      <c r="J82" s="1029"/>
      <c r="K82" s="1029"/>
      <c r="L82" s="1029"/>
      <c r="M82" s="1029"/>
      <c r="N82" s="1029"/>
    </row>
    <row r="83" spans="1:14" s="852" customFormat="1" ht="18" customHeight="1">
      <c r="A83" s="1029"/>
      <c r="B83" s="1029"/>
      <c r="C83" s="2107" t="s">
        <v>604</v>
      </c>
      <c r="D83" s="2108"/>
      <c r="E83" s="423">
        <v>0</v>
      </c>
      <c r="F83" s="1829">
        <v>0</v>
      </c>
      <c r="G83" s="1830">
        <v>0</v>
      </c>
      <c r="H83" s="1029"/>
      <c r="I83" s="1029"/>
      <c r="J83" s="1029"/>
      <c r="K83" s="1029"/>
      <c r="L83" s="1029"/>
      <c r="M83" s="1029"/>
      <c r="N83" s="1029"/>
    </row>
    <row r="84" spans="1:14" s="852" customFormat="1" ht="18" customHeight="1">
      <c r="A84" s="1029"/>
      <c r="B84" s="1029"/>
      <c r="C84" s="2107" t="s">
        <v>605</v>
      </c>
      <c r="D84" s="2108"/>
      <c r="E84" s="423">
        <v>1.3</v>
      </c>
      <c r="F84" s="1829">
        <v>1.3</v>
      </c>
      <c r="G84" s="1830">
        <v>0</v>
      </c>
      <c r="H84" s="1029"/>
      <c r="I84" s="1029"/>
      <c r="J84" s="1029"/>
      <c r="K84" s="1029"/>
      <c r="L84" s="1029"/>
      <c r="M84" s="1029"/>
      <c r="N84" s="1029"/>
    </row>
    <row r="85" spans="1:14" s="852" customFormat="1" ht="18" customHeight="1">
      <c r="A85" s="1029"/>
      <c r="B85" s="1029"/>
      <c r="C85" s="2107" t="s">
        <v>606</v>
      </c>
      <c r="D85" s="2108"/>
      <c r="E85" s="423">
        <v>0.1</v>
      </c>
      <c r="F85" s="1829">
        <v>0.1</v>
      </c>
      <c r="G85" s="1830">
        <v>0</v>
      </c>
      <c r="H85" s="1029"/>
      <c r="I85" s="1029"/>
      <c r="J85" s="1029"/>
      <c r="K85" s="1029"/>
      <c r="L85" s="1029"/>
      <c r="M85" s="1029"/>
      <c r="N85" s="1029"/>
    </row>
    <row r="86" spans="1:14" s="852" customFormat="1" ht="18" customHeight="1">
      <c r="A86" s="1029"/>
      <c r="B86" s="1029"/>
      <c r="C86" s="2107" t="s">
        <v>710</v>
      </c>
      <c r="D86" s="2108"/>
      <c r="E86" s="423">
        <v>0.3</v>
      </c>
      <c r="F86" s="1829">
        <v>0.3</v>
      </c>
      <c r="G86" s="1830">
        <v>0</v>
      </c>
      <c r="H86" s="1029"/>
      <c r="I86" s="1029"/>
      <c r="J86" s="1029"/>
      <c r="K86" s="1029"/>
      <c r="L86" s="1029"/>
      <c r="M86" s="1029"/>
      <c r="N86" s="1029"/>
    </row>
    <row r="87" spans="1:14" s="852" customFormat="1" ht="18" customHeight="1">
      <c r="A87" s="1029"/>
      <c r="B87" s="1029"/>
      <c r="C87" s="2107" t="s">
        <v>134</v>
      </c>
      <c r="D87" s="2108"/>
      <c r="E87" s="423">
        <v>0.6</v>
      </c>
      <c r="F87" s="1829">
        <v>0.6</v>
      </c>
      <c r="G87" s="1830">
        <v>0</v>
      </c>
      <c r="H87" s="1029"/>
      <c r="I87" s="1029"/>
      <c r="J87" s="1029"/>
      <c r="K87" s="1029"/>
      <c r="L87" s="1029"/>
      <c r="M87" s="1029"/>
      <c r="N87" s="1029"/>
    </row>
    <row r="88" spans="1:14" s="852" customFormat="1" ht="18" customHeight="1" thickBot="1">
      <c r="A88" s="1029"/>
      <c r="B88" s="1029"/>
      <c r="C88" s="2046" t="s">
        <v>230</v>
      </c>
      <c r="D88" s="2048"/>
      <c r="E88" s="423">
        <v>0.5</v>
      </c>
      <c r="F88" s="1829">
        <v>0</v>
      </c>
      <c r="G88" s="1830">
        <v>0.5</v>
      </c>
      <c r="H88" s="1098"/>
      <c r="I88" s="1029"/>
      <c r="J88" s="1029"/>
      <c r="K88" s="1029"/>
      <c r="L88" s="1029"/>
      <c r="M88" s="1029"/>
      <c r="N88" s="1029"/>
    </row>
    <row r="89" spans="1:14" s="852" customFormat="1" ht="18" customHeight="1" thickBot="1">
      <c r="A89" s="1029"/>
      <c r="B89" s="1029"/>
      <c r="C89" s="2027" t="s">
        <v>231</v>
      </c>
      <c r="D89" s="2029"/>
      <c r="E89" s="444">
        <v>3</v>
      </c>
      <c r="F89" s="444">
        <v>2.5</v>
      </c>
      <c r="G89" s="444">
        <v>0.5</v>
      </c>
      <c r="H89" s="1098"/>
      <c r="I89" s="1029"/>
      <c r="J89" s="1029"/>
      <c r="K89" s="1029"/>
      <c r="L89" s="1029"/>
      <c r="M89" s="1029"/>
      <c r="N89" s="1029"/>
    </row>
  </sheetData>
  <mergeCells count="57">
    <mergeCell ref="E28:F28"/>
    <mergeCell ref="C31:C32"/>
    <mergeCell ref="C33:C34"/>
    <mergeCell ref="C35:C37"/>
    <mergeCell ref="C11:D11"/>
    <mergeCell ref="C12:D12"/>
    <mergeCell ref="C13:D13"/>
    <mergeCell ref="C14:D14"/>
    <mergeCell ref="C17:D17"/>
    <mergeCell ref="C18:D18"/>
    <mergeCell ref="C19:D19"/>
    <mergeCell ref="C20:D20"/>
    <mergeCell ref="C21:D21"/>
    <mergeCell ref="C23:D23"/>
    <mergeCell ref="C25:D25"/>
    <mergeCell ref="C22:D22"/>
    <mergeCell ref="C7:D7"/>
    <mergeCell ref="C27:D27"/>
    <mergeCell ref="C28:D30"/>
    <mergeCell ref="C60:D60"/>
    <mergeCell ref="C61:D61"/>
    <mergeCell ref="C8:D9"/>
    <mergeCell ref="C10:D10"/>
    <mergeCell ref="C15:D15"/>
    <mergeCell ref="C16:D16"/>
    <mergeCell ref="C44:C49"/>
    <mergeCell ref="C50:C55"/>
    <mergeCell ref="C38:C43"/>
    <mergeCell ref="C24:D24"/>
    <mergeCell ref="C62:D62"/>
    <mergeCell ref="C63:D63"/>
    <mergeCell ref="C64:D64"/>
    <mergeCell ref="C65:D65"/>
    <mergeCell ref="C66:D66"/>
    <mergeCell ref="C80:D81"/>
    <mergeCell ref="C67:D67"/>
    <mergeCell ref="C68:D68"/>
    <mergeCell ref="C69:D69"/>
    <mergeCell ref="C70:D70"/>
    <mergeCell ref="C72:D72"/>
    <mergeCell ref="C71:D71"/>
    <mergeCell ref="C87:D87"/>
    <mergeCell ref="C88:D88"/>
    <mergeCell ref="C89:D89"/>
    <mergeCell ref="C56:D56"/>
    <mergeCell ref="C57:D57"/>
    <mergeCell ref="C58:D58"/>
    <mergeCell ref="C59:D59"/>
    <mergeCell ref="C82:D82"/>
    <mergeCell ref="C83:D83"/>
    <mergeCell ref="C84:D84"/>
    <mergeCell ref="C85:D85"/>
    <mergeCell ref="C86:D86"/>
    <mergeCell ref="C73:D73"/>
    <mergeCell ref="C75:D75"/>
    <mergeCell ref="C76:D76"/>
    <mergeCell ref="C77:D77"/>
  </mergeCells>
  <phoneticPr fontId="0" type="noConversion"/>
  <dataValidations count="1">
    <dataValidation type="decimal" operator="lessThanOrEqual" allowBlank="1" showInputMessage="1" showErrorMessage="1" sqref="K24 E72:I72 E57:F57 E24:G24">
      <formula1>0</formula1>
    </dataValidation>
  </dataValidations>
  <hyperlinks>
    <hyperlink ref="E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enableFormatConditionsCalculation="0">
    <tabColor rgb="FFC1DFFF"/>
  </sheetPr>
  <dimension ref="A1:M101"/>
  <sheetViews>
    <sheetView workbookViewId="0">
      <selection sqref="A1:XFD1048576"/>
    </sheetView>
  </sheetViews>
  <sheetFormatPr defaultColWidth="10.140625" defaultRowHeight="12.75"/>
  <cols>
    <col min="1" max="3" width="10.140625" style="852"/>
    <col min="4" max="6" width="12.28515625" style="852" customWidth="1"/>
    <col min="7" max="16384" width="10.140625" style="852"/>
  </cols>
  <sheetData>
    <row r="1" spans="1:13">
      <c r="A1" s="890" t="s">
        <v>91</v>
      </c>
      <c r="F1" s="1015" t="s">
        <v>1019</v>
      </c>
    </row>
    <row r="2" spans="1:13">
      <c r="A2" s="890"/>
    </row>
    <row r="3" spans="1:13">
      <c r="A3" s="890" t="s">
        <v>29</v>
      </c>
    </row>
    <row r="5" spans="1:13">
      <c r="A5" s="1108" t="s">
        <v>92</v>
      </c>
      <c r="B5" s="889"/>
      <c r="C5" s="889"/>
      <c r="D5" s="889"/>
      <c r="E5" s="889"/>
      <c r="F5" s="1109"/>
      <c r="G5" s="1109"/>
      <c r="H5" s="1109"/>
      <c r="I5" s="1109"/>
      <c r="J5" s="1109"/>
      <c r="K5" s="1109"/>
      <c r="L5" s="1109"/>
      <c r="M5" s="1109"/>
    </row>
    <row r="6" spans="1:13" ht="13.5" thickBot="1">
      <c r="A6" s="1110"/>
      <c r="B6" s="1111"/>
      <c r="C6" s="1112"/>
      <c r="D6" s="1113"/>
      <c r="E6" s="1111"/>
      <c r="F6" s="1111"/>
      <c r="G6" s="1110"/>
      <c r="H6" s="1110"/>
      <c r="I6" s="1110"/>
      <c r="J6" s="1110"/>
      <c r="K6" s="1110"/>
      <c r="L6" s="1110"/>
      <c r="M6" s="1110"/>
    </row>
    <row r="7" spans="1:13" ht="13.5" thickBot="1">
      <c r="A7" s="1109"/>
      <c r="B7" s="1114"/>
      <c r="C7" s="1115" t="s">
        <v>156</v>
      </c>
      <c r="D7" s="1116"/>
      <c r="E7" s="1117"/>
      <c r="F7" s="1117"/>
      <c r="G7" s="1117"/>
      <c r="H7" s="1118"/>
      <c r="I7" s="1119"/>
      <c r="J7" s="1109"/>
      <c r="K7" s="1109"/>
      <c r="L7" s="1109"/>
      <c r="M7" s="1109"/>
    </row>
    <row r="8" spans="1:13" ht="13.5" thickBot="1">
      <c r="A8" s="1109"/>
      <c r="B8" s="1120"/>
      <c r="C8" s="1022"/>
      <c r="D8" s="1022"/>
      <c r="E8" s="1109"/>
      <c r="F8" s="1109"/>
      <c r="G8" s="1121" t="s">
        <v>157</v>
      </c>
      <c r="H8" s="1121" t="s">
        <v>157</v>
      </c>
      <c r="I8" s="1122"/>
      <c r="J8" s="1109"/>
      <c r="K8" s="1109"/>
      <c r="L8" s="1109"/>
      <c r="M8" s="1109"/>
    </row>
    <row r="9" spans="1:13">
      <c r="A9" s="1109"/>
      <c r="B9" s="1123"/>
      <c r="C9" s="1115" t="s">
        <v>158</v>
      </c>
      <c r="D9" s="1022"/>
      <c r="E9" s="1124"/>
      <c r="F9" s="1109"/>
      <c r="G9" s="1241"/>
      <c r="H9" s="1125"/>
      <c r="I9" s="1122"/>
      <c r="J9" s="1109"/>
      <c r="K9" s="1109"/>
      <c r="L9" s="1109"/>
      <c r="M9" s="1109"/>
    </row>
    <row r="10" spans="1:13">
      <c r="A10" s="1109"/>
      <c r="B10" s="1126"/>
      <c r="C10" s="1082"/>
      <c r="D10" s="1127" t="s">
        <v>145</v>
      </c>
      <c r="E10" s="1128"/>
      <c r="F10" s="1110"/>
      <c r="G10" s="1839">
        <v>4.2</v>
      </c>
      <c r="H10" s="1840"/>
      <c r="I10" s="1129"/>
      <c r="J10" s="1130"/>
      <c r="K10" s="1130"/>
      <c r="L10" s="1130"/>
      <c r="M10" s="1109"/>
    </row>
    <row r="11" spans="1:13">
      <c r="A11" s="1109"/>
      <c r="B11" s="1126"/>
      <c r="C11" s="1082"/>
      <c r="D11" s="1127" t="s">
        <v>146</v>
      </c>
      <c r="E11" s="1128"/>
      <c r="F11" s="1110"/>
      <c r="G11" s="1839">
        <v>0.2</v>
      </c>
      <c r="H11" s="1840"/>
      <c r="I11" s="1129"/>
      <c r="J11" s="1130"/>
      <c r="K11" s="1130"/>
      <c r="L11" s="1130"/>
      <c r="M11" s="1109"/>
    </row>
    <row r="12" spans="1:13">
      <c r="A12" s="1109"/>
      <c r="B12" s="1126"/>
      <c r="C12" s="1082"/>
      <c r="D12" s="1127" t="s">
        <v>147</v>
      </c>
      <c r="E12" s="1128"/>
      <c r="F12" s="1034"/>
      <c r="G12" s="1839">
        <v>15.1</v>
      </c>
      <c r="H12" s="1840"/>
      <c r="I12" s="1129"/>
      <c r="J12" s="1130"/>
      <c r="K12" s="1130"/>
      <c r="L12" s="1130"/>
      <c r="M12" s="1109"/>
    </row>
    <row r="13" spans="1:13">
      <c r="A13" s="1109"/>
      <c r="B13" s="1126"/>
      <c r="C13" s="1082"/>
      <c r="D13" s="1127" t="s">
        <v>226</v>
      </c>
      <c r="E13" s="1128"/>
      <c r="F13" s="1034"/>
      <c r="G13" s="1839">
        <v>0.5</v>
      </c>
      <c r="H13" s="1840"/>
      <c r="I13" s="1129"/>
      <c r="J13" s="1130"/>
      <c r="K13" s="1130"/>
      <c r="L13" s="1130"/>
      <c r="M13" s="1109"/>
    </row>
    <row r="14" spans="1:13">
      <c r="A14" s="1109"/>
      <c r="B14" s="1126"/>
      <c r="C14" s="1082"/>
      <c r="D14" s="1131" t="s">
        <v>227</v>
      </c>
      <c r="E14" s="1128"/>
      <c r="F14" s="1034"/>
      <c r="G14" s="1839">
        <v>0</v>
      </c>
      <c r="H14" s="1840"/>
      <c r="I14" s="1129"/>
      <c r="J14" s="1130"/>
      <c r="K14" s="1130"/>
      <c r="L14" s="1130"/>
      <c r="M14" s="1109"/>
    </row>
    <row r="15" spans="1:13" ht="25.5" customHeight="1">
      <c r="A15" s="1109"/>
      <c r="B15" s="1126"/>
      <c r="C15" s="1128"/>
      <c r="D15" s="2153" t="s">
        <v>876</v>
      </c>
      <c r="E15" s="2153"/>
      <c r="F15" s="2154"/>
      <c r="G15" s="1841">
        <v>0</v>
      </c>
      <c r="H15" s="1840">
        <v>20</v>
      </c>
      <c r="I15" s="1129"/>
      <c r="J15" s="1130"/>
      <c r="K15" s="1130"/>
      <c r="L15" s="1130"/>
      <c r="M15" s="1109"/>
    </row>
    <row r="16" spans="1:13">
      <c r="A16" s="1109"/>
      <c r="B16" s="1126"/>
      <c r="C16" s="1115" t="s">
        <v>148</v>
      </c>
      <c r="D16" s="1131"/>
      <c r="E16" s="1128"/>
      <c r="F16" s="1110"/>
      <c r="G16" s="1842"/>
      <c r="H16" s="1843"/>
      <c r="I16" s="1129"/>
      <c r="J16" s="1130"/>
      <c r="K16" s="1130"/>
      <c r="L16" s="1130"/>
      <c r="M16" s="1109"/>
    </row>
    <row r="17" spans="1:13" ht="25.5" customHeight="1">
      <c r="A17" s="1109"/>
      <c r="B17" s="1126"/>
      <c r="C17" s="1128"/>
      <c r="D17" s="2153" t="s">
        <v>232</v>
      </c>
      <c r="E17" s="2153"/>
      <c r="F17" s="2154"/>
      <c r="G17" s="1839">
        <v>0</v>
      </c>
      <c r="H17" s="1840"/>
      <c r="I17" s="1129"/>
      <c r="J17" s="1130"/>
      <c r="K17" s="1130"/>
      <c r="L17" s="1130"/>
      <c r="M17" s="1109"/>
    </row>
    <row r="18" spans="1:13">
      <c r="A18" s="1109"/>
      <c r="B18" s="1126"/>
      <c r="C18" s="1128"/>
      <c r="D18" s="1131" t="s">
        <v>132</v>
      </c>
      <c r="E18" s="1128"/>
      <c r="F18" s="1110"/>
      <c r="G18" s="1839">
        <v>0</v>
      </c>
      <c r="H18" s="1840"/>
      <c r="I18" s="1129"/>
      <c r="J18" s="1130"/>
      <c r="K18" s="1130"/>
      <c r="L18" s="1130"/>
      <c r="M18" s="1109"/>
    </row>
    <row r="19" spans="1:13">
      <c r="A19" s="1109"/>
      <c r="B19" s="1126"/>
      <c r="C19" s="1128"/>
      <c r="D19" s="1131" t="s">
        <v>133</v>
      </c>
      <c r="E19" s="1128"/>
      <c r="F19" s="1110"/>
      <c r="G19" s="1841">
        <v>0.1</v>
      </c>
      <c r="H19" s="1840">
        <v>0.1</v>
      </c>
      <c r="I19" s="1129"/>
      <c r="J19" s="1130"/>
      <c r="K19" s="1130"/>
      <c r="L19" s="1130"/>
      <c r="M19" s="1109"/>
    </row>
    <row r="20" spans="1:13">
      <c r="A20" s="1109"/>
      <c r="B20" s="1126"/>
      <c r="C20" s="1115" t="s">
        <v>93</v>
      </c>
      <c r="D20" s="1131"/>
      <c r="E20" s="1128"/>
      <c r="F20" s="1110"/>
      <c r="G20" s="1842"/>
      <c r="H20" s="1843"/>
      <c r="I20" s="1129"/>
      <c r="J20" s="1130"/>
      <c r="K20" s="1130"/>
      <c r="L20" s="1130"/>
      <c r="M20" s="1109"/>
    </row>
    <row r="21" spans="1:13" ht="27.75" customHeight="1">
      <c r="A21" s="1109"/>
      <c r="B21" s="1126"/>
      <c r="C21" s="1128"/>
      <c r="D21" s="2153" t="s">
        <v>202</v>
      </c>
      <c r="E21" s="2153"/>
      <c r="F21" s="2154"/>
      <c r="G21" s="1839">
        <v>-0.3</v>
      </c>
      <c r="H21" s="1840"/>
      <c r="I21" s="1129"/>
      <c r="J21" s="1130"/>
      <c r="K21" s="1130"/>
      <c r="L21" s="1130"/>
      <c r="M21" s="1109"/>
    </row>
    <row r="22" spans="1:13" ht="26.25" customHeight="1">
      <c r="A22" s="1109"/>
      <c r="B22" s="1126"/>
      <c r="C22" s="1128"/>
      <c r="D22" s="2151" t="s">
        <v>203</v>
      </c>
      <c r="E22" s="2151"/>
      <c r="F22" s="2152"/>
      <c r="G22" s="1839">
        <v>17.8</v>
      </c>
      <c r="H22" s="1840"/>
      <c r="I22" s="1129"/>
      <c r="J22" s="1130"/>
      <c r="K22" s="1130"/>
      <c r="L22" s="1130"/>
      <c r="M22" s="1109"/>
    </row>
    <row r="23" spans="1:13">
      <c r="A23" s="1109"/>
      <c r="B23" s="1126"/>
      <c r="C23" s="1128"/>
      <c r="D23" s="1132" t="s">
        <v>204</v>
      </c>
      <c r="E23" s="1128"/>
      <c r="F23" s="1034"/>
      <c r="G23" s="1841">
        <v>13.5</v>
      </c>
      <c r="H23" s="1840">
        <v>31</v>
      </c>
      <c r="I23" s="1129"/>
      <c r="J23" s="1130"/>
      <c r="K23" s="1130"/>
      <c r="L23" s="1130"/>
      <c r="M23" s="1109"/>
    </row>
    <row r="24" spans="1:13">
      <c r="A24" s="1109"/>
      <c r="B24" s="1126"/>
      <c r="C24" s="1128"/>
      <c r="D24" s="1127"/>
      <c r="E24" s="1124"/>
      <c r="F24" s="1034"/>
      <c r="G24" s="1842"/>
      <c r="H24" s="1843"/>
      <c r="I24" s="1129"/>
      <c r="J24" s="1130"/>
      <c r="K24" s="1130"/>
      <c r="L24" s="1130"/>
      <c r="M24" s="1109"/>
    </row>
    <row r="25" spans="1:13" ht="13.5" thickBot="1">
      <c r="A25" s="1109"/>
      <c r="B25" s="1100"/>
      <c r="C25" s="2155" t="s">
        <v>205</v>
      </c>
      <c r="D25" s="2155"/>
      <c r="E25" s="2155"/>
      <c r="F25" s="2156"/>
      <c r="G25" s="1844"/>
      <c r="H25" s="1845">
        <v>51.1</v>
      </c>
      <c r="I25" s="1129"/>
      <c r="J25" s="1130"/>
      <c r="K25" s="1130"/>
      <c r="L25" s="1130"/>
      <c r="M25" s="1109"/>
    </row>
    <row r="26" spans="1:13" ht="13.5" thickBot="1">
      <c r="A26" s="1109"/>
      <c r="B26" s="1134"/>
      <c r="C26" s="1135"/>
      <c r="D26" s="1135"/>
      <c r="E26" s="1135"/>
      <c r="F26" s="1136"/>
      <c r="G26" s="1137"/>
      <c r="H26" s="1137"/>
      <c r="I26" s="1138"/>
      <c r="J26" s="1130"/>
      <c r="K26" s="1130"/>
      <c r="L26" s="1130"/>
      <c r="M26" s="1109"/>
    </row>
    <row r="27" spans="1:13" ht="13.5" thickBot="1">
      <c r="A27" s="1109"/>
      <c r="B27" s="1111"/>
      <c r="C27" s="1117"/>
      <c r="D27" s="1109"/>
      <c r="E27" s="1133"/>
      <c r="F27" s="1111"/>
      <c r="G27" s="1130"/>
      <c r="H27" s="1130"/>
      <c r="I27" s="1130"/>
      <c r="J27" s="1130"/>
      <c r="K27" s="1130"/>
      <c r="L27" s="1130"/>
      <c r="M27" s="1109"/>
    </row>
    <row r="28" spans="1:13">
      <c r="A28" s="1109"/>
      <c r="B28" s="1114"/>
      <c r="C28" s="1139" t="s">
        <v>206</v>
      </c>
      <c r="D28" s="1117"/>
      <c r="E28" s="1117"/>
      <c r="F28" s="1140"/>
      <c r="G28" s="1141"/>
      <c r="H28" s="1142"/>
      <c r="I28" s="1142"/>
      <c r="J28" s="1142"/>
      <c r="K28" s="1142"/>
      <c r="L28" s="1142"/>
      <c r="M28" s="1119"/>
    </row>
    <row r="29" spans="1:13" ht="13.5" thickBot="1">
      <c r="A29" s="1109"/>
      <c r="B29" s="1120"/>
      <c r="C29" s="1109"/>
      <c r="D29" s="1115" t="s">
        <v>207</v>
      </c>
      <c r="E29" s="1115"/>
      <c r="F29" s="1110"/>
      <c r="G29" s="1143"/>
      <c r="H29" s="1143"/>
      <c r="I29" s="1130"/>
      <c r="J29" s="1130"/>
      <c r="K29" s="1130"/>
      <c r="L29" s="1130"/>
      <c r="M29" s="1122"/>
    </row>
    <row r="30" spans="1:13" ht="13.5" thickBot="1">
      <c r="A30" s="1109"/>
      <c r="B30" s="1144"/>
      <c r="C30" s="1109"/>
      <c r="D30" s="1128" t="s">
        <v>208</v>
      </c>
      <c r="F30" s="1034"/>
      <c r="G30" s="1145" t="s">
        <v>157</v>
      </c>
      <c r="H30" s="1146"/>
      <c r="I30" s="1130"/>
      <c r="J30" s="1130"/>
      <c r="K30" s="1130"/>
      <c r="L30" s="1130"/>
      <c r="M30" s="1122"/>
    </row>
    <row r="31" spans="1:13">
      <c r="A31" s="1109"/>
      <c r="B31" s="1144"/>
      <c r="C31" s="1109"/>
      <c r="D31" s="1131" t="s">
        <v>209</v>
      </c>
      <c r="F31" s="1109"/>
      <c r="G31" s="1846">
        <v>-9.9999999999997868E-2</v>
      </c>
      <c r="H31" s="1146"/>
      <c r="I31" s="1130"/>
      <c r="J31" s="1130"/>
      <c r="K31" s="1130"/>
      <c r="L31" s="1130"/>
      <c r="M31" s="1122"/>
    </row>
    <row r="32" spans="1:13">
      <c r="A32" s="1109"/>
      <c r="B32" s="1144"/>
      <c r="C32" s="1109"/>
      <c r="D32" s="1131" t="s">
        <v>210</v>
      </c>
      <c r="F32" s="1109"/>
      <c r="G32" s="1846">
        <v>-0.5</v>
      </c>
      <c r="H32" s="1146"/>
      <c r="I32" s="1130"/>
      <c r="J32" s="1130"/>
      <c r="K32" s="1130"/>
      <c r="L32" s="1130"/>
      <c r="M32" s="1122"/>
    </row>
    <row r="33" spans="1:13">
      <c r="A33" s="1110"/>
      <c r="B33" s="1148"/>
      <c r="C33" s="1110"/>
      <c r="D33" s="1131" t="s">
        <v>834</v>
      </c>
      <c r="F33" s="1110"/>
      <c r="G33" s="1846">
        <v>0</v>
      </c>
      <c r="H33" s="1146"/>
      <c r="I33" s="1143"/>
      <c r="J33" s="1143"/>
      <c r="K33" s="1143"/>
      <c r="L33" s="1143"/>
      <c r="M33" s="1149"/>
    </row>
    <row r="34" spans="1:13" ht="13.5" thickBot="1">
      <c r="A34" s="1110"/>
      <c r="B34" s="1148"/>
      <c r="C34" s="1110"/>
      <c r="D34" s="1034"/>
      <c r="E34" s="1150" t="s">
        <v>245</v>
      </c>
      <c r="F34" s="1034"/>
      <c r="G34" s="1847">
        <v>-0.59999999999999787</v>
      </c>
      <c r="H34" s="1146"/>
      <c r="I34" s="1143"/>
      <c r="J34" s="1143"/>
      <c r="K34" s="1143"/>
      <c r="L34" s="1143"/>
      <c r="M34" s="1149"/>
    </row>
    <row r="35" spans="1:13" ht="14.25" thickTop="1" thickBot="1">
      <c r="A35" s="1110"/>
      <c r="B35" s="1148"/>
      <c r="C35" s="1113"/>
      <c r="D35" s="1034"/>
      <c r="E35" s="1034"/>
      <c r="F35" s="1034"/>
      <c r="G35" s="1146"/>
      <c r="H35" s="1146"/>
      <c r="I35" s="1143"/>
      <c r="J35" s="1143"/>
      <c r="K35" s="1143"/>
      <c r="L35" s="1143"/>
      <c r="M35" s="1149"/>
    </row>
    <row r="36" spans="1:13" ht="38.25">
      <c r="A36" s="1110"/>
      <c r="B36" s="1100"/>
      <c r="C36" s="1034"/>
      <c r="D36" s="1034"/>
      <c r="E36" s="2171" t="s">
        <v>155</v>
      </c>
      <c r="F36" s="2172"/>
      <c r="G36" s="1238" t="s">
        <v>8</v>
      </c>
      <c r="H36" s="1238" t="s">
        <v>9</v>
      </c>
      <c r="I36" s="1238" t="s">
        <v>10</v>
      </c>
      <c r="J36" s="1238" t="s">
        <v>11</v>
      </c>
      <c r="K36" s="1239" t="s">
        <v>443</v>
      </c>
      <c r="L36" s="2169" t="s">
        <v>12</v>
      </c>
      <c r="M36" s="1149"/>
    </row>
    <row r="37" spans="1:13">
      <c r="A37" s="1110"/>
      <c r="B37" s="1100"/>
      <c r="C37" s="1034"/>
      <c r="D37" s="1034"/>
      <c r="E37" s="2165" t="s">
        <v>13</v>
      </c>
      <c r="F37" s="2166"/>
      <c r="G37" s="1151" t="s">
        <v>14</v>
      </c>
      <c r="H37" s="1151" t="s">
        <v>14</v>
      </c>
      <c r="I37" s="1151" t="s">
        <v>14</v>
      </c>
      <c r="J37" s="1151" t="s">
        <v>14</v>
      </c>
      <c r="K37" s="1240" t="s">
        <v>14</v>
      </c>
      <c r="L37" s="2170"/>
      <c r="M37" s="1149"/>
    </row>
    <row r="38" spans="1:13">
      <c r="A38" s="1110"/>
      <c r="B38" s="1100"/>
      <c r="C38" s="1034"/>
      <c r="D38" s="1034"/>
      <c r="E38" s="1848" t="s">
        <v>1056</v>
      </c>
      <c r="F38" s="1848" t="s">
        <v>1056</v>
      </c>
      <c r="G38" s="1849">
        <v>20.9</v>
      </c>
      <c r="H38" s="1849">
        <v>20.8</v>
      </c>
      <c r="I38" s="1850">
        <v>9.9999999999997868E-2</v>
      </c>
      <c r="J38" s="1849">
        <v>9.9999999999997868E-2</v>
      </c>
      <c r="K38" s="1850">
        <v>0</v>
      </c>
      <c r="L38" s="1851"/>
      <c r="M38" s="1149"/>
    </row>
    <row r="39" spans="1:13">
      <c r="A39" s="1110"/>
      <c r="B39" s="1100"/>
      <c r="C39" s="1034"/>
      <c r="D39" s="1034"/>
      <c r="E39" s="1848" t="s">
        <v>1057</v>
      </c>
      <c r="F39" s="1848" t="s">
        <v>1057</v>
      </c>
      <c r="G39" s="1849">
        <v>1.1000000000000001</v>
      </c>
      <c r="H39" s="1849">
        <v>0.9</v>
      </c>
      <c r="I39" s="1850">
        <v>0.2</v>
      </c>
      <c r="J39" s="1849">
        <v>0.5</v>
      </c>
      <c r="K39" s="1850">
        <v>-0.3</v>
      </c>
      <c r="L39" s="1848"/>
      <c r="M39" s="1149"/>
    </row>
    <row r="40" spans="1:13" ht="14.25">
      <c r="A40" s="1110"/>
      <c r="B40" s="1100"/>
      <c r="C40" s="1034"/>
      <c r="D40" s="1034"/>
      <c r="E40" s="2167"/>
      <c r="F40" s="2168"/>
      <c r="G40" s="1849"/>
      <c r="H40" s="1849"/>
      <c r="I40" s="1850"/>
      <c r="J40" s="1849"/>
      <c r="K40" s="1850"/>
      <c r="L40" s="1848"/>
      <c r="M40" s="1149"/>
    </row>
    <row r="41" spans="1:13" ht="14.25">
      <c r="A41" s="1110"/>
      <c r="B41" s="1100"/>
      <c r="C41" s="1034"/>
      <c r="D41" s="1034"/>
      <c r="E41" s="2167"/>
      <c r="F41" s="2168"/>
      <c r="G41" s="1849"/>
      <c r="H41" s="1849"/>
      <c r="I41" s="1850"/>
      <c r="J41" s="1849"/>
      <c r="K41" s="1850"/>
      <c r="L41" s="1848"/>
      <c r="M41" s="1149"/>
    </row>
    <row r="42" spans="1:13" ht="14.25">
      <c r="A42" s="1110"/>
      <c r="B42" s="1100"/>
      <c r="C42" s="1034"/>
      <c r="D42" s="1034"/>
      <c r="E42" s="2167"/>
      <c r="F42" s="2168"/>
      <c r="G42" s="1849"/>
      <c r="H42" s="1849"/>
      <c r="I42" s="1850"/>
      <c r="J42" s="1849"/>
      <c r="K42" s="1850"/>
      <c r="L42" s="1848"/>
      <c r="M42" s="1149"/>
    </row>
    <row r="43" spans="1:13" ht="14.25">
      <c r="A43" s="1110"/>
      <c r="B43" s="1100"/>
      <c r="C43" s="1034"/>
      <c r="D43" s="1034"/>
      <c r="E43" s="2167"/>
      <c r="F43" s="2168"/>
      <c r="G43" s="1849"/>
      <c r="H43" s="1849"/>
      <c r="I43" s="1850"/>
      <c r="J43" s="1849"/>
      <c r="K43" s="1850"/>
      <c r="L43" s="1848"/>
      <c r="M43" s="1149"/>
    </row>
    <row r="44" spans="1:13" ht="14.25">
      <c r="A44" s="1110"/>
      <c r="B44" s="1100"/>
      <c r="C44" s="1034"/>
      <c r="D44" s="1034"/>
      <c r="E44" s="2167"/>
      <c r="F44" s="2168"/>
      <c r="G44" s="1849"/>
      <c r="H44" s="1849"/>
      <c r="I44" s="1850"/>
      <c r="J44" s="1849"/>
      <c r="K44" s="1850"/>
      <c r="L44" s="1848"/>
      <c r="M44" s="1149"/>
    </row>
    <row r="45" spans="1:13" ht="14.25">
      <c r="A45" s="1110"/>
      <c r="B45" s="1100"/>
      <c r="C45" s="1034"/>
      <c r="D45" s="1034"/>
      <c r="E45" s="2167"/>
      <c r="F45" s="2168"/>
      <c r="G45" s="1849"/>
      <c r="H45" s="1849"/>
      <c r="I45" s="1850"/>
      <c r="J45" s="1849"/>
      <c r="K45" s="1850"/>
      <c r="L45" s="1848"/>
      <c r="M45" s="1149"/>
    </row>
    <row r="46" spans="1:13" ht="14.25">
      <c r="A46" s="1110"/>
      <c r="B46" s="1100"/>
      <c r="C46" s="1034"/>
      <c r="D46" s="1034"/>
      <c r="E46" s="2167"/>
      <c r="F46" s="2168"/>
      <c r="G46" s="1849"/>
      <c r="H46" s="1849"/>
      <c r="I46" s="1850"/>
      <c r="J46" s="1849"/>
      <c r="K46" s="1850"/>
      <c r="L46" s="1848"/>
      <c r="M46" s="1149"/>
    </row>
    <row r="47" spans="1:13" ht="14.25">
      <c r="A47" s="1110"/>
      <c r="B47" s="1100"/>
      <c r="C47" s="1034"/>
      <c r="D47" s="1034"/>
      <c r="E47" s="2167"/>
      <c r="F47" s="2168"/>
      <c r="G47" s="1849"/>
      <c r="H47" s="1849"/>
      <c r="I47" s="1850"/>
      <c r="J47" s="1849"/>
      <c r="K47" s="1850"/>
      <c r="L47" s="1848"/>
      <c r="M47" s="1149"/>
    </row>
    <row r="48" spans="1:13" ht="14.25">
      <c r="A48" s="1110"/>
      <c r="B48" s="1100"/>
      <c r="C48" s="1034"/>
      <c r="D48" s="1034"/>
      <c r="E48" s="2167"/>
      <c r="F48" s="2168"/>
      <c r="G48" s="1849"/>
      <c r="H48" s="1849"/>
      <c r="I48" s="1850"/>
      <c r="J48" s="1849"/>
      <c r="K48" s="1850"/>
      <c r="L48" s="1848"/>
      <c r="M48" s="1149"/>
    </row>
    <row r="49" spans="1:13" ht="14.25">
      <c r="A49" s="1110"/>
      <c r="B49" s="1100"/>
      <c r="C49" s="1034"/>
      <c r="D49" s="1034"/>
      <c r="E49" s="2167"/>
      <c r="F49" s="2168"/>
      <c r="G49" s="1849"/>
      <c r="H49" s="1849"/>
      <c r="I49" s="1850"/>
      <c r="J49" s="1849"/>
      <c r="K49" s="1850"/>
      <c r="L49" s="1848"/>
      <c r="M49" s="1149"/>
    </row>
    <row r="50" spans="1:13" ht="14.25">
      <c r="A50" s="1110"/>
      <c r="B50" s="1100"/>
      <c r="C50" s="1034"/>
      <c r="D50" s="1034"/>
      <c r="E50" s="2163"/>
      <c r="F50" s="2164"/>
      <c r="G50" s="1849"/>
      <c r="H50" s="1849"/>
      <c r="I50" s="1850"/>
      <c r="J50" s="1849"/>
      <c r="K50" s="1850"/>
      <c r="L50" s="1852"/>
      <c r="M50" s="1149"/>
    </row>
    <row r="51" spans="1:13" ht="13.5" thickBot="1">
      <c r="A51" s="1110"/>
      <c r="B51" s="1100"/>
      <c r="C51" s="1034"/>
      <c r="D51" s="1034"/>
      <c r="E51" s="1185" t="s">
        <v>245</v>
      </c>
      <c r="F51" s="1185"/>
      <c r="G51" s="1853">
        <v>22</v>
      </c>
      <c r="H51" s="1853">
        <v>21.7</v>
      </c>
      <c r="I51" s="1853">
        <v>0.29999999999999793</v>
      </c>
      <c r="J51" s="1853">
        <v>0.59999999999999787</v>
      </c>
      <c r="K51" s="1853">
        <v>-0.3</v>
      </c>
      <c r="L51" s="1854"/>
      <c r="M51" s="1149"/>
    </row>
    <row r="52" spans="1:13">
      <c r="A52" s="1110"/>
      <c r="B52" s="1100"/>
      <c r="C52" s="1034"/>
      <c r="D52" s="1034"/>
      <c r="E52" s="1034"/>
      <c r="F52" s="1034"/>
      <c r="G52" s="1110"/>
      <c r="H52" s="1110"/>
      <c r="I52" s="1110"/>
      <c r="J52" s="1152" t="s">
        <v>722</v>
      </c>
      <c r="K52" s="1152" t="s">
        <v>722</v>
      </c>
      <c r="L52" s="1110"/>
      <c r="M52" s="1149"/>
    </row>
    <row r="53" spans="1:13" ht="13.5" thickBot="1">
      <c r="A53" s="1110"/>
      <c r="B53" s="1100"/>
      <c r="C53" s="1034"/>
      <c r="D53" s="1034"/>
      <c r="E53" s="1034"/>
      <c r="F53" s="1034"/>
      <c r="G53" s="1110"/>
      <c r="H53" s="1110"/>
      <c r="I53" s="1110"/>
      <c r="J53" s="1110"/>
      <c r="K53" s="1110"/>
      <c r="L53" s="1110"/>
      <c r="M53" s="1149"/>
    </row>
    <row r="54" spans="1:13" ht="13.5" thickBot="1">
      <c r="A54" s="1110"/>
      <c r="B54" s="1100"/>
      <c r="C54" s="1115" t="s">
        <v>723</v>
      </c>
      <c r="E54" s="1154"/>
      <c r="F54" s="1110"/>
      <c r="G54" s="1145" t="s">
        <v>14</v>
      </c>
      <c r="H54" s="1145" t="s">
        <v>14</v>
      </c>
      <c r="I54" s="1110"/>
      <c r="J54" s="1143"/>
      <c r="K54" s="1143"/>
      <c r="L54" s="1143"/>
      <c r="M54" s="1155"/>
    </row>
    <row r="55" spans="1:13" ht="26.25" thickBot="1">
      <c r="A55" s="1110"/>
      <c r="B55" s="1100"/>
      <c r="C55" s="1034"/>
      <c r="D55" s="1110"/>
      <c r="E55" s="1110"/>
      <c r="F55" s="1110"/>
      <c r="G55" s="1156"/>
      <c r="H55" s="1157" t="s">
        <v>724</v>
      </c>
      <c r="I55" s="1110"/>
      <c r="J55" s="1143"/>
      <c r="K55" s="1143"/>
      <c r="L55" s="1143"/>
      <c r="M55" s="1155"/>
    </row>
    <row r="56" spans="1:13">
      <c r="A56" s="1110"/>
      <c r="B56" s="1100"/>
      <c r="D56" s="1154" t="s">
        <v>725</v>
      </c>
      <c r="F56" s="1110"/>
      <c r="G56" s="1846">
        <v>0.1</v>
      </c>
      <c r="H56" s="1158">
        <v>0</v>
      </c>
      <c r="I56" s="1110"/>
      <c r="J56" s="1143"/>
      <c r="K56" s="1143"/>
      <c r="L56" s="1143"/>
      <c r="M56" s="1155"/>
    </row>
    <row r="57" spans="1:13" ht="13.5" thickBot="1">
      <c r="A57" s="1110"/>
      <c r="B57" s="1100"/>
      <c r="D57" s="1154" t="s">
        <v>726</v>
      </c>
      <c r="F57" s="1110"/>
      <c r="G57" s="1147">
        <v>0</v>
      </c>
      <c r="H57" s="1159">
        <v>0</v>
      </c>
      <c r="I57" s="1110"/>
      <c r="J57" s="1143"/>
      <c r="K57" s="1143"/>
      <c r="L57" s="1143"/>
      <c r="M57" s="1155"/>
    </row>
    <row r="58" spans="1:13" ht="13.5" thickBot="1">
      <c r="A58" s="1110"/>
      <c r="B58" s="1100"/>
      <c r="C58" s="1034"/>
      <c r="E58" s="1150" t="s">
        <v>727</v>
      </c>
      <c r="F58" s="1110"/>
      <c r="G58" s="1160">
        <v>0</v>
      </c>
      <c r="H58" s="1143"/>
      <c r="I58" s="1110"/>
      <c r="J58" s="1143"/>
      <c r="K58" s="1143"/>
      <c r="L58" s="1143"/>
      <c r="M58" s="1155"/>
    </row>
    <row r="59" spans="1:13" ht="14.25" thickTop="1" thickBot="1">
      <c r="A59" s="1110"/>
      <c r="B59" s="1100"/>
      <c r="C59" s="1034"/>
      <c r="D59" s="1034"/>
      <c r="E59" s="1150"/>
      <c r="F59" s="1110"/>
      <c r="G59" s="1143"/>
      <c r="H59" s="1143"/>
      <c r="I59" s="1110"/>
      <c r="J59" s="1143"/>
      <c r="K59" s="1143"/>
      <c r="L59" s="1143"/>
      <c r="M59" s="1155"/>
    </row>
    <row r="60" spans="1:13" ht="73.5" customHeight="1" thickBot="1">
      <c r="A60" s="1110"/>
      <c r="B60" s="1100"/>
      <c r="C60" s="2157" t="s">
        <v>95</v>
      </c>
      <c r="D60" s="2157"/>
      <c r="E60" s="2157"/>
      <c r="F60" s="1110"/>
      <c r="G60" s="1161" t="s">
        <v>245</v>
      </c>
      <c r="H60" s="1162" t="s">
        <v>96</v>
      </c>
      <c r="I60" s="1162" t="s">
        <v>97</v>
      </c>
      <c r="J60" s="1162" t="s">
        <v>98</v>
      </c>
      <c r="K60" s="1162" t="s">
        <v>99</v>
      </c>
      <c r="L60" s="1143"/>
      <c r="M60" s="1149"/>
    </row>
    <row r="61" spans="1:13" ht="13.5" thickBot="1">
      <c r="A61" s="1110"/>
      <c r="B61" s="1148"/>
      <c r="C61" s="1113"/>
      <c r="D61" s="1115"/>
      <c r="E61" s="1082"/>
      <c r="F61" s="1034"/>
      <c r="G61" s="1145" t="s">
        <v>14</v>
      </c>
      <c r="H61" s="1145" t="s">
        <v>14</v>
      </c>
      <c r="I61" s="1145" t="s">
        <v>14</v>
      </c>
      <c r="J61" s="1145" t="s">
        <v>14</v>
      </c>
      <c r="K61" s="1145" t="s">
        <v>14</v>
      </c>
      <c r="L61" s="1143"/>
      <c r="M61" s="1149"/>
    </row>
    <row r="62" spans="1:13" ht="12.75" customHeight="1">
      <c r="A62" s="1110"/>
      <c r="B62" s="1148"/>
      <c r="D62" s="2151" t="s">
        <v>100</v>
      </c>
      <c r="E62" s="2151"/>
      <c r="F62" s="2152"/>
      <c r="G62" s="1163">
        <v>0</v>
      </c>
      <c r="H62" s="1164">
        <v>0</v>
      </c>
      <c r="I62" s="1165">
        <v>0</v>
      </c>
      <c r="J62" s="1165">
        <v>0</v>
      </c>
      <c r="K62" s="1166">
        <v>0</v>
      </c>
      <c r="L62" s="1143"/>
      <c r="M62" s="1149"/>
    </row>
    <row r="63" spans="1:13" ht="24.75" customHeight="1" thickBot="1">
      <c r="A63" s="1110"/>
      <c r="B63" s="1148"/>
      <c r="D63" s="2151" t="s">
        <v>176</v>
      </c>
      <c r="E63" s="2151"/>
      <c r="F63" s="2152"/>
      <c r="G63" s="1167">
        <v>0</v>
      </c>
      <c r="H63" s="1168">
        <v>0</v>
      </c>
      <c r="I63" s="1169">
        <v>0</v>
      </c>
      <c r="J63" s="1169">
        <v>0</v>
      </c>
      <c r="K63" s="1170">
        <v>0</v>
      </c>
      <c r="L63" s="1143"/>
      <c r="M63" s="1149"/>
    </row>
    <row r="64" spans="1:13" ht="13.5" thickBot="1">
      <c r="A64" s="1110"/>
      <c r="B64" s="1148"/>
      <c r="C64" s="1113"/>
      <c r="D64" s="1034"/>
      <c r="E64" s="1034"/>
      <c r="F64" s="1034"/>
      <c r="G64" s="1146"/>
      <c r="H64" s="1146"/>
      <c r="I64" s="1143"/>
      <c r="J64" s="1143"/>
      <c r="K64" s="1143"/>
      <c r="L64" s="1143"/>
      <c r="M64" s="1149"/>
    </row>
    <row r="65" spans="1:13" ht="90" thickBot="1">
      <c r="A65" s="1110"/>
      <c r="B65" s="1100"/>
      <c r="C65" s="2157" t="s">
        <v>40</v>
      </c>
      <c r="D65" s="2157"/>
      <c r="E65" s="2157"/>
      <c r="F65" s="1110"/>
      <c r="G65" s="1171" t="s">
        <v>245</v>
      </c>
      <c r="H65" s="1172" t="s">
        <v>747</v>
      </c>
      <c r="I65" s="1172" t="s">
        <v>211</v>
      </c>
      <c r="J65" s="1172" t="s">
        <v>212</v>
      </c>
      <c r="K65" s="1172" t="s">
        <v>213</v>
      </c>
      <c r="L65" s="1172" t="s">
        <v>214</v>
      </c>
      <c r="M65" s="1149"/>
    </row>
    <row r="66" spans="1:13" ht="13.5" thickBot="1">
      <c r="A66" s="1110"/>
      <c r="B66" s="1100"/>
      <c r="C66" s="1034"/>
      <c r="D66" s="1154"/>
      <c r="E66" s="1110"/>
      <c r="F66" s="1110"/>
      <c r="G66" s="1145" t="s">
        <v>14</v>
      </c>
      <c r="H66" s="1145" t="s">
        <v>14</v>
      </c>
      <c r="I66" s="1145" t="s">
        <v>14</v>
      </c>
      <c r="J66" s="1145" t="s">
        <v>14</v>
      </c>
      <c r="K66" s="1145" t="s">
        <v>14</v>
      </c>
      <c r="L66" s="1145" t="s">
        <v>14</v>
      </c>
      <c r="M66" s="1149"/>
    </row>
    <row r="67" spans="1:13" ht="14.25">
      <c r="A67" s="1110"/>
      <c r="B67" s="1100"/>
      <c r="D67" s="1132" t="s">
        <v>215</v>
      </c>
      <c r="F67" s="1110"/>
      <c r="G67" s="1173"/>
      <c r="H67" s="1174"/>
      <c r="I67" s="1175"/>
      <c r="J67" s="1175"/>
      <c r="K67" s="1176"/>
      <c r="L67" s="1177"/>
      <c r="M67" s="1149"/>
    </row>
    <row r="68" spans="1:13">
      <c r="A68" s="1110"/>
      <c r="B68" s="1100"/>
      <c r="D68" s="1154" t="s">
        <v>107</v>
      </c>
      <c r="F68" s="1110"/>
      <c r="G68" s="1178"/>
      <c r="H68" s="1179"/>
      <c r="I68" s="1180"/>
      <c r="J68" s="1180"/>
      <c r="K68" s="1176"/>
      <c r="L68" s="1177"/>
      <c r="M68" s="1149"/>
    </row>
    <row r="69" spans="1:13">
      <c r="A69" s="1110"/>
      <c r="B69" s="1100"/>
      <c r="D69" s="1154" t="s">
        <v>108</v>
      </c>
      <c r="F69" s="1110"/>
      <c r="G69" s="1178"/>
      <c r="H69" s="1179"/>
      <c r="I69" s="1180"/>
      <c r="J69" s="1180"/>
      <c r="K69" s="1176"/>
      <c r="L69" s="1177"/>
      <c r="M69" s="1149"/>
    </row>
    <row r="70" spans="1:13">
      <c r="A70" s="1110"/>
      <c r="B70" s="1100"/>
      <c r="D70" s="1154" t="s">
        <v>109</v>
      </c>
      <c r="F70" s="1110"/>
      <c r="G70" s="1178"/>
      <c r="H70" s="1181"/>
      <c r="I70" s="1182"/>
      <c r="J70" s="1182"/>
      <c r="K70" s="1183"/>
      <c r="L70" s="1184"/>
      <c r="M70" s="1149"/>
    </row>
    <row r="71" spans="1:13" ht="13.5" thickBot="1">
      <c r="A71" s="1110"/>
      <c r="B71" s="1100"/>
      <c r="C71" s="1034"/>
      <c r="D71" s="1034"/>
      <c r="E71" s="1150" t="s">
        <v>110</v>
      </c>
      <c r="F71" s="1110"/>
      <c r="G71" s="1185"/>
      <c r="H71" s="1185"/>
      <c r="I71" s="1185"/>
      <c r="J71" s="1185"/>
      <c r="K71" s="1185">
        <v>0</v>
      </c>
      <c r="L71" s="1185">
        <v>0</v>
      </c>
      <c r="M71" s="1149"/>
    </row>
    <row r="72" spans="1:13" ht="13.5" thickBot="1">
      <c r="A72" s="1110"/>
      <c r="B72" s="1186"/>
      <c r="C72" s="1187"/>
      <c r="D72" s="1187"/>
      <c r="E72" s="1188"/>
      <c r="F72" s="1189"/>
      <c r="G72" s="1188"/>
      <c r="H72" s="1190"/>
      <c r="I72" s="1191"/>
      <c r="J72" s="1191"/>
      <c r="K72" s="1191"/>
      <c r="L72" s="1191"/>
      <c r="M72" s="1192"/>
    </row>
    <row r="73" spans="1:13" ht="13.5" thickBot="1">
      <c r="A73" s="1110"/>
      <c r="B73" s="1110"/>
      <c r="C73" s="1189"/>
      <c r="D73" s="1110"/>
      <c r="E73" s="1110"/>
      <c r="F73" s="1110"/>
      <c r="G73" s="1143"/>
      <c r="H73" s="1143"/>
      <c r="I73" s="1143"/>
      <c r="J73" s="1143"/>
      <c r="K73" s="1143"/>
      <c r="L73" s="1143"/>
      <c r="M73" s="1110"/>
    </row>
    <row r="74" spans="1:13">
      <c r="A74" s="1110"/>
      <c r="B74" s="1114"/>
      <c r="C74" s="1115" t="s">
        <v>111</v>
      </c>
      <c r="D74" s="1117"/>
      <c r="E74" s="1193"/>
      <c r="F74" s="1117"/>
      <c r="G74" s="1142"/>
      <c r="H74" s="1142"/>
      <c r="I74" s="1141"/>
      <c r="J74" s="1141"/>
      <c r="K74" s="1141"/>
      <c r="L74" s="1141"/>
      <c r="M74" s="1194"/>
    </row>
    <row r="75" spans="1:13" ht="13.5" thickBot="1">
      <c r="A75" s="1110"/>
      <c r="B75" s="1120"/>
      <c r="C75" s="1153"/>
      <c r="D75" s="1109"/>
      <c r="E75" s="1127"/>
      <c r="F75" s="1109"/>
      <c r="G75" s="1130"/>
      <c r="H75" s="1130"/>
      <c r="I75" s="1143"/>
      <c r="J75" s="1143"/>
      <c r="K75" s="1143"/>
      <c r="L75" s="1143"/>
      <c r="M75" s="1149"/>
    </row>
    <row r="76" spans="1:13" ht="90" customHeight="1" thickBot="1">
      <c r="A76" s="1110"/>
      <c r="B76" s="1100"/>
      <c r="C76" s="2157" t="s">
        <v>94</v>
      </c>
      <c r="D76" s="2157"/>
      <c r="E76" s="2157"/>
      <c r="F76" s="2158"/>
      <c r="G76" s="1171" t="s">
        <v>245</v>
      </c>
      <c r="H76" s="1172" t="s">
        <v>747</v>
      </c>
      <c r="I76" s="1172" t="s">
        <v>211</v>
      </c>
      <c r="J76" s="1172" t="s">
        <v>212</v>
      </c>
      <c r="K76" s="1172" t="s">
        <v>213</v>
      </c>
      <c r="L76" s="1172" t="s">
        <v>214</v>
      </c>
      <c r="M76" s="1149"/>
    </row>
    <row r="77" spans="1:13" ht="13.5" thickBot="1">
      <c r="A77" s="1110"/>
      <c r="B77" s="1100"/>
      <c r="C77" s="1034"/>
      <c r="D77" s="1154"/>
      <c r="E77" s="1110"/>
      <c r="F77" s="1110"/>
      <c r="G77" s="1145" t="s">
        <v>14</v>
      </c>
      <c r="H77" s="1145" t="s">
        <v>14</v>
      </c>
      <c r="I77" s="1145" t="s">
        <v>14</v>
      </c>
      <c r="J77" s="1145" t="s">
        <v>14</v>
      </c>
      <c r="K77" s="1145" t="s">
        <v>14</v>
      </c>
      <c r="L77" s="1145" t="s">
        <v>14</v>
      </c>
      <c r="M77" s="1149"/>
    </row>
    <row r="78" spans="1:13">
      <c r="A78" s="1110"/>
      <c r="B78" s="1100"/>
      <c r="C78" s="1034"/>
      <c r="D78" s="1034" t="s">
        <v>107</v>
      </c>
      <c r="E78" s="1034"/>
      <c r="G78" s="1195">
        <v>0</v>
      </c>
      <c r="H78" s="1196"/>
      <c r="I78" s="1197"/>
      <c r="J78" s="1197"/>
      <c r="K78" s="1198"/>
      <c r="L78" s="1199"/>
      <c r="M78" s="1149"/>
    </row>
    <row r="79" spans="1:13">
      <c r="A79" s="1110"/>
      <c r="B79" s="1100"/>
      <c r="C79" s="1034"/>
      <c r="D79" s="1034" t="s">
        <v>108</v>
      </c>
      <c r="E79" s="1034"/>
      <c r="G79" s="1195">
        <v>0</v>
      </c>
      <c r="H79" s="1196"/>
      <c r="I79" s="1197"/>
      <c r="J79" s="1197"/>
      <c r="K79" s="1198"/>
      <c r="L79" s="1199"/>
      <c r="M79" s="1149"/>
    </row>
    <row r="80" spans="1:13">
      <c r="A80" s="1110"/>
      <c r="B80" s="1100"/>
      <c r="C80" s="1034"/>
      <c r="D80" s="1034" t="s">
        <v>109</v>
      </c>
      <c r="E80" s="1034"/>
      <c r="G80" s="1195">
        <v>0</v>
      </c>
      <c r="H80" s="1200"/>
      <c r="I80" s="1201"/>
      <c r="J80" s="1201"/>
      <c r="K80" s="1202"/>
      <c r="L80" s="1203"/>
      <c r="M80" s="1149"/>
    </row>
    <row r="81" spans="1:13" ht="13.5" thickBot="1">
      <c r="A81" s="1110"/>
      <c r="B81" s="1100"/>
      <c r="C81" s="1034"/>
      <c r="D81" s="1034"/>
      <c r="F81" s="1237" t="s">
        <v>245</v>
      </c>
      <c r="G81" s="1204">
        <v>0</v>
      </c>
      <c r="H81" s="1204">
        <v>0</v>
      </c>
      <c r="I81" s="1204">
        <v>0</v>
      </c>
      <c r="J81" s="1204">
        <v>0</v>
      </c>
      <c r="K81" s="1204">
        <v>0</v>
      </c>
      <c r="L81" s="1204">
        <v>0</v>
      </c>
      <c r="M81" s="1149"/>
    </row>
    <row r="82" spans="1:13" ht="13.5" thickBot="1">
      <c r="A82" s="1110"/>
      <c r="B82" s="1100"/>
      <c r="C82" s="1034"/>
      <c r="D82" s="1034"/>
      <c r="E82" s="1154"/>
      <c r="F82" s="1110"/>
      <c r="G82" s="1205"/>
      <c r="H82" s="1205"/>
      <c r="I82" s="1143"/>
      <c r="J82" s="1143"/>
      <c r="K82" s="1143"/>
      <c r="L82" s="1143"/>
      <c r="M82" s="1149"/>
    </row>
    <row r="83" spans="1:13" ht="27" customHeight="1" thickBot="1">
      <c r="A83" s="1110"/>
      <c r="B83" s="1100"/>
      <c r="C83" s="2161" t="s">
        <v>187</v>
      </c>
      <c r="D83" s="2161"/>
      <c r="E83" s="2161"/>
      <c r="F83" s="2162"/>
      <c r="G83" s="1207">
        <v>0</v>
      </c>
      <c r="H83" s="1208"/>
      <c r="I83" s="1209">
        <v>0</v>
      </c>
      <c r="J83" s="1208"/>
      <c r="K83" s="1210"/>
      <c r="L83" s="1211"/>
      <c r="M83" s="1149"/>
    </row>
    <row r="84" spans="1:13" ht="13.5" thickBot="1">
      <c r="A84" s="1110"/>
      <c r="B84" s="1186"/>
      <c r="C84" s="1187"/>
      <c r="D84" s="1187"/>
      <c r="E84" s="1212"/>
      <c r="F84" s="1189"/>
      <c r="G84" s="1213"/>
      <c r="H84" s="1214"/>
      <c r="I84" s="1213"/>
      <c r="J84" s="1213"/>
      <c r="K84" s="1213"/>
      <c r="L84" s="1213"/>
      <c r="M84" s="1215"/>
    </row>
    <row r="85" spans="1:13" ht="13.5" thickBot="1">
      <c r="A85" s="1154"/>
      <c r="B85" s="1154"/>
      <c r="C85" s="1156"/>
      <c r="D85" s="1034"/>
      <c r="E85" s="1154"/>
      <c r="F85" s="1110"/>
      <c r="G85" s="1143"/>
      <c r="H85" s="1205"/>
      <c r="I85" s="1143"/>
      <c r="J85" s="1143"/>
      <c r="K85" s="1143"/>
      <c r="L85" s="1143"/>
      <c r="M85" s="1110"/>
    </row>
    <row r="86" spans="1:13" ht="13.5" thickBot="1">
      <c r="A86" s="1110"/>
      <c r="B86" s="1216"/>
      <c r="C86" s="1139" t="s">
        <v>175</v>
      </c>
      <c r="D86" s="1217"/>
      <c r="E86" s="1218"/>
      <c r="F86" s="1219"/>
      <c r="G86" s="1220"/>
      <c r="H86" s="1220"/>
      <c r="I86" s="1221"/>
      <c r="J86" s="1143"/>
      <c r="K86" s="1143"/>
      <c r="L86" s="1143"/>
      <c r="M86" s="1110"/>
    </row>
    <row r="87" spans="1:13" ht="13.5" thickBot="1">
      <c r="A87" s="1110"/>
      <c r="B87" s="1100"/>
      <c r="C87" s="1034"/>
      <c r="D87" s="1034"/>
      <c r="E87" s="1150"/>
      <c r="F87" s="1110"/>
      <c r="G87" s="1145" t="s">
        <v>14</v>
      </c>
      <c r="H87" s="1205"/>
      <c r="I87" s="1155"/>
      <c r="J87" s="1143"/>
      <c r="K87" s="1143"/>
      <c r="L87" s="1143"/>
      <c r="M87" s="1110"/>
    </row>
    <row r="88" spans="1:13" ht="29.25" customHeight="1" thickBot="1">
      <c r="A88" s="1110"/>
      <c r="B88" s="1100"/>
      <c r="C88" s="2157" t="s">
        <v>658</v>
      </c>
      <c r="D88" s="2157"/>
      <c r="E88" s="2157"/>
      <c r="F88" s="2158"/>
      <c r="G88" s="1236"/>
      <c r="H88" s="1143"/>
      <c r="I88" s="1155"/>
      <c r="J88" s="1143"/>
      <c r="K88" s="1143"/>
      <c r="L88" s="1143"/>
      <c r="M88" s="1110"/>
    </row>
    <row r="89" spans="1:13" ht="27" customHeight="1" thickBot="1">
      <c r="A89" s="1110"/>
      <c r="B89" s="1100"/>
      <c r="C89" s="2157" t="s">
        <v>914</v>
      </c>
      <c r="D89" s="2157"/>
      <c r="E89" s="2157"/>
      <c r="F89" s="2158"/>
      <c r="G89" s="1222">
        <v>0</v>
      </c>
      <c r="H89" s="1143"/>
      <c r="I89" s="1155"/>
      <c r="J89" s="1143"/>
      <c r="K89" s="1143"/>
      <c r="L89" s="1143"/>
      <c r="M89" s="1110"/>
    </row>
    <row r="90" spans="1:13" ht="13.5" thickBot="1">
      <c r="A90" s="1110"/>
      <c r="B90" s="1100"/>
      <c r="C90" s="1034"/>
      <c r="D90" s="1034"/>
      <c r="E90" s="1154"/>
      <c r="F90" s="1110"/>
      <c r="G90" s="1143"/>
      <c r="H90" s="1143"/>
      <c r="I90" s="1155"/>
      <c r="J90" s="1143"/>
      <c r="K90" s="1143"/>
      <c r="L90" s="1143"/>
      <c r="M90" s="1110"/>
    </row>
    <row r="91" spans="1:13" ht="13.5" thickBot="1">
      <c r="A91" s="1110"/>
      <c r="B91" s="1100"/>
      <c r="C91" s="1034"/>
      <c r="D91" s="1034"/>
      <c r="E91" s="1206"/>
      <c r="F91" s="1110"/>
      <c r="G91" s="1145" t="s">
        <v>14</v>
      </c>
      <c r="H91" s="1145" t="s">
        <v>177</v>
      </c>
      <c r="I91" s="1223"/>
      <c r="J91" s="1224"/>
      <c r="K91" s="1224"/>
      <c r="L91" s="1143"/>
      <c r="M91" s="1110"/>
    </row>
    <row r="92" spans="1:13" ht="13.5" thickBot="1">
      <c r="A92" s="1110"/>
      <c r="B92" s="1100"/>
      <c r="C92" s="1115" t="s">
        <v>190</v>
      </c>
      <c r="E92" s="1110"/>
      <c r="F92" s="1110"/>
      <c r="G92" s="1225"/>
      <c r="H92" s="1226"/>
      <c r="I92" s="1227"/>
      <c r="J92" s="1228"/>
      <c r="K92" s="1228"/>
      <c r="L92" s="1143"/>
      <c r="M92" s="1110"/>
    </row>
    <row r="93" spans="1:13" ht="14.25" thickTop="1" thickBot="1">
      <c r="A93" s="1110"/>
      <c r="B93" s="1148"/>
      <c r="C93" s="1110"/>
      <c r="D93" s="1229"/>
      <c r="E93" s="1110"/>
      <c r="F93" s="1110"/>
      <c r="G93" s="1110"/>
      <c r="H93" s="1110"/>
      <c r="I93" s="1227"/>
      <c r="J93" s="1230"/>
      <c r="K93" s="1230"/>
      <c r="L93" s="1143"/>
      <c r="M93" s="1110"/>
    </row>
    <row r="94" spans="1:13" ht="27.75" customHeight="1" thickBot="1">
      <c r="A94" s="1110"/>
      <c r="B94" s="1100"/>
      <c r="C94" s="2157" t="s">
        <v>191</v>
      </c>
      <c r="D94" s="2157"/>
      <c r="E94" s="2157"/>
      <c r="F94" s="2158"/>
      <c r="G94" s="1145" t="s">
        <v>14</v>
      </c>
      <c r="H94" s="1145" t="s">
        <v>177</v>
      </c>
      <c r="I94" s="1231"/>
      <c r="J94" s="1230"/>
      <c r="K94" s="1230"/>
      <c r="L94" s="1143"/>
      <c r="M94" s="1110"/>
    </row>
    <row r="95" spans="1:13">
      <c r="A95" s="1110"/>
      <c r="B95" s="1100"/>
      <c r="C95" s="1034"/>
      <c r="D95" s="1154" t="s">
        <v>239</v>
      </c>
      <c r="F95" s="1110"/>
      <c r="G95" s="1147">
        <v>0</v>
      </c>
      <c r="H95" s="1147">
        <v>0</v>
      </c>
      <c r="I95" s="1227"/>
      <c r="J95" s="1228"/>
      <c r="K95" s="1228"/>
      <c r="L95" s="1143"/>
      <c r="M95" s="1110"/>
    </row>
    <row r="96" spans="1:13">
      <c r="A96" s="1110"/>
      <c r="B96" s="1100"/>
      <c r="C96" s="1034"/>
      <c r="D96" s="1154" t="s">
        <v>238</v>
      </c>
      <c r="F96" s="1110"/>
      <c r="G96" s="1147">
        <v>0</v>
      </c>
      <c r="H96" s="1147"/>
      <c r="I96" s="1227"/>
      <c r="J96" s="1228"/>
      <c r="K96" s="1228"/>
      <c r="L96" s="1143"/>
      <c r="M96" s="1110"/>
    </row>
    <row r="97" spans="1:13" ht="13.5" thickBot="1">
      <c r="A97" s="1110"/>
      <c r="B97" s="1100"/>
      <c r="C97" s="1034"/>
      <c r="D97" s="1154" t="s">
        <v>192</v>
      </c>
      <c r="F97" s="1110"/>
      <c r="G97" s="1147">
        <v>0</v>
      </c>
      <c r="H97" s="1159">
        <v>0</v>
      </c>
      <c r="I97" s="1227"/>
      <c r="J97" s="1228"/>
      <c r="K97" s="1228"/>
      <c r="L97" s="1143"/>
      <c r="M97" s="1110"/>
    </row>
    <row r="98" spans="1:13" ht="26.25" customHeight="1">
      <c r="A98" s="1110"/>
      <c r="B98" s="1100"/>
      <c r="C98" s="1034"/>
      <c r="D98" s="2159" t="s">
        <v>193</v>
      </c>
      <c r="E98" s="2159"/>
      <c r="F98" s="2160"/>
      <c r="G98" s="1232">
        <v>0</v>
      </c>
      <c r="H98" s="1233"/>
      <c r="I98" s="1227"/>
      <c r="J98" s="1228"/>
      <c r="K98" s="1230"/>
      <c r="L98" s="1143"/>
      <c r="M98" s="1110"/>
    </row>
    <row r="99" spans="1:13" ht="13.5" thickBot="1">
      <c r="A99" s="1110"/>
      <c r="B99" s="1100"/>
      <c r="C99" s="2155" t="s">
        <v>178</v>
      </c>
      <c r="D99" s="2155"/>
      <c r="E99" s="2155"/>
      <c r="F99" s="2156"/>
      <c r="G99" s="1160">
        <v>0</v>
      </c>
      <c r="H99" s="1160"/>
      <c r="I99" s="1234"/>
      <c r="J99" s="1235"/>
      <c r="K99" s="1235"/>
      <c r="L99" s="1143"/>
      <c r="M99" s="1110"/>
    </row>
    <row r="100" spans="1:13" ht="14.25" thickTop="1" thickBot="1">
      <c r="A100" s="1110"/>
      <c r="B100" s="1186"/>
      <c r="C100" s="1187"/>
      <c r="D100" s="1187"/>
      <c r="E100" s="1187"/>
      <c r="F100" s="1187"/>
      <c r="G100" s="1189"/>
      <c r="H100" s="1189"/>
      <c r="I100" s="1215"/>
      <c r="J100" s="1110"/>
      <c r="K100" s="1110"/>
      <c r="L100" s="1110"/>
      <c r="M100" s="1110"/>
    </row>
    <row r="101" spans="1:13">
      <c r="A101" s="1110"/>
      <c r="B101" s="1021"/>
      <c r="C101" s="1021"/>
      <c r="D101" s="1021"/>
      <c r="E101" s="1021"/>
      <c r="F101" s="1021"/>
      <c r="G101" s="1110"/>
      <c r="H101" s="1110"/>
      <c r="I101" s="1110"/>
      <c r="J101" s="1110"/>
      <c r="K101" s="1110"/>
      <c r="L101" s="1110"/>
      <c r="M101" s="1110"/>
    </row>
  </sheetData>
  <mergeCells count="30">
    <mergeCell ref="E41:F41"/>
    <mergeCell ref="E42:F42"/>
    <mergeCell ref="E43:F43"/>
    <mergeCell ref="E49:F49"/>
    <mergeCell ref="E44:F44"/>
    <mergeCell ref="E45:F45"/>
    <mergeCell ref="E46:F46"/>
    <mergeCell ref="E47:F47"/>
    <mergeCell ref="E48:F48"/>
    <mergeCell ref="L36:L37"/>
    <mergeCell ref="D17:F17"/>
    <mergeCell ref="D21:F21"/>
    <mergeCell ref="D22:F22"/>
    <mergeCell ref="E36:F36"/>
    <mergeCell ref="D63:F63"/>
    <mergeCell ref="D15:F15"/>
    <mergeCell ref="C25:F25"/>
    <mergeCell ref="C99:F99"/>
    <mergeCell ref="C89:F89"/>
    <mergeCell ref="C88:F88"/>
    <mergeCell ref="C94:F94"/>
    <mergeCell ref="D98:F98"/>
    <mergeCell ref="C76:F76"/>
    <mergeCell ref="C83:F83"/>
    <mergeCell ref="C60:E60"/>
    <mergeCell ref="C65:E65"/>
    <mergeCell ref="D62:F62"/>
    <mergeCell ref="E50:F50"/>
    <mergeCell ref="E37:F37"/>
    <mergeCell ref="E40:F40"/>
  </mergeCells>
  <phoneticPr fontId="0" type="noConversion"/>
  <dataValidations count="2">
    <dataValidation type="decimal" operator="lessThanOrEqual" allowBlank="1" showInputMessage="1" showErrorMessage="1" sqref="G32:G33">
      <formula1>0</formula1>
    </dataValidation>
    <dataValidation type="decimal" operator="greaterThanOrEqual" allowBlank="1" showInputMessage="1" showErrorMessage="1" sqref="J38:J41 G38:H41">
      <formula1>0</formula1>
    </dataValidation>
  </dataValidations>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enableFormatConditionsCalculation="0">
    <tabColor rgb="FFC1DFFF"/>
  </sheetPr>
  <dimension ref="A1:J80"/>
  <sheetViews>
    <sheetView workbookViewId="0">
      <selection sqref="A1:XFD1048576"/>
    </sheetView>
  </sheetViews>
  <sheetFormatPr defaultColWidth="8.85546875" defaultRowHeight="10.5"/>
  <cols>
    <col min="1" max="1" width="8.140625" style="1856" customWidth="1"/>
    <col min="2" max="2" width="15.42578125" style="1856" customWidth="1"/>
    <col min="3" max="3" width="48.7109375" style="1856" bestFit="1" customWidth="1"/>
    <col min="4" max="4" width="16.140625" style="1856" customWidth="1"/>
    <col min="5" max="10" width="11" style="1856" customWidth="1"/>
    <col min="11" max="16384" width="8.85546875" style="1856"/>
  </cols>
  <sheetData>
    <row r="1" spans="1:10" ht="12.75" customHeight="1">
      <c r="A1" s="1243" t="s">
        <v>16</v>
      </c>
      <c r="B1" s="481"/>
      <c r="C1" s="481"/>
      <c r="D1" s="481"/>
      <c r="E1" s="481"/>
      <c r="F1" s="1855"/>
      <c r="G1" s="481"/>
      <c r="H1" s="481"/>
      <c r="I1" s="481"/>
    </row>
    <row r="2" spans="1:10" s="1857" customFormat="1" ht="12.75">
      <c r="A2" s="482"/>
      <c r="B2" s="483"/>
      <c r="C2" s="483"/>
      <c r="D2" s="483"/>
      <c r="E2" s="483"/>
      <c r="F2" s="483"/>
      <c r="G2" s="483"/>
      <c r="H2" s="483"/>
      <c r="I2" s="483"/>
    </row>
    <row r="3" spans="1:10" ht="15">
      <c r="A3" s="1243" t="s">
        <v>29</v>
      </c>
      <c r="B3" s="481"/>
      <c r="C3" s="481"/>
      <c r="D3" s="481"/>
      <c r="E3" s="481"/>
      <c r="F3" s="481"/>
      <c r="G3" s="481"/>
      <c r="H3" s="481"/>
      <c r="I3" s="481"/>
    </row>
    <row r="4" spans="1:10" ht="12.75">
      <c r="A4" s="480"/>
      <c r="B4" s="481"/>
      <c r="C4" s="481"/>
      <c r="D4" s="481"/>
      <c r="E4" s="481"/>
      <c r="F4" s="481"/>
      <c r="G4" s="481"/>
      <c r="H4" s="481"/>
      <c r="I4" s="481"/>
    </row>
    <row r="5" spans="1:10" ht="20.25">
      <c r="A5" s="2173" t="s">
        <v>30</v>
      </c>
      <c r="B5" s="2173"/>
      <c r="C5" s="2173"/>
      <c r="D5" s="457"/>
      <c r="E5" s="458"/>
      <c r="F5" s="458"/>
      <c r="G5" s="458"/>
    </row>
    <row r="6" spans="1:10" ht="15" thickBot="1">
      <c r="A6" s="459"/>
      <c r="B6" s="459"/>
      <c r="C6" s="354"/>
      <c r="D6" s="354"/>
      <c r="E6" s="460"/>
      <c r="F6" s="460"/>
      <c r="G6" s="460"/>
    </row>
    <row r="7" spans="1:10" ht="15.75" thickBot="1">
      <c r="A7" s="459"/>
      <c r="B7" s="459"/>
      <c r="C7" s="461"/>
      <c r="D7" s="462" t="s">
        <v>31</v>
      </c>
      <c r="E7" s="462" t="s">
        <v>32</v>
      </c>
      <c r="F7" s="462" t="s">
        <v>33</v>
      </c>
      <c r="G7" s="462" t="s">
        <v>29</v>
      </c>
      <c r="H7" s="462" t="s">
        <v>34</v>
      </c>
      <c r="I7" s="1242" t="s">
        <v>35</v>
      </c>
      <c r="J7" s="1242" t="s">
        <v>118</v>
      </c>
    </row>
    <row r="8" spans="1:10" ht="15">
      <c r="A8" s="459"/>
      <c r="B8" s="459"/>
      <c r="C8" s="463" t="s">
        <v>228</v>
      </c>
      <c r="D8" s="464"/>
      <c r="E8" s="2174" t="s">
        <v>229</v>
      </c>
      <c r="F8" s="2175"/>
      <c r="G8" s="2175"/>
      <c r="H8" s="2176" t="s">
        <v>162</v>
      </c>
      <c r="I8" s="2177"/>
      <c r="J8" s="2178"/>
    </row>
    <row r="9" spans="1:10" ht="14.25">
      <c r="A9" s="459"/>
      <c r="B9" s="459"/>
      <c r="C9" s="465" t="s">
        <v>163</v>
      </c>
      <c r="D9" s="466" t="s">
        <v>164</v>
      </c>
      <c r="E9" s="467"/>
      <c r="F9" s="468"/>
      <c r="G9" s="469">
        <v>1.079585</v>
      </c>
      <c r="H9" s="467"/>
      <c r="I9" s="468"/>
      <c r="J9" s="1244"/>
    </row>
    <row r="10" spans="1:10" ht="14.25">
      <c r="A10" s="459"/>
      <c r="B10" s="459"/>
      <c r="C10" s="465" t="s">
        <v>165</v>
      </c>
      <c r="D10" s="466" t="s">
        <v>166</v>
      </c>
      <c r="E10" s="467"/>
      <c r="F10" s="468"/>
      <c r="G10" s="469">
        <v>80.599999999999994</v>
      </c>
      <c r="H10" s="467"/>
      <c r="I10" s="468"/>
      <c r="J10" s="1244"/>
    </row>
    <row r="11" spans="1:10" ht="14.25">
      <c r="A11" s="459"/>
      <c r="B11" s="459"/>
      <c r="C11" s="465" t="s">
        <v>47</v>
      </c>
      <c r="D11" s="466" t="s">
        <v>48</v>
      </c>
      <c r="E11" s="467"/>
      <c r="F11" s="468"/>
      <c r="G11" s="469">
        <v>46.3</v>
      </c>
      <c r="H11" s="467"/>
      <c r="I11" s="468"/>
      <c r="J11" s="1244"/>
    </row>
    <row r="12" spans="1:10" ht="15.75" thickBot="1">
      <c r="A12" s="459"/>
      <c r="B12" s="459"/>
      <c r="C12" s="465"/>
      <c r="D12" s="470"/>
      <c r="E12" s="471"/>
      <c r="F12" s="472"/>
      <c r="G12" s="472"/>
      <c r="H12" s="471"/>
      <c r="I12" s="472"/>
      <c r="J12" s="1245"/>
    </row>
    <row r="13" spans="1:10" ht="15">
      <c r="A13" s="459"/>
      <c r="B13" s="459"/>
      <c r="C13" s="473" t="s">
        <v>233</v>
      </c>
      <c r="D13" s="464"/>
      <c r="E13" s="474"/>
      <c r="F13" s="460"/>
      <c r="G13" s="460"/>
      <c r="J13" s="1858"/>
    </row>
    <row r="14" spans="1:10" ht="14.25">
      <c r="A14" s="459"/>
      <c r="B14" s="459"/>
      <c r="C14" s="475"/>
      <c r="D14" s="466"/>
      <c r="E14" s="474"/>
      <c r="F14" s="460"/>
      <c r="G14" s="460"/>
      <c r="J14" s="1858"/>
    </row>
    <row r="15" spans="1:10" ht="14.25">
      <c r="A15" s="459"/>
      <c r="B15" s="459"/>
      <c r="C15" s="476" t="s">
        <v>234</v>
      </c>
      <c r="D15" s="466"/>
      <c r="E15" s="474"/>
      <c r="F15" s="460"/>
      <c r="G15" s="460"/>
      <c r="J15" s="1858"/>
    </row>
    <row r="16" spans="1:10" ht="14.25">
      <c r="A16" s="459"/>
      <c r="B16" s="459"/>
      <c r="C16" s="476" t="s">
        <v>235</v>
      </c>
      <c r="D16" s="466"/>
      <c r="E16" s="474"/>
      <c r="F16" s="460"/>
      <c r="G16" s="460"/>
      <c r="J16" s="1858"/>
    </row>
    <row r="17" spans="1:10" ht="14.25">
      <c r="A17" s="459"/>
      <c r="B17" s="459"/>
      <c r="C17" s="475" t="s">
        <v>236</v>
      </c>
      <c r="D17" s="466" t="s">
        <v>237</v>
      </c>
      <c r="E17" s="467"/>
      <c r="F17" s="468"/>
      <c r="G17" s="469">
        <v>1</v>
      </c>
      <c r="H17" s="467"/>
      <c r="I17" s="468"/>
      <c r="J17" s="1244"/>
    </row>
    <row r="18" spans="1:10" ht="14.25">
      <c r="A18" s="459"/>
      <c r="B18" s="459"/>
      <c r="C18" s="475" t="s">
        <v>238</v>
      </c>
      <c r="D18" s="466" t="s">
        <v>237</v>
      </c>
      <c r="E18" s="467"/>
      <c r="F18" s="468"/>
      <c r="G18" s="469">
        <v>19</v>
      </c>
      <c r="H18" s="467"/>
      <c r="I18" s="468"/>
      <c r="J18" s="1244"/>
    </row>
    <row r="19" spans="1:10" ht="14.25">
      <c r="A19" s="459"/>
      <c r="B19" s="459"/>
      <c r="C19" s="475" t="s">
        <v>239</v>
      </c>
      <c r="D19" s="466" t="s">
        <v>237</v>
      </c>
      <c r="E19" s="467"/>
      <c r="F19" s="468"/>
      <c r="G19" s="469">
        <v>10819</v>
      </c>
      <c r="H19" s="467"/>
      <c r="I19" s="468"/>
      <c r="J19" s="1244"/>
    </row>
    <row r="20" spans="1:10" ht="14.25">
      <c r="A20" s="459"/>
      <c r="B20" s="459"/>
      <c r="C20" s="475" t="s">
        <v>240</v>
      </c>
      <c r="D20" s="466" t="s">
        <v>237</v>
      </c>
      <c r="E20" s="467"/>
      <c r="F20" s="468"/>
      <c r="G20" s="469">
        <v>1</v>
      </c>
      <c r="H20" s="467"/>
      <c r="I20" s="468"/>
      <c r="J20" s="1244"/>
    </row>
    <row r="21" spans="1:10" ht="14.25">
      <c r="A21" s="459"/>
      <c r="B21" s="459"/>
      <c r="C21" s="475"/>
      <c r="D21" s="466"/>
      <c r="E21" s="474"/>
      <c r="F21" s="460"/>
      <c r="G21" s="460"/>
      <c r="H21" s="474"/>
      <c r="I21" s="460"/>
      <c r="J21" s="1246"/>
    </row>
    <row r="22" spans="1:10" ht="14.25">
      <c r="A22" s="459"/>
      <c r="B22" s="459"/>
      <c r="C22" s="476" t="s">
        <v>241</v>
      </c>
      <c r="D22" s="466"/>
      <c r="E22" s="474"/>
      <c r="F22" s="460"/>
      <c r="G22" s="460"/>
      <c r="H22" s="474"/>
      <c r="I22" s="460"/>
      <c r="J22" s="1246"/>
    </row>
    <row r="23" spans="1:10" ht="14.25">
      <c r="A23" s="459"/>
      <c r="B23" s="459"/>
      <c r="C23" s="475" t="s">
        <v>242</v>
      </c>
      <c r="D23" s="466" t="s">
        <v>243</v>
      </c>
      <c r="E23" s="467"/>
      <c r="F23" s="468"/>
      <c r="G23" s="469">
        <v>277.60000000000002</v>
      </c>
      <c r="H23" s="467"/>
      <c r="I23" s="468"/>
      <c r="J23" s="1244"/>
    </row>
    <row r="24" spans="1:10" ht="14.25">
      <c r="A24" s="459"/>
      <c r="B24" s="459"/>
      <c r="C24" s="475" t="s">
        <v>244</v>
      </c>
      <c r="D24" s="466" t="s">
        <v>243</v>
      </c>
      <c r="E24" s="467"/>
      <c r="F24" s="468"/>
      <c r="G24" s="469">
        <v>186.7</v>
      </c>
      <c r="H24" s="467"/>
      <c r="I24" s="468"/>
      <c r="J24" s="1244"/>
    </row>
    <row r="25" spans="1:10" ht="14.25">
      <c r="A25" s="459"/>
      <c r="B25" s="459"/>
      <c r="C25" s="475" t="s">
        <v>238</v>
      </c>
      <c r="D25" s="466" t="s">
        <v>243</v>
      </c>
      <c r="E25" s="467"/>
      <c r="F25" s="468"/>
      <c r="G25" s="469">
        <v>93.7</v>
      </c>
      <c r="H25" s="467"/>
      <c r="I25" s="468"/>
      <c r="J25" s="1244"/>
    </row>
    <row r="26" spans="1:10" ht="15" thickBot="1">
      <c r="A26" s="459"/>
      <c r="B26" s="459"/>
      <c r="C26" s="475" t="s">
        <v>239</v>
      </c>
      <c r="D26" s="466" t="s">
        <v>243</v>
      </c>
      <c r="E26" s="467"/>
      <c r="F26" s="468"/>
      <c r="G26" s="469">
        <v>12.3</v>
      </c>
      <c r="H26" s="467"/>
      <c r="I26" s="468"/>
      <c r="J26" s="1244"/>
    </row>
    <row r="27" spans="1:10" ht="15" thickBot="1">
      <c r="A27" s="459"/>
      <c r="B27" s="459"/>
      <c r="C27" s="476" t="s">
        <v>245</v>
      </c>
      <c r="D27" s="466"/>
      <c r="E27" s="1247"/>
      <c r="F27" s="477"/>
      <c r="G27" s="477">
        <v>570.29999999999995</v>
      </c>
      <c r="H27" s="477"/>
      <c r="I27" s="477"/>
      <c r="J27" s="1248"/>
    </row>
    <row r="28" spans="1:10" ht="14.25">
      <c r="A28" s="459"/>
      <c r="B28" s="459"/>
      <c r="C28" s="475"/>
      <c r="D28" s="466"/>
      <c r="E28" s="1249"/>
      <c r="F28" s="44"/>
      <c r="G28" s="44"/>
      <c r="H28" s="44"/>
      <c r="I28" s="44"/>
      <c r="J28" s="1250"/>
    </row>
    <row r="29" spans="1:10" ht="14.25">
      <c r="A29" s="459"/>
      <c r="B29" s="459"/>
      <c r="C29" s="476" t="s">
        <v>246</v>
      </c>
      <c r="D29" s="466"/>
      <c r="E29" s="1249"/>
      <c r="F29" s="44"/>
      <c r="G29" s="44"/>
      <c r="H29" s="44"/>
      <c r="I29" s="44"/>
      <c r="J29" s="1250"/>
    </row>
    <row r="30" spans="1:10" ht="14.25">
      <c r="A30" s="459"/>
      <c r="B30" s="459"/>
      <c r="C30" s="475" t="s">
        <v>17</v>
      </c>
      <c r="D30" s="466" t="s">
        <v>243</v>
      </c>
      <c r="E30" s="467"/>
      <c r="F30" s="468"/>
      <c r="G30" s="469">
        <v>2179.2925999999998</v>
      </c>
      <c r="H30" s="467"/>
      <c r="I30" s="468"/>
      <c r="J30" s="1244"/>
    </row>
    <row r="31" spans="1:10" ht="14.25">
      <c r="A31" s="459"/>
      <c r="B31" s="459"/>
      <c r="C31" s="475" t="s">
        <v>18</v>
      </c>
      <c r="D31" s="466" t="s">
        <v>243</v>
      </c>
      <c r="E31" s="467"/>
      <c r="F31" s="468"/>
      <c r="G31" s="469">
        <v>2179.2925999999998</v>
      </c>
      <c r="H31" s="467"/>
      <c r="I31" s="468"/>
      <c r="J31" s="1244"/>
    </row>
    <row r="32" spans="1:10" ht="14.25">
      <c r="A32" s="459"/>
      <c r="B32" s="459"/>
      <c r="C32" s="475"/>
      <c r="D32" s="466"/>
      <c r="E32" s="1249"/>
      <c r="F32" s="44"/>
      <c r="G32" s="44"/>
      <c r="H32" s="44"/>
      <c r="I32" s="44"/>
      <c r="J32" s="1250"/>
    </row>
    <row r="33" spans="1:10" ht="14.25">
      <c r="A33" s="459"/>
      <c r="B33" s="459"/>
      <c r="C33" s="476" t="s">
        <v>50</v>
      </c>
      <c r="D33" s="466"/>
      <c r="E33" s="1249"/>
      <c r="F33" s="44"/>
      <c r="G33" s="44"/>
      <c r="H33" s="44"/>
      <c r="I33" s="44"/>
      <c r="J33" s="1250"/>
    </row>
    <row r="34" spans="1:10" ht="14.25">
      <c r="A34" s="459"/>
      <c r="B34" s="459"/>
      <c r="C34" s="475" t="s">
        <v>236</v>
      </c>
      <c r="D34" s="466" t="s">
        <v>51</v>
      </c>
      <c r="E34" s="467"/>
      <c r="F34" s="468"/>
      <c r="G34" s="469">
        <v>2954.8379382999997</v>
      </c>
      <c r="H34" s="467"/>
      <c r="I34" s="468"/>
      <c r="J34" s="1244"/>
    </row>
    <row r="35" spans="1:10" ht="14.25">
      <c r="A35" s="459"/>
      <c r="B35" s="459"/>
      <c r="C35" s="475" t="s">
        <v>238</v>
      </c>
      <c r="D35" s="466" t="s">
        <v>51</v>
      </c>
      <c r="E35" s="467"/>
      <c r="F35" s="468"/>
      <c r="G35" s="469">
        <v>2482.1083529999996</v>
      </c>
      <c r="H35" s="467"/>
      <c r="I35" s="468"/>
      <c r="J35" s="1244"/>
    </row>
    <row r="36" spans="1:10" ht="15" thickBot="1">
      <c r="A36" s="459"/>
      <c r="B36" s="459"/>
      <c r="C36" s="475" t="s">
        <v>239</v>
      </c>
      <c r="D36" s="466" t="s">
        <v>51</v>
      </c>
      <c r="E36" s="467"/>
      <c r="F36" s="468"/>
      <c r="G36" s="469">
        <v>7216.2041944999992</v>
      </c>
      <c r="H36" s="467"/>
      <c r="I36" s="468"/>
      <c r="J36" s="1244"/>
    </row>
    <row r="37" spans="1:10" ht="15" thickBot="1">
      <c r="A37" s="459"/>
      <c r="B37" s="459"/>
      <c r="C37" s="476" t="s">
        <v>245</v>
      </c>
      <c r="D37" s="466"/>
      <c r="E37" s="1247"/>
      <c r="F37" s="477"/>
      <c r="G37" s="477">
        <v>12653.150485799997</v>
      </c>
      <c r="H37" s="477"/>
      <c r="I37" s="477"/>
      <c r="J37" s="1248"/>
    </row>
    <row r="38" spans="1:10" ht="14.25">
      <c r="A38" s="459"/>
      <c r="B38" s="459"/>
      <c r="C38" s="475"/>
      <c r="D38" s="466"/>
      <c r="E38" s="474"/>
      <c r="F38" s="460"/>
      <c r="G38" s="460"/>
      <c r="H38" s="474"/>
      <c r="I38" s="460"/>
      <c r="J38" s="1246"/>
    </row>
    <row r="39" spans="1:10" ht="14.25">
      <c r="A39" s="459"/>
      <c r="B39" s="459"/>
      <c r="C39" s="476" t="s">
        <v>52</v>
      </c>
      <c r="D39" s="466"/>
      <c r="E39" s="474"/>
      <c r="F39" s="460"/>
      <c r="G39" s="460"/>
      <c r="H39" s="474"/>
      <c r="I39" s="460"/>
      <c r="J39" s="1246"/>
    </row>
    <row r="40" spans="1:10" ht="14.25">
      <c r="A40" s="459"/>
      <c r="B40" s="459"/>
      <c r="C40" s="475" t="s">
        <v>53</v>
      </c>
      <c r="D40" s="466" t="s">
        <v>54</v>
      </c>
      <c r="E40" s="467"/>
      <c r="F40" s="468"/>
      <c r="G40" s="469">
        <v>675.23700000000008</v>
      </c>
      <c r="H40" s="467"/>
      <c r="I40" s="468"/>
      <c r="J40" s="1244"/>
    </row>
    <row r="41" spans="1:10" ht="14.25">
      <c r="A41" s="459"/>
      <c r="B41" s="459"/>
      <c r="C41" s="475" t="s">
        <v>55</v>
      </c>
      <c r="D41" s="466" t="s">
        <v>56</v>
      </c>
      <c r="E41" s="467"/>
      <c r="F41" s="468"/>
      <c r="G41" s="478">
        <v>5.3365128373189352E-2</v>
      </c>
      <c r="H41" s="467"/>
      <c r="I41" s="468"/>
      <c r="J41" s="1251"/>
    </row>
    <row r="42" spans="1:10" ht="14.25">
      <c r="A42" s="459"/>
      <c r="B42" s="459"/>
      <c r="C42" s="475"/>
      <c r="D42" s="466"/>
      <c r="E42" s="1249"/>
      <c r="F42" s="44"/>
      <c r="G42" s="44"/>
      <c r="H42" s="44"/>
      <c r="I42" s="44"/>
      <c r="J42" s="1250"/>
    </row>
    <row r="43" spans="1:10" ht="15.75" thickBot="1">
      <c r="A43" s="459"/>
      <c r="B43" s="459"/>
      <c r="C43" s="465"/>
      <c r="D43" s="470"/>
      <c r="E43" s="471"/>
      <c r="F43" s="472"/>
      <c r="G43" s="472"/>
      <c r="H43" s="472"/>
      <c r="I43" s="472"/>
      <c r="J43" s="1245"/>
    </row>
    <row r="44" spans="1:10" ht="15">
      <c r="A44" s="459"/>
      <c r="B44" s="459"/>
      <c r="C44" s="473" t="s">
        <v>57</v>
      </c>
      <c r="D44" s="466"/>
      <c r="E44" s="1249"/>
      <c r="F44" s="44"/>
      <c r="G44" s="44"/>
      <c r="H44" s="44"/>
      <c r="I44" s="44"/>
      <c r="J44" s="1250"/>
    </row>
    <row r="45" spans="1:10" ht="14.25">
      <c r="A45" s="459"/>
      <c r="B45" s="459"/>
      <c r="C45" s="475"/>
      <c r="D45" s="466"/>
      <c r="E45" s="1249"/>
      <c r="F45" s="44"/>
      <c r="G45" s="44"/>
      <c r="H45" s="44"/>
      <c r="I45" s="44"/>
      <c r="J45" s="1250"/>
    </row>
    <row r="46" spans="1:10" ht="14.25">
      <c r="A46" s="459"/>
      <c r="B46" s="459"/>
      <c r="C46" s="476" t="s">
        <v>169</v>
      </c>
      <c r="D46" s="466"/>
      <c r="E46" s="1249"/>
      <c r="F46" s="44"/>
      <c r="G46" s="44"/>
      <c r="H46" s="44"/>
      <c r="I46" s="44"/>
      <c r="J46" s="1250"/>
    </row>
    <row r="47" spans="1:10" ht="14.25">
      <c r="A47" s="459"/>
      <c r="B47" s="459"/>
      <c r="C47" s="475" t="s">
        <v>242</v>
      </c>
      <c r="D47" s="466" t="s">
        <v>170</v>
      </c>
      <c r="E47" s="467"/>
      <c r="F47" s="468"/>
      <c r="G47" s="479">
        <v>1180</v>
      </c>
      <c r="H47" s="467"/>
      <c r="I47" s="468"/>
      <c r="J47" s="1252"/>
    </row>
    <row r="48" spans="1:10" ht="14.25">
      <c r="A48" s="459"/>
      <c r="B48" s="459"/>
      <c r="C48" s="475" t="s">
        <v>244</v>
      </c>
      <c r="D48" s="466" t="s">
        <v>170</v>
      </c>
      <c r="E48" s="467"/>
      <c r="F48" s="468"/>
      <c r="G48" s="479">
        <v>1584</v>
      </c>
      <c r="H48" s="467"/>
      <c r="I48" s="468"/>
      <c r="J48" s="1252"/>
    </row>
    <row r="49" spans="1:10" ht="14.25">
      <c r="A49" s="459"/>
      <c r="B49" s="459"/>
      <c r="C49" s="475" t="s">
        <v>238</v>
      </c>
      <c r="D49" s="466" t="s">
        <v>170</v>
      </c>
      <c r="E49" s="467"/>
      <c r="F49" s="468"/>
      <c r="G49" s="479">
        <v>12207</v>
      </c>
      <c r="H49" s="467"/>
      <c r="I49" s="468"/>
      <c r="J49" s="1252"/>
    </row>
    <row r="50" spans="1:10" ht="15" thickBot="1">
      <c r="A50" s="459"/>
      <c r="B50" s="459"/>
      <c r="C50" s="475" t="s">
        <v>239</v>
      </c>
      <c r="D50" s="466" t="s">
        <v>170</v>
      </c>
      <c r="E50" s="467"/>
      <c r="F50" s="468"/>
      <c r="G50" s="479">
        <v>3193</v>
      </c>
      <c r="H50" s="467"/>
      <c r="I50" s="468"/>
      <c r="J50" s="1252"/>
    </row>
    <row r="51" spans="1:10" ht="15" thickBot="1">
      <c r="A51" s="459"/>
      <c r="B51" s="459"/>
      <c r="C51" s="476" t="s">
        <v>245</v>
      </c>
      <c r="D51" s="466" t="s">
        <v>170</v>
      </c>
      <c r="E51" s="1247"/>
      <c r="F51" s="477"/>
      <c r="G51" s="477">
        <v>18164</v>
      </c>
      <c r="H51" s="477"/>
      <c r="I51" s="477"/>
      <c r="J51" s="1248"/>
    </row>
    <row r="52" spans="1:10" ht="14.25">
      <c r="A52" s="459"/>
      <c r="B52" s="459"/>
      <c r="C52" s="475"/>
      <c r="D52" s="466"/>
      <c r="E52" s="1249"/>
      <c r="F52" s="44"/>
      <c r="G52" s="44"/>
      <c r="H52" s="44"/>
      <c r="I52" s="44"/>
      <c r="J52" s="1250"/>
    </row>
    <row r="53" spans="1:10" ht="14.25">
      <c r="A53" s="459"/>
      <c r="B53" s="459"/>
      <c r="C53" s="476" t="s">
        <v>171</v>
      </c>
      <c r="D53" s="466"/>
      <c r="E53" s="1249"/>
      <c r="F53" s="44"/>
      <c r="G53" s="44"/>
      <c r="H53" s="44"/>
      <c r="I53" s="44"/>
      <c r="J53" s="1250"/>
    </row>
    <row r="54" spans="1:10" ht="14.25">
      <c r="A54" s="459"/>
      <c r="B54" s="459"/>
      <c r="C54" s="475" t="s">
        <v>242</v>
      </c>
      <c r="D54" s="466" t="s">
        <v>170</v>
      </c>
      <c r="E54" s="467"/>
      <c r="F54" s="468"/>
      <c r="G54" s="479">
        <v>93.4</v>
      </c>
      <c r="H54" s="467"/>
      <c r="I54" s="468"/>
      <c r="J54" s="1252"/>
    </row>
    <row r="55" spans="1:10" ht="14.25">
      <c r="A55" s="459"/>
      <c r="B55" s="459"/>
      <c r="C55" s="475" t="s">
        <v>244</v>
      </c>
      <c r="D55" s="466" t="s">
        <v>170</v>
      </c>
      <c r="E55" s="467"/>
      <c r="F55" s="468"/>
      <c r="G55" s="479">
        <v>397.26400000000001</v>
      </c>
      <c r="H55" s="467"/>
      <c r="I55" s="468"/>
      <c r="J55" s="1252"/>
    </row>
    <row r="56" spans="1:10" ht="14.25">
      <c r="A56" s="459"/>
      <c r="B56" s="459"/>
      <c r="C56" s="475" t="s">
        <v>238</v>
      </c>
      <c r="D56" s="466" t="s">
        <v>170</v>
      </c>
      <c r="E56" s="467"/>
      <c r="F56" s="468"/>
      <c r="G56" s="479">
        <v>5366.7</v>
      </c>
      <c r="H56" s="467"/>
      <c r="I56" s="468"/>
      <c r="J56" s="1252"/>
    </row>
    <row r="57" spans="1:10" ht="15" thickBot="1">
      <c r="A57" s="459"/>
      <c r="B57" s="459"/>
      <c r="C57" s="475" t="s">
        <v>239</v>
      </c>
      <c r="D57" s="466" t="s">
        <v>170</v>
      </c>
      <c r="E57" s="467"/>
      <c r="F57" s="468"/>
      <c r="G57" s="479">
        <v>10735.59</v>
      </c>
      <c r="H57" s="467"/>
      <c r="I57" s="468"/>
      <c r="J57" s="1252"/>
    </row>
    <row r="58" spans="1:10" ht="15" thickBot="1">
      <c r="A58" s="459"/>
      <c r="B58" s="459"/>
      <c r="C58" s="475" t="s">
        <v>245</v>
      </c>
      <c r="D58" s="466" t="s">
        <v>170</v>
      </c>
      <c r="E58" s="1247"/>
      <c r="F58" s="477"/>
      <c r="G58" s="477">
        <v>16592.953999999998</v>
      </c>
      <c r="H58" s="477"/>
      <c r="I58" s="477"/>
      <c r="J58" s="1248"/>
    </row>
    <row r="59" spans="1:10" ht="14.25">
      <c r="A59" s="459"/>
      <c r="B59" s="459"/>
      <c r="C59" s="475"/>
      <c r="D59" s="466"/>
      <c r="E59" s="1249"/>
      <c r="F59" s="44"/>
      <c r="G59" s="44"/>
      <c r="H59" s="44"/>
      <c r="I59" s="44"/>
      <c r="J59" s="1250"/>
    </row>
    <row r="60" spans="1:10" ht="14.25">
      <c r="A60" s="459"/>
      <c r="B60" s="459"/>
      <c r="C60" s="476" t="s">
        <v>172</v>
      </c>
      <c r="D60" s="466"/>
      <c r="E60" s="1249"/>
      <c r="F60" s="44"/>
      <c r="G60" s="44"/>
      <c r="H60" s="44"/>
      <c r="I60" s="44"/>
      <c r="J60" s="1250"/>
    </row>
    <row r="61" spans="1:10" ht="14.25">
      <c r="A61" s="459"/>
      <c r="B61" s="459"/>
      <c r="C61" s="475" t="s">
        <v>242</v>
      </c>
      <c r="D61" s="466" t="s">
        <v>170</v>
      </c>
      <c r="E61" s="1253"/>
      <c r="F61" s="479"/>
      <c r="G61" s="479">
        <v>1273.4000000000001</v>
      </c>
      <c r="H61" s="479"/>
      <c r="I61" s="479"/>
      <c r="J61" s="1252"/>
    </row>
    <row r="62" spans="1:10" ht="14.25">
      <c r="A62" s="459"/>
      <c r="B62" s="459"/>
      <c r="C62" s="475" t="s">
        <v>244</v>
      </c>
      <c r="D62" s="466" t="s">
        <v>170</v>
      </c>
      <c r="E62" s="1253"/>
      <c r="F62" s="479"/>
      <c r="G62" s="479">
        <v>1981.2640000000001</v>
      </c>
      <c r="H62" s="479"/>
      <c r="I62" s="479"/>
      <c r="J62" s="1252"/>
    </row>
    <row r="63" spans="1:10" ht="14.25">
      <c r="A63" s="459"/>
      <c r="B63" s="459"/>
      <c r="C63" s="475" t="s">
        <v>238</v>
      </c>
      <c r="D63" s="466" t="s">
        <v>170</v>
      </c>
      <c r="E63" s="1253"/>
      <c r="F63" s="479"/>
      <c r="G63" s="479">
        <v>17573.7</v>
      </c>
      <c r="H63" s="479"/>
      <c r="I63" s="479"/>
      <c r="J63" s="1252"/>
    </row>
    <row r="64" spans="1:10" ht="15" thickBot="1">
      <c r="A64" s="459"/>
      <c r="B64" s="459"/>
      <c r="C64" s="475" t="s">
        <v>239</v>
      </c>
      <c r="D64" s="466" t="s">
        <v>170</v>
      </c>
      <c r="E64" s="1253"/>
      <c r="F64" s="479"/>
      <c r="G64" s="479">
        <v>13928.59</v>
      </c>
      <c r="H64" s="479"/>
      <c r="I64" s="479"/>
      <c r="J64" s="1252"/>
    </row>
    <row r="65" spans="1:10" ht="15" thickBot="1">
      <c r="A65" s="459"/>
      <c r="B65" s="459"/>
      <c r="C65" s="476" t="s">
        <v>245</v>
      </c>
      <c r="D65" s="466" t="s">
        <v>170</v>
      </c>
      <c r="E65" s="1247"/>
      <c r="F65" s="477"/>
      <c r="G65" s="477">
        <v>34756.953999999998</v>
      </c>
      <c r="H65" s="477"/>
      <c r="I65" s="477"/>
      <c r="J65" s="1248"/>
    </row>
    <row r="66" spans="1:10" ht="14.25">
      <c r="A66" s="459"/>
      <c r="B66" s="459"/>
      <c r="C66" s="475"/>
      <c r="D66" s="466"/>
      <c r="E66" s="1249"/>
      <c r="F66" s="44"/>
      <c r="G66" s="44"/>
      <c r="H66" s="44"/>
      <c r="I66" s="44"/>
      <c r="J66" s="1250"/>
    </row>
    <row r="67" spans="1:10" ht="14.25">
      <c r="A67" s="459"/>
      <c r="B67" s="459"/>
      <c r="C67" s="476" t="s">
        <v>173</v>
      </c>
      <c r="D67" s="466"/>
      <c r="E67" s="1249"/>
      <c r="F67" s="44"/>
      <c r="G67" s="44"/>
      <c r="H67" s="44"/>
      <c r="I67" s="44"/>
      <c r="J67" s="1250"/>
    </row>
    <row r="68" spans="1:10" ht="14.25">
      <c r="A68" s="459"/>
      <c r="B68" s="459"/>
      <c r="C68" s="475" t="s">
        <v>242</v>
      </c>
      <c r="D68" s="466" t="s">
        <v>174</v>
      </c>
      <c r="E68" s="467"/>
      <c r="F68" s="468"/>
      <c r="G68" s="469">
        <v>77</v>
      </c>
      <c r="H68" s="467"/>
      <c r="I68" s="468"/>
      <c r="J68" s="1244"/>
    </row>
    <row r="69" spans="1:10" ht="14.25">
      <c r="A69" s="459"/>
      <c r="B69" s="459"/>
      <c r="C69" s="475" t="s">
        <v>87</v>
      </c>
      <c r="D69" s="466" t="s">
        <v>174</v>
      </c>
      <c r="E69" s="467"/>
      <c r="F69" s="468"/>
      <c r="G69" s="469">
        <v>196</v>
      </c>
      <c r="H69" s="467"/>
      <c r="I69" s="468"/>
      <c r="J69" s="1244"/>
    </row>
    <row r="70" spans="1:10" ht="14.25">
      <c r="A70" s="459"/>
      <c r="B70" s="459"/>
      <c r="C70" s="475" t="s">
        <v>88</v>
      </c>
      <c r="D70" s="466" t="s">
        <v>174</v>
      </c>
      <c r="E70" s="467"/>
      <c r="F70" s="468"/>
      <c r="G70" s="469">
        <v>0</v>
      </c>
      <c r="H70" s="467"/>
      <c r="I70" s="468"/>
      <c r="J70" s="1244"/>
    </row>
    <row r="71" spans="1:10" ht="14.25">
      <c r="A71" s="459"/>
      <c r="B71" s="459"/>
      <c r="C71" s="475" t="s">
        <v>89</v>
      </c>
      <c r="D71" s="466" t="s">
        <v>174</v>
      </c>
      <c r="E71" s="467"/>
      <c r="F71" s="468"/>
      <c r="G71" s="469">
        <v>8329</v>
      </c>
      <c r="H71" s="467"/>
      <c r="I71" s="468"/>
      <c r="J71" s="1244"/>
    </row>
    <row r="72" spans="1:10" ht="15" thickBot="1">
      <c r="A72" s="459"/>
      <c r="B72" s="459"/>
      <c r="C72" s="475" t="s">
        <v>90</v>
      </c>
      <c r="D72" s="466" t="s">
        <v>174</v>
      </c>
      <c r="E72" s="467"/>
      <c r="F72" s="468"/>
      <c r="G72" s="469">
        <v>31138</v>
      </c>
      <c r="H72" s="467"/>
      <c r="I72" s="468"/>
      <c r="J72" s="1244"/>
    </row>
    <row r="73" spans="1:10" ht="15" thickBot="1">
      <c r="A73" s="459"/>
      <c r="B73" s="459"/>
      <c r="C73" s="476" t="s">
        <v>245</v>
      </c>
      <c r="D73" s="466" t="s">
        <v>174</v>
      </c>
      <c r="E73" s="1247"/>
      <c r="F73" s="477"/>
      <c r="G73" s="477">
        <v>39740</v>
      </c>
      <c r="H73" s="477"/>
      <c r="I73" s="477"/>
      <c r="J73" s="1248"/>
    </row>
    <row r="74" spans="1:10" ht="15.75" thickBot="1">
      <c r="A74" s="459"/>
      <c r="B74" s="459"/>
      <c r="C74" s="471"/>
      <c r="D74" s="470"/>
      <c r="E74" s="471"/>
      <c r="F74" s="472"/>
      <c r="G74" s="472"/>
      <c r="H74" s="471"/>
      <c r="I74" s="472"/>
      <c r="J74" s="1245"/>
    </row>
    <row r="75" spans="1:10" ht="14.25">
      <c r="A75" s="354"/>
      <c r="B75" s="354"/>
      <c r="C75" s="354"/>
      <c r="D75" s="354"/>
      <c r="E75" s="354"/>
      <c r="F75" s="354"/>
      <c r="G75" s="354"/>
    </row>
    <row r="76" spans="1:10" ht="14.25">
      <c r="A76" s="459"/>
      <c r="B76" s="459"/>
      <c r="C76" s="354"/>
      <c r="D76" s="354"/>
      <c r="E76" s="354"/>
      <c r="F76" s="354"/>
      <c r="G76" s="354"/>
    </row>
    <row r="77" spans="1:10" ht="14.25">
      <c r="A77" s="459"/>
      <c r="B77" s="459"/>
      <c r="C77" s="354"/>
      <c r="D77" s="354"/>
      <c r="E77" s="354"/>
      <c r="F77" s="354"/>
      <c r="G77" s="354"/>
    </row>
    <row r="78" spans="1:10" ht="14.25">
      <c r="A78" s="459"/>
      <c r="B78" s="459"/>
      <c r="C78" s="354"/>
      <c r="D78" s="354"/>
      <c r="E78" s="354"/>
      <c r="F78" s="354"/>
      <c r="G78" s="354"/>
    </row>
    <row r="79" spans="1:10" ht="14.25">
      <c r="A79" s="459"/>
      <c r="B79" s="459"/>
      <c r="C79" s="354"/>
      <c r="D79" s="354"/>
      <c r="E79" s="354"/>
      <c r="F79" s="354"/>
      <c r="G79" s="354"/>
    </row>
    <row r="80" spans="1:10" ht="14.25">
      <c r="A80" s="459"/>
      <c r="B80" s="459"/>
      <c r="C80" s="354"/>
      <c r="D80" s="354"/>
      <c r="E80" s="354"/>
      <c r="F80" s="354"/>
      <c r="G80" s="354"/>
    </row>
  </sheetData>
  <mergeCells count="3">
    <mergeCell ref="A5:C5"/>
    <mergeCell ref="E8:G8"/>
    <mergeCell ref="H8:J8"/>
  </mergeCells>
  <phoneticPr fontId="0" type="noConversion"/>
  <pageMargins left="0.53" right="0.52" top="0.59" bottom="0.41" header="0.23" footer="0.19"/>
  <pageSetup paperSize="9" orientation="landscape" horizontalDpi="4294967293" verticalDpi="4294967293"/>
  <headerFooter alignWithMargins="0">
    <oddHeader>&amp;C&amp;"Verdana,Regular"&amp;16&amp;F&amp;R&amp;G</oddHeader>
    <oddFooter>&amp;L&amp;D&amp;R&amp;6&amp;N</oddFooter>
  </headerFooter>
  <legacyDrawingHF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enableFormatConditionsCalculation="0">
    <tabColor theme="3" tint="0.79998168889431442"/>
  </sheetPr>
  <dimension ref="A1:M66"/>
  <sheetViews>
    <sheetView workbookViewId="0">
      <selection sqref="A1:XFD1048576"/>
    </sheetView>
  </sheetViews>
  <sheetFormatPr defaultColWidth="8.85546875" defaultRowHeight="12.75"/>
  <cols>
    <col min="1" max="4" width="8.85546875" customWidth="1"/>
    <col min="5" max="5" width="17.42578125" customWidth="1"/>
    <col min="6" max="7" width="8.85546875" customWidth="1"/>
    <col min="8" max="12" width="8.42578125" bestFit="1" customWidth="1"/>
  </cols>
  <sheetData>
    <row r="1" spans="1:12">
      <c r="C1" s="1342" t="s">
        <v>538</v>
      </c>
      <c r="J1" s="230"/>
    </row>
    <row r="8" spans="1:12" ht="15">
      <c r="A8" s="308" t="s">
        <v>539</v>
      </c>
      <c r="B8" s="309"/>
      <c r="C8" s="31"/>
      <c r="D8" s="1859"/>
      <c r="E8" s="309"/>
      <c r="F8" s="309"/>
      <c r="G8" s="310"/>
      <c r="H8" s="311" t="s">
        <v>32</v>
      </c>
      <c r="I8" s="311" t="s">
        <v>33</v>
      </c>
      <c r="J8" s="311" t="s">
        <v>29</v>
      </c>
      <c r="K8" s="311" t="s">
        <v>34</v>
      </c>
      <c r="L8" s="311" t="s">
        <v>35</v>
      </c>
    </row>
    <row r="9" spans="1:12" ht="15">
      <c r="H9" s="311">
        <v>16</v>
      </c>
      <c r="I9" s="311">
        <v>17</v>
      </c>
      <c r="J9" s="311">
        <v>18</v>
      </c>
      <c r="K9" s="311">
        <v>19</v>
      </c>
      <c r="L9" s="311">
        <v>20</v>
      </c>
    </row>
    <row r="10" spans="1:12" ht="15">
      <c r="H10" s="311"/>
      <c r="I10" s="311"/>
      <c r="J10" s="311"/>
      <c r="K10" s="311"/>
      <c r="L10" s="311"/>
    </row>
    <row r="11" spans="1:12" ht="14.25">
      <c r="B11" s="310" t="s">
        <v>523</v>
      </c>
      <c r="F11" t="s">
        <v>14</v>
      </c>
      <c r="H11" s="1860">
        <v>155.30000000000001</v>
      </c>
      <c r="I11" s="1860">
        <v>158.46221499999999</v>
      </c>
      <c r="J11" s="1860">
        <v>164.61900800000001</v>
      </c>
      <c r="K11" s="1860">
        <v>7.529388</v>
      </c>
      <c r="L11" s="1860" t="e">
        <v>#DIV/0!</v>
      </c>
    </row>
    <row r="12" spans="1:12" ht="14.25">
      <c r="B12" s="310" t="s">
        <v>518</v>
      </c>
      <c r="F12" t="s">
        <v>14</v>
      </c>
      <c r="H12" s="1860">
        <v>2.4392900000000002</v>
      </c>
      <c r="I12" s="1860">
        <v>0.36506899999999998</v>
      </c>
      <c r="J12" s="1860">
        <v>-0.91199699999999995</v>
      </c>
      <c r="K12" s="1860">
        <v>-17.267285000000001</v>
      </c>
      <c r="L12" s="1860">
        <v>-17.267285000000001</v>
      </c>
    </row>
    <row r="13" spans="1:12" ht="14.25">
      <c r="B13" s="310" t="s">
        <v>519</v>
      </c>
      <c r="F13" t="s">
        <v>14</v>
      </c>
      <c r="H13" s="1860">
        <v>3.081448</v>
      </c>
      <c r="I13" s="1860">
        <v>-1.9054739999999999</v>
      </c>
      <c r="J13" s="1860">
        <v>2.5028890000000001</v>
      </c>
      <c r="K13" s="1860">
        <v>0</v>
      </c>
      <c r="L13" s="1860">
        <v>0</v>
      </c>
    </row>
    <row r="14" spans="1:12" ht="14.25">
      <c r="B14" s="310" t="s">
        <v>520</v>
      </c>
      <c r="F14" t="s">
        <v>14</v>
      </c>
      <c r="H14" s="1860">
        <v>0.58791199999999999</v>
      </c>
      <c r="I14" s="1860">
        <v>1.2090430000000001</v>
      </c>
      <c r="J14" s="1860">
        <v>4.7731960000000004</v>
      </c>
      <c r="K14" s="1860">
        <v>2.5712950000000001</v>
      </c>
      <c r="L14" s="1860">
        <v>12.493830000000001</v>
      </c>
    </row>
    <row r="15" spans="1:12" ht="14.25">
      <c r="B15" s="310"/>
      <c r="H15" s="1861"/>
      <c r="I15" s="1861"/>
      <c r="J15" s="1861"/>
      <c r="K15" s="1861"/>
      <c r="L15" s="1861"/>
    </row>
    <row r="16" spans="1:12" ht="14.25">
      <c r="B16" s="310" t="s">
        <v>521</v>
      </c>
      <c r="F16" t="s">
        <v>14</v>
      </c>
      <c r="H16" s="1862">
        <v>160.23282599999999</v>
      </c>
      <c r="I16" s="1862">
        <v>155.71276700000001</v>
      </c>
      <c r="J16" s="1862">
        <v>161.43670399999999</v>
      </c>
      <c r="K16" s="1862">
        <v>-12.309191999999999</v>
      </c>
      <c r="L16" s="1862" t="e">
        <v>#DIV/0!</v>
      </c>
    </row>
    <row r="17" spans="1:12" ht="14.25">
      <c r="B17" s="310"/>
      <c r="H17" s="1863"/>
      <c r="I17" s="1863"/>
      <c r="J17" s="1863"/>
      <c r="K17" s="1863"/>
      <c r="L17" s="1863"/>
    </row>
    <row r="18" spans="1:12" ht="14.25">
      <c r="B18" s="310" t="s">
        <v>522</v>
      </c>
      <c r="F18" t="s">
        <v>14</v>
      </c>
      <c r="H18" s="1860">
        <v>161.37</v>
      </c>
      <c r="I18" s="1860">
        <v>160.11000000000001</v>
      </c>
      <c r="J18" s="1860">
        <v>163.97</v>
      </c>
      <c r="K18" s="1860">
        <v>0</v>
      </c>
      <c r="L18" s="1860">
        <v>0</v>
      </c>
    </row>
    <row r="19" spans="1:12" ht="14.25">
      <c r="B19" s="310" t="s">
        <v>377</v>
      </c>
      <c r="F19" t="s">
        <v>14</v>
      </c>
      <c r="H19" s="1860">
        <v>0</v>
      </c>
      <c r="I19" s="1860">
        <v>0</v>
      </c>
      <c r="J19" s="1860">
        <v>0</v>
      </c>
      <c r="K19" s="1860">
        <v>0</v>
      </c>
      <c r="L19" s="1860">
        <v>0</v>
      </c>
    </row>
    <row r="20" spans="1:12" ht="14.25">
      <c r="B20" s="310"/>
      <c r="H20" s="1861"/>
      <c r="I20" s="1861"/>
      <c r="J20" s="1861"/>
      <c r="K20" s="1861"/>
      <c r="L20" s="1861"/>
    </row>
    <row r="21" spans="1:12" ht="14.25">
      <c r="B21" s="310" t="s">
        <v>378</v>
      </c>
      <c r="F21" t="s">
        <v>14</v>
      </c>
      <c r="H21" s="1864">
        <v>1.1371739999999999</v>
      </c>
      <c r="I21" s="1864">
        <v>4.3972329999999999</v>
      </c>
      <c r="J21" s="1864">
        <v>2.533296</v>
      </c>
      <c r="K21" s="1864">
        <v>12.309191999999999</v>
      </c>
      <c r="L21" s="1864" t="e">
        <v>#DIV/0!</v>
      </c>
    </row>
    <row r="22" spans="1:12" ht="14.25">
      <c r="H22" s="1863"/>
      <c r="I22" s="1863"/>
      <c r="J22" s="1863"/>
      <c r="K22" s="1863"/>
      <c r="L22" s="1863"/>
    </row>
    <row r="23" spans="1:12" ht="14.25">
      <c r="H23" s="1863"/>
      <c r="I23" s="1863"/>
      <c r="J23" s="1863"/>
      <c r="K23" s="1863"/>
      <c r="L23" s="1863"/>
    </row>
    <row r="24" spans="1:12" ht="15">
      <c r="A24" s="308" t="s">
        <v>379</v>
      </c>
      <c r="H24" s="1863"/>
      <c r="I24" s="1863"/>
      <c r="J24" s="1863"/>
      <c r="K24" s="1863"/>
      <c r="L24" s="1863"/>
    </row>
    <row r="25" spans="1:12" ht="14.25">
      <c r="H25" s="1863"/>
      <c r="I25" s="1863"/>
      <c r="J25" s="1863"/>
      <c r="K25" s="1863"/>
      <c r="L25" s="1863"/>
    </row>
    <row r="26" spans="1:12" ht="14.25">
      <c r="B26" s="310" t="s">
        <v>380</v>
      </c>
      <c r="F26" t="s">
        <v>14</v>
      </c>
      <c r="H26" s="1860">
        <v>0</v>
      </c>
      <c r="I26" s="1860">
        <v>1.5387E-2</v>
      </c>
      <c r="J26" s="1860">
        <v>2.3938999999999998E-2</v>
      </c>
      <c r="K26" s="1860">
        <v>0</v>
      </c>
      <c r="L26" s="1860">
        <v>0</v>
      </c>
    </row>
    <row r="27" spans="1:12" ht="14.25">
      <c r="B27" s="310" t="s">
        <v>381</v>
      </c>
      <c r="F27" t="s">
        <v>14</v>
      </c>
      <c r="H27" s="1860">
        <v>0</v>
      </c>
      <c r="I27" s="1860">
        <v>0</v>
      </c>
      <c r="J27" s="1860">
        <v>0</v>
      </c>
      <c r="K27" s="1860">
        <v>0</v>
      </c>
      <c r="L27" s="1860">
        <v>0</v>
      </c>
    </row>
    <row r="28" spans="1:12" ht="14.25">
      <c r="B28" s="310" t="s">
        <v>382</v>
      </c>
      <c r="F28" t="s">
        <v>14</v>
      </c>
      <c r="H28" s="1860">
        <v>0</v>
      </c>
      <c r="I28" s="1860">
        <v>0</v>
      </c>
      <c r="J28" s="1860">
        <v>-5.8479999999999999E-3</v>
      </c>
      <c r="K28" s="1860">
        <v>-8.0984E-2</v>
      </c>
      <c r="L28" s="1860">
        <v>-8.2198999999999994E-2</v>
      </c>
    </row>
    <row r="29" spans="1:12" ht="14.25">
      <c r="B29" s="310"/>
      <c r="H29" s="1861"/>
      <c r="I29" s="1861"/>
      <c r="J29" s="1861"/>
      <c r="K29" s="1861"/>
      <c r="L29" s="1861"/>
    </row>
    <row r="30" spans="1:12" ht="14.25">
      <c r="B30" s="310" t="s">
        <v>379</v>
      </c>
      <c r="F30" t="s">
        <v>14</v>
      </c>
      <c r="H30" s="1862">
        <v>0</v>
      </c>
      <c r="I30" s="1862">
        <v>1.5387E-2</v>
      </c>
      <c r="J30" s="1862">
        <v>2.9787000000000001E-2</v>
      </c>
      <c r="K30" s="1862">
        <v>8.0984E-2</v>
      </c>
      <c r="L30" s="1862">
        <v>8.2198999999999994E-2</v>
      </c>
    </row>
    <row r="31" spans="1:12" ht="14.25">
      <c r="B31" s="310"/>
      <c r="H31" s="1863"/>
      <c r="I31" s="1863"/>
      <c r="J31" s="1863"/>
      <c r="K31" s="1863"/>
      <c r="L31" s="1863"/>
    </row>
    <row r="32" spans="1:12" ht="14.25">
      <c r="B32" s="310" t="s">
        <v>345</v>
      </c>
      <c r="F32" t="s">
        <v>14</v>
      </c>
      <c r="H32" s="1860">
        <v>0</v>
      </c>
      <c r="I32" s="1860">
        <v>0.01</v>
      </c>
      <c r="J32" s="1860">
        <v>-0.05</v>
      </c>
      <c r="K32" s="1860">
        <v>0</v>
      </c>
      <c r="L32" s="1860">
        <v>0</v>
      </c>
    </row>
    <row r="33" spans="1:12" ht="14.25">
      <c r="B33" s="310"/>
      <c r="H33" s="1863"/>
      <c r="I33" s="1863"/>
      <c r="J33" s="1863"/>
      <c r="K33" s="1863"/>
      <c r="L33" s="1863"/>
    </row>
    <row r="34" spans="1:12" ht="14.25">
      <c r="B34" s="310" t="s">
        <v>378</v>
      </c>
      <c r="F34" t="s">
        <v>14</v>
      </c>
      <c r="H34" s="1864">
        <v>0</v>
      </c>
      <c r="I34" s="1864">
        <v>-5.3870000000000003E-3</v>
      </c>
      <c r="J34" s="1864">
        <v>-7.9786999999999997E-2</v>
      </c>
      <c r="K34" s="1864">
        <v>-8.0984E-2</v>
      </c>
      <c r="L34" s="1864">
        <v>-8.2198999999999994E-2</v>
      </c>
    </row>
    <row r="35" spans="1:12" ht="14.25">
      <c r="H35" s="1863"/>
      <c r="I35" s="1863"/>
      <c r="J35" s="1863"/>
      <c r="K35" s="1863"/>
      <c r="L35" s="1863"/>
    </row>
    <row r="36" spans="1:12" ht="14.25">
      <c r="H36" s="1863"/>
      <c r="I36" s="1863"/>
      <c r="J36" s="1863"/>
      <c r="K36" s="1863"/>
      <c r="L36" s="1863"/>
    </row>
    <row r="37" spans="1:12" ht="15">
      <c r="A37" s="308" t="s">
        <v>346</v>
      </c>
      <c r="H37" s="1865"/>
      <c r="I37" s="1865"/>
      <c r="J37" s="1865"/>
      <c r="K37" s="1865"/>
      <c r="L37" s="1865"/>
    </row>
    <row r="38" spans="1:12" ht="14.25">
      <c r="B38" s="310" t="s">
        <v>327</v>
      </c>
      <c r="F38" t="s">
        <v>14</v>
      </c>
      <c r="H38" s="1860">
        <v>2.81</v>
      </c>
      <c r="I38" s="1860">
        <v>3.06</v>
      </c>
      <c r="J38" s="1860">
        <v>3.63</v>
      </c>
      <c r="K38" s="1860">
        <v>0</v>
      </c>
      <c r="L38" s="1860">
        <v>0</v>
      </c>
    </row>
    <row r="39" spans="1:12" ht="14.25">
      <c r="B39" s="310" t="s">
        <v>376</v>
      </c>
      <c r="F39" t="s">
        <v>14</v>
      </c>
      <c r="H39" s="1860">
        <v>3.6498080000000002</v>
      </c>
      <c r="I39" s="1860">
        <v>4.2580520000000002</v>
      </c>
      <c r="J39" s="1866">
        <v>0</v>
      </c>
      <c r="K39" s="1866">
        <v>0</v>
      </c>
      <c r="L39" s="1866">
        <v>0</v>
      </c>
    </row>
    <row r="40" spans="1:12" ht="14.25">
      <c r="C40" s="310"/>
      <c r="H40" s="1863"/>
      <c r="I40" s="1863"/>
      <c r="J40" s="1863"/>
      <c r="K40" s="1863"/>
      <c r="L40" s="1863"/>
    </row>
    <row r="41" spans="1:12" ht="14.25">
      <c r="H41" s="1867">
        <v>6.4598079999999998</v>
      </c>
      <c r="I41" s="1867">
        <v>7.3180519999999998</v>
      </c>
      <c r="J41" s="1867">
        <v>3.63</v>
      </c>
      <c r="K41" s="1867">
        <v>0</v>
      </c>
      <c r="L41" s="1867">
        <v>0</v>
      </c>
    </row>
    <row r="42" spans="1:12" ht="14.25">
      <c r="H42" s="1865"/>
      <c r="I42" s="1865"/>
      <c r="J42" s="1865"/>
      <c r="K42" s="1865"/>
      <c r="L42" s="1865"/>
    </row>
    <row r="43" spans="1:12" ht="14.25">
      <c r="H43" s="1865"/>
      <c r="I43" s="1865"/>
      <c r="J43" s="1865"/>
      <c r="K43" s="1865"/>
      <c r="L43" s="1865"/>
    </row>
    <row r="44" spans="1:12" ht="15">
      <c r="A44" s="308" t="s">
        <v>369</v>
      </c>
      <c r="H44" s="1865"/>
      <c r="I44" s="1865"/>
      <c r="J44" s="1865"/>
      <c r="K44" s="1865"/>
      <c r="L44" s="1865"/>
    </row>
    <row r="45" spans="1:12" ht="15">
      <c r="A45" s="308"/>
      <c r="B45" s="310" t="s">
        <v>370</v>
      </c>
      <c r="F45" t="s">
        <v>14</v>
      </c>
      <c r="H45" s="1860">
        <v>25.34</v>
      </c>
      <c r="I45" s="1860">
        <v>34.46</v>
      </c>
      <c r="J45" s="1860">
        <v>36.6</v>
      </c>
      <c r="K45" s="1860">
        <v>0</v>
      </c>
      <c r="L45" s="1860">
        <v>0</v>
      </c>
    </row>
    <row r="46" spans="1:12" ht="14.25">
      <c r="B46" s="310" t="s">
        <v>371</v>
      </c>
      <c r="F46" t="s">
        <v>14</v>
      </c>
      <c r="H46" s="1868">
        <v>4.01</v>
      </c>
      <c r="I46" s="1868">
        <v>4.32</v>
      </c>
      <c r="J46" s="1868">
        <v>4.3099999999999996</v>
      </c>
      <c r="K46" s="1868">
        <v>0</v>
      </c>
      <c r="L46" s="1868">
        <v>0</v>
      </c>
    </row>
    <row r="47" spans="1:12" ht="14.25">
      <c r="B47" s="310" t="s">
        <v>912</v>
      </c>
      <c r="F47" t="s">
        <v>14</v>
      </c>
      <c r="H47" s="1868">
        <v>0.14000000000000001</v>
      </c>
      <c r="I47" s="1868">
        <v>0.87</v>
      </c>
      <c r="J47" s="1868">
        <v>1.28</v>
      </c>
      <c r="K47" s="1868">
        <v>0</v>
      </c>
      <c r="L47" s="1868">
        <v>0</v>
      </c>
    </row>
    <row r="48" spans="1:12" ht="14.25">
      <c r="H48" s="1865"/>
      <c r="I48" s="1865"/>
      <c r="J48" s="1865"/>
      <c r="K48" s="1865"/>
      <c r="L48" s="1865"/>
    </row>
    <row r="49" spans="2:13" ht="14.25">
      <c r="H49" s="1864">
        <v>29.49</v>
      </c>
      <c r="I49" s="1864">
        <v>39.65</v>
      </c>
      <c r="J49" s="1864">
        <v>42.19</v>
      </c>
      <c r="K49" s="1864">
        <v>0</v>
      </c>
      <c r="L49" s="1864">
        <v>0</v>
      </c>
    </row>
    <row r="50" spans="2:13" ht="14.25">
      <c r="H50" s="310"/>
      <c r="I50" s="310"/>
      <c r="J50" s="310"/>
      <c r="K50" s="310"/>
      <c r="L50" s="310"/>
    </row>
    <row r="51" spans="2:13" ht="14.25">
      <c r="H51" s="1869"/>
      <c r="I51" s="1869"/>
      <c r="J51" s="1869"/>
      <c r="K51" s="1869"/>
      <c r="L51" s="1869"/>
    </row>
    <row r="52" spans="2:13" ht="14.25">
      <c r="H52" s="310"/>
      <c r="I52" s="310"/>
      <c r="J52" s="310"/>
      <c r="K52" s="310"/>
      <c r="L52" s="310"/>
    </row>
    <row r="54" spans="2:13" ht="15">
      <c r="B54" s="1281" t="s">
        <v>950</v>
      </c>
      <c r="C54" s="1290" t="s">
        <v>951</v>
      </c>
      <c r="D54" s="1290"/>
      <c r="E54" s="1290"/>
      <c r="F54" s="1282"/>
      <c r="G54" s="1282"/>
      <c r="H54" s="1282"/>
      <c r="I54" s="1282"/>
      <c r="J54" s="1282"/>
      <c r="K54" s="1282"/>
      <c r="L54" s="1282"/>
      <c r="M54" s="1282"/>
    </row>
    <row r="55" spans="2:13" ht="30">
      <c r="B55" s="1281" t="s">
        <v>952</v>
      </c>
      <c r="C55" s="1296" t="s">
        <v>953</v>
      </c>
      <c r="D55" s="1291"/>
      <c r="E55" s="1291"/>
      <c r="F55" s="1291"/>
      <c r="G55" s="1291"/>
      <c r="H55" s="1291"/>
      <c r="I55" s="1291"/>
      <c r="J55" s="1291"/>
      <c r="K55" s="1291"/>
      <c r="L55" s="1291"/>
      <c r="M55" s="1291"/>
    </row>
    <row r="56" spans="2:13" ht="15">
      <c r="B56" s="1290" t="s">
        <v>523</v>
      </c>
      <c r="C56" s="1290"/>
      <c r="D56" s="1290"/>
      <c r="E56" s="1290"/>
      <c r="F56" s="1282"/>
      <c r="G56" s="1282"/>
      <c r="H56" s="1282"/>
      <c r="I56" s="1282"/>
      <c r="J56" s="1282"/>
      <c r="K56" s="1282"/>
      <c r="L56" s="1282"/>
      <c r="M56" s="1282"/>
    </row>
    <row r="57" spans="2:13" ht="15.75">
      <c r="B57" s="1283" t="s">
        <v>954</v>
      </c>
      <c r="C57" s="1282"/>
      <c r="D57" s="1283" t="s">
        <v>979</v>
      </c>
      <c r="E57" s="1283"/>
      <c r="F57" s="1283"/>
      <c r="G57" s="1283"/>
      <c r="H57" s="1282"/>
      <c r="I57" s="1282"/>
      <c r="J57" s="1282"/>
      <c r="K57" s="1282"/>
      <c r="L57" s="1282"/>
      <c r="M57" s="1282"/>
    </row>
    <row r="58" spans="2:13">
      <c r="B58" s="1282"/>
      <c r="C58" s="1282"/>
      <c r="D58" s="1282"/>
      <c r="E58" s="1282"/>
      <c r="F58" s="1282"/>
      <c r="G58" s="1282"/>
      <c r="H58" s="1282"/>
      <c r="I58" s="1282"/>
      <c r="J58" s="1285" t="s">
        <v>955</v>
      </c>
      <c r="K58" s="1285"/>
      <c r="L58" s="1282"/>
      <c r="M58" s="1282"/>
    </row>
    <row r="59" spans="2:13" ht="14.25">
      <c r="B59" s="1282"/>
      <c r="C59" s="1282"/>
      <c r="D59" s="1282"/>
      <c r="E59" s="1282"/>
      <c r="F59" s="1282"/>
      <c r="G59" s="1282"/>
      <c r="H59" s="1282"/>
      <c r="I59" s="1282"/>
      <c r="J59" s="1284" t="s">
        <v>29</v>
      </c>
      <c r="K59" s="1282"/>
      <c r="L59" s="1282"/>
      <c r="M59" s="1282"/>
    </row>
    <row r="60" spans="2:13" ht="15">
      <c r="B60" s="1285" t="s">
        <v>956</v>
      </c>
      <c r="C60" s="1285" t="s">
        <v>957</v>
      </c>
      <c r="D60" s="1285"/>
      <c r="E60" s="1285"/>
      <c r="F60" s="1285"/>
      <c r="G60" s="1285"/>
      <c r="H60" s="1282"/>
      <c r="I60" s="1282"/>
      <c r="J60" s="1282"/>
      <c r="K60" s="1290" t="s">
        <v>958</v>
      </c>
      <c r="L60" s="1290"/>
      <c r="M60" s="1290"/>
    </row>
    <row r="61" spans="2:13" ht="15.75">
      <c r="B61" s="1283" t="s">
        <v>980</v>
      </c>
      <c r="C61" s="1283" t="s">
        <v>959</v>
      </c>
      <c r="D61" s="1283"/>
      <c r="E61" s="1283"/>
      <c r="F61" s="1283" t="s">
        <v>14</v>
      </c>
      <c r="G61" s="1282"/>
      <c r="H61" s="1282"/>
      <c r="I61" s="1282"/>
      <c r="J61" s="1286">
        <v>147.92292900000001</v>
      </c>
      <c r="K61" s="1283" t="s">
        <v>960</v>
      </c>
      <c r="L61" s="1282"/>
      <c r="M61" s="1282"/>
    </row>
    <row r="62" spans="2:13" ht="15.75">
      <c r="B62" s="1283" t="s">
        <v>981</v>
      </c>
      <c r="C62" s="1283" t="s">
        <v>961</v>
      </c>
      <c r="D62" s="1283"/>
      <c r="E62" s="1282"/>
      <c r="F62" s="1282"/>
      <c r="G62" s="1282"/>
      <c r="H62" s="1282"/>
      <c r="I62" s="1282"/>
      <c r="J62" s="1286">
        <v>1.06396</v>
      </c>
      <c r="K62" s="1283" t="s">
        <v>962</v>
      </c>
      <c r="L62" s="1282"/>
      <c r="M62" s="1282"/>
    </row>
    <row r="63" spans="2:13" ht="15.75">
      <c r="B63" s="1283" t="s">
        <v>982</v>
      </c>
      <c r="C63" s="1283" t="s">
        <v>963</v>
      </c>
      <c r="D63" s="1283"/>
      <c r="E63" s="1282"/>
      <c r="F63" s="1283" t="s">
        <v>14</v>
      </c>
      <c r="G63" s="1282"/>
      <c r="H63" s="1282"/>
      <c r="I63" s="1282"/>
      <c r="J63" s="1286"/>
      <c r="K63" s="1283" t="s">
        <v>964</v>
      </c>
      <c r="L63" s="1282"/>
      <c r="M63" s="1282"/>
    </row>
    <row r="64" spans="2:13">
      <c r="B64" s="1282"/>
      <c r="C64" s="1282"/>
      <c r="D64" s="1282"/>
      <c r="E64" s="1282"/>
      <c r="F64" s="1282"/>
      <c r="G64" s="1282"/>
      <c r="H64" s="1282"/>
      <c r="I64" s="1282"/>
      <c r="J64" s="1282"/>
      <c r="K64" s="1282"/>
      <c r="L64" s="1282"/>
      <c r="M64" s="1282"/>
    </row>
    <row r="65" spans="2:13">
      <c r="K65" s="1282"/>
      <c r="L65" s="1282"/>
      <c r="M65" s="1282"/>
    </row>
    <row r="66" spans="2:13">
      <c r="B66" s="1282"/>
      <c r="C66" s="1282"/>
      <c r="D66" s="1282"/>
      <c r="E66" s="1282"/>
      <c r="F66" s="1282"/>
      <c r="G66" s="1282"/>
      <c r="H66" s="1282"/>
      <c r="I66" s="1282"/>
      <c r="J66" s="1282"/>
      <c r="K66" s="1282"/>
      <c r="L66" s="1282"/>
      <c r="M66" s="1282"/>
    </row>
  </sheetData>
  <phoneticPr fontId="0"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enableFormatConditionsCalculation="0">
    <tabColor theme="3" tint="0.79998168889431442"/>
  </sheetPr>
  <dimension ref="A14:I163"/>
  <sheetViews>
    <sheetView showGridLines="0" workbookViewId="0"/>
  </sheetViews>
  <sheetFormatPr defaultColWidth="11.42578125" defaultRowHeight="12.75"/>
  <sheetData>
    <row r="14" spans="1:9">
      <c r="A14" s="8" t="s">
        <v>706</v>
      </c>
      <c r="B14" s="1"/>
      <c r="C14" s="1"/>
      <c r="D14" s="1"/>
      <c r="E14" s="1"/>
      <c r="F14" s="1"/>
      <c r="G14" s="1"/>
      <c r="H14" s="1"/>
      <c r="I14" s="1"/>
    </row>
    <row r="16" spans="1:9" ht="63.75">
      <c r="A16" s="28"/>
      <c r="B16" s="973"/>
      <c r="C16" s="974" t="s">
        <v>635</v>
      </c>
      <c r="D16" s="975" t="s">
        <v>31</v>
      </c>
      <c r="E16" s="976" t="s">
        <v>870</v>
      </c>
      <c r="F16" s="976"/>
      <c r="G16" s="976" t="s">
        <v>707</v>
      </c>
      <c r="H16" s="976" t="s">
        <v>697</v>
      </c>
      <c r="I16" s="976" t="s">
        <v>455</v>
      </c>
    </row>
    <row r="17" spans="1:9" ht="114.75">
      <c r="A17" s="3"/>
      <c r="B17" s="14"/>
      <c r="C17" s="19"/>
      <c r="D17" s="3"/>
      <c r="E17" s="977" t="s">
        <v>579</v>
      </c>
      <c r="F17" s="977" t="s">
        <v>216</v>
      </c>
      <c r="G17" s="977" t="s">
        <v>442</v>
      </c>
      <c r="H17" s="977" t="s">
        <v>907</v>
      </c>
      <c r="I17" s="978" t="s">
        <v>877</v>
      </c>
    </row>
    <row r="18" spans="1:9">
      <c r="A18" s="3" t="s">
        <v>459</v>
      </c>
      <c r="B18" s="14"/>
      <c r="C18" s="19"/>
      <c r="D18" s="3"/>
      <c r="E18" s="3"/>
      <c r="F18" s="19"/>
      <c r="G18" s="19"/>
      <c r="H18" s="19"/>
      <c r="I18" s="19"/>
    </row>
    <row r="19" spans="1:9">
      <c r="A19" s="25"/>
      <c r="B19" s="20" t="s">
        <v>224</v>
      </c>
      <c r="C19" s="21"/>
      <c r="D19" s="25"/>
      <c r="E19" s="25"/>
      <c r="F19" s="21"/>
      <c r="G19" s="21"/>
      <c r="H19" s="21"/>
      <c r="I19" s="21"/>
    </row>
    <row r="20" spans="1:9">
      <c r="A20" s="25"/>
      <c r="B20" s="20"/>
      <c r="C20" s="21" t="s">
        <v>460</v>
      </c>
      <c r="D20" s="25" t="s">
        <v>177</v>
      </c>
      <c r="E20" s="4">
        <f>IF(ISNUMBER('FBPQ C2'!J12),'FBPQ C2'!J12,IF(ISNUMBER('FBPQ C2'!I12),'FBPQ C2'!I12,""))</f>
        <v>19.989999999999998</v>
      </c>
      <c r="F20" s="29" t="s">
        <v>217</v>
      </c>
      <c r="G20" s="29">
        <f t="shared" ref="G20:G51" si="0">IF(ISNUMBER(E20),E20,IF(H20&gt;0,F20," "))</f>
        <v>19.989999999999998</v>
      </c>
      <c r="H20" s="21">
        <f>IF(ISBLANK('FBPQ T4'!E12)," ",'FBPQ T4'!AE12)</f>
        <v>3192</v>
      </c>
      <c r="I20" s="21">
        <f t="shared" ref="I20:I51" si="1">IF(ISERROR(G20*H20)," ",G20*H20)</f>
        <v>63808.079999999994</v>
      </c>
    </row>
    <row r="21" spans="1:9">
      <c r="A21" s="25"/>
      <c r="B21" s="20"/>
      <c r="C21" s="21" t="s">
        <v>461</v>
      </c>
      <c r="D21" s="25" t="s">
        <v>738</v>
      </c>
      <c r="E21" s="4">
        <f>IF(ISNUMBER('FBPQ C2'!J13),'FBPQ C2'!J13,IF(ISNUMBER('FBPQ C2'!I13),'FBPQ C2'!I13,""))</f>
        <v>0.32</v>
      </c>
      <c r="F21" s="29" t="s">
        <v>217</v>
      </c>
      <c r="G21" s="29">
        <f t="shared" si="0"/>
        <v>0.32</v>
      </c>
      <c r="H21" s="21">
        <f>IF(ISBLANK('FBPQ T4'!E13)," ",'FBPQ T4'!AE13)</f>
        <v>317000</v>
      </c>
      <c r="I21" s="21">
        <f t="shared" si="1"/>
        <v>101440</v>
      </c>
    </row>
    <row r="22" spans="1:9">
      <c r="A22" s="25"/>
      <c r="B22" s="20"/>
      <c r="C22" s="21"/>
      <c r="D22" s="25"/>
      <c r="E22" s="4" t="str">
        <f>IF(ISNUMBER('FBPQ C2'!J14),'FBPQ C2'!J14,IF(ISNUMBER('FBPQ C2'!I14),'FBPQ C2'!I14,""))</f>
        <v/>
      </c>
      <c r="F22" s="29"/>
      <c r="G22" s="29">
        <f t="shared" si="0"/>
        <v>0</v>
      </c>
      <c r="H22" s="21" t="str">
        <f>IF(ISBLANK('FBPQ T4'!E14)," ",'FBPQ T4'!AE14)</f>
        <v xml:space="preserve"> </v>
      </c>
      <c r="I22" s="21" t="str">
        <f t="shared" si="1"/>
        <v xml:space="preserve"> </v>
      </c>
    </row>
    <row r="23" spans="1:9">
      <c r="A23" s="25"/>
      <c r="B23" s="20" t="s">
        <v>739</v>
      </c>
      <c r="C23" s="21"/>
      <c r="D23" s="25"/>
      <c r="E23" s="4" t="str">
        <f>IF(ISNUMBER('FBPQ C2'!J15),'FBPQ C2'!J15,IF(ISNUMBER('FBPQ C2'!I15),'FBPQ C2'!I15,""))</f>
        <v/>
      </c>
      <c r="F23" s="29"/>
      <c r="G23" s="29">
        <f t="shared" si="0"/>
        <v>0</v>
      </c>
      <c r="H23" s="21" t="str">
        <f>IF(ISBLANK('FBPQ T4'!E15)," ",'FBPQ T4'!AE15)</f>
        <v xml:space="preserve"> </v>
      </c>
      <c r="I23" s="21" t="str">
        <f t="shared" si="1"/>
        <v xml:space="preserve"> </v>
      </c>
    </row>
    <row r="24" spans="1:9">
      <c r="A24" s="25"/>
      <c r="B24" s="20"/>
      <c r="C24" s="21" t="s">
        <v>740</v>
      </c>
      <c r="D24" s="25" t="s">
        <v>738</v>
      </c>
      <c r="E24" s="4">
        <f>IF(ISNUMBER('FBPQ C2'!J16),'FBPQ C2'!J16,IF(ISNUMBER('FBPQ C2'!I16),'FBPQ C2'!I16,""))</f>
        <v>1.92</v>
      </c>
      <c r="F24" s="29" t="s">
        <v>217</v>
      </c>
      <c r="G24" s="29">
        <f t="shared" si="0"/>
        <v>1.92</v>
      </c>
      <c r="H24" s="21">
        <f>IF(ISBLANK('FBPQ T4'!E16)," ",'FBPQ T4'!AE16)</f>
        <v>97546</v>
      </c>
      <c r="I24" s="21">
        <f t="shared" si="1"/>
        <v>187288.32000000001</v>
      </c>
    </row>
    <row r="25" spans="1:9">
      <c r="A25" s="25"/>
      <c r="B25" s="20"/>
      <c r="C25" s="21"/>
      <c r="D25" s="25"/>
      <c r="E25" s="4" t="str">
        <f>IF(ISNUMBER('FBPQ C2'!J17),'FBPQ C2'!J17,IF(ISNUMBER('FBPQ C2'!I17),'FBPQ C2'!I17,""))</f>
        <v/>
      </c>
      <c r="F25" s="29"/>
      <c r="G25" s="29">
        <f t="shared" si="0"/>
        <v>0</v>
      </c>
      <c r="H25" s="21" t="str">
        <f>IF(ISBLANK('FBPQ T4'!E17)," ",'FBPQ T4'!AE17)</f>
        <v xml:space="preserve"> </v>
      </c>
      <c r="I25" s="21" t="str">
        <f t="shared" si="1"/>
        <v xml:space="preserve"> </v>
      </c>
    </row>
    <row r="26" spans="1:9">
      <c r="A26" s="25"/>
      <c r="B26" s="20" t="s">
        <v>872</v>
      </c>
      <c r="C26" s="21"/>
      <c r="D26" s="25"/>
      <c r="E26" s="4" t="str">
        <f>IF(ISNUMBER('FBPQ C2'!J18),'FBPQ C2'!J18,IF(ISNUMBER('FBPQ C2'!I18),'FBPQ C2'!I18,""))</f>
        <v/>
      </c>
      <c r="F26" s="29"/>
      <c r="G26" s="29">
        <f t="shared" si="0"/>
        <v>0</v>
      </c>
      <c r="H26" s="21" t="str">
        <f>IF(ISBLANK('FBPQ T4'!E18)," ",'FBPQ T4'!AE18)</f>
        <v xml:space="preserve"> </v>
      </c>
      <c r="I26" s="21" t="str">
        <f t="shared" si="1"/>
        <v xml:space="preserve"> </v>
      </c>
    </row>
    <row r="27" spans="1:9">
      <c r="A27" s="25"/>
      <c r="B27" s="20"/>
      <c r="C27" s="21" t="s">
        <v>767</v>
      </c>
      <c r="D27" s="25" t="s">
        <v>177</v>
      </c>
      <c r="E27" s="4" t="str">
        <f>IF(ISNUMBER('FBPQ C2'!J19),'FBPQ C2'!J19,IF(ISNUMBER('FBPQ C2'!I19),'FBPQ C2'!I19,""))</f>
        <v/>
      </c>
      <c r="F27" s="29" t="s">
        <v>217</v>
      </c>
      <c r="G27" s="29" t="str">
        <f t="shared" si="0"/>
        <v xml:space="preserve"> </v>
      </c>
      <c r="H27" s="21">
        <f>IF(ISBLANK('FBPQ T4'!E19)," ",'FBPQ T4'!AE19)</f>
        <v>0</v>
      </c>
      <c r="I27" s="21" t="str">
        <f t="shared" si="1"/>
        <v xml:space="preserve"> </v>
      </c>
    </row>
    <row r="28" spans="1:9">
      <c r="A28" s="25"/>
      <c r="B28" s="20"/>
      <c r="C28" s="21" t="s">
        <v>628</v>
      </c>
      <c r="D28" s="25" t="s">
        <v>177</v>
      </c>
      <c r="E28" s="4">
        <f>IF(ISNUMBER('FBPQ C2'!J20),'FBPQ C2'!J20,IF(ISNUMBER('FBPQ C2'!I20),'FBPQ C2'!I20,""))</f>
        <v>67.22</v>
      </c>
      <c r="F28" s="29" t="s">
        <v>217</v>
      </c>
      <c r="G28" s="29">
        <f t="shared" si="0"/>
        <v>67.22</v>
      </c>
      <c r="H28" s="21">
        <f>IF(ISBLANK('FBPQ T4'!E20)," ",'FBPQ T4'!AE20)</f>
        <v>4772.09</v>
      </c>
      <c r="I28" s="21">
        <f t="shared" si="1"/>
        <v>320779.8898</v>
      </c>
    </row>
    <row r="29" spans="1:9">
      <c r="A29" s="25"/>
      <c r="B29" s="20"/>
      <c r="C29" s="21" t="s">
        <v>629</v>
      </c>
      <c r="D29" s="25" t="s">
        <v>177</v>
      </c>
      <c r="E29" s="4">
        <f>IF(ISNUMBER('FBPQ C2'!J21),'FBPQ C2'!J21,IF(ISNUMBER('FBPQ C2'!I21),'FBPQ C2'!I21,""))</f>
        <v>75.91</v>
      </c>
      <c r="F29" s="29" t="s">
        <v>217</v>
      </c>
      <c r="G29" s="29">
        <f t="shared" si="0"/>
        <v>75.91</v>
      </c>
      <c r="H29" s="21">
        <f>IF(ISBLANK('FBPQ T4'!E21)," ",'FBPQ T4'!AE21)</f>
        <v>6194.5</v>
      </c>
      <c r="I29" s="21">
        <f t="shared" si="1"/>
        <v>470224.495</v>
      </c>
    </row>
    <row r="30" spans="1:9">
      <c r="A30" s="25"/>
      <c r="B30" s="20"/>
      <c r="C30" s="21" t="s">
        <v>630</v>
      </c>
      <c r="D30" s="25" t="s">
        <v>738</v>
      </c>
      <c r="E30" s="4">
        <f>IF(ISNUMBER('FBPQ C2'!J22),'FBPQ C2'!J22,IF(ISNUMBER('FBPQ C2'!I22),'FBPQ C2'!I22,""))</f>
        <v>0.71</v>
      </c>
      <c r="F30" s="29" t="s">
        <v>217</v>
      </c>
      <c r="G30" s="29">
        <f t="shared" si="0"/>
        <v>0.71</v>
      </c>
      <c r="H30" s="21">
        <f>IF(ISBLANK('FBPQ T4'!E22)," ",'FBPQ T4'!AE22)</f>
        <v>778846</v>
      </c>
      <c r="I30" s="21">
        <f t="shared" si="1"/>
        <v>552980.65999999992</v>
      </c>
    </row>
    <row r="31" spans="1:9">
      <c r="A31" s="25"/>
      <c r="B31" s="20"/>
      <c r="C31" s="21"/>
      <c r="D31" s="25"/>
      <c r="E31" s="4" t="str">
        <f>IF(ISNUMBER('FBPQ C2'!J23),'FBPQ C2'!J23,IF(ISNUMBER('FBPQ C2'!I23),'FBPQ C2'!I23,""))</f>
        <v/>
      </c>
      <c r="F31" s="29"/>
      <c r="G31" s="29">
        <f t="shared" si="0"/>
        <v>0</v>
      </c>
      <c r="H31" s="21" t="str">
        <f>IF(ISBLANK('FBPQ T4'!E23)," ",'FBPQ T4'!AE23)</f>
        <v xml:space="preserve"> </v>
      </c>
      <c r="I31" s="21" t="str">
        <f t="shared" si="1"/>
        <v xml:space="preserve"> </v>
      </c>
    </row>
    <row r="32" spans="1:9">
      <c r="A32" s="25"/>
      <c r="B32" s="20" t="s">
        <v>631</v>
      </c>
      <c r="C32" s="21"/>
      <c r="D32" s="25"/>
      <c r="E32" s="4" t="str">
        <f>IF(ISNUMBER('FBPQ C2'!J24),'FBPQ C2'!J24,IF(ISNUMBER('FBPQ C2'!I24),'FBPQ C2'!I24,""))</f>
        <v/>
      </c>
      <c r="F32" s="29"/>
      <c r="G32" s="29">
        <f t="shared" si="0"/>
        <v>0</v>
      </c>
      <c r="H32" s="21" t="str">
        <f>IF(ISBLANK('FBPQ T4'!E24)," ",'FBPQ T4'!AE24)</f>
        <v xml:space="preserve"> </v>
      </c>
      <c r="I32" s="21" t="str">
        <f t="shared" si="1"/>
        <v xml:space="preserve"> </v>
      </c>
    </row>
    <row r="33" spans="1:9">
      <c r="A33" s="25"/>
      <c r="B33" s="20"/>
      <c r="C33" s="21" t="s">
        <v>632</v>
      </c>
      <c r="D33" s="25" t="s">
        <v>738</v>
      </c>
      <c r="E33" s="4">
        <f>IF(ISNUMBER('FBPQ C2'!J25),'FBPQ C2'!J25,IF(ISNUMBER('FBPQ C2'!I25),'FBPQ C2'!I25,""))</f>
        <v>8.06</v>
      </c>
      <c r="F33" s="29" t="s">
        <v>217</v>
      </c>
      <c r="G33" s="29">
        <f t="shared" si="0"/>
        <v>8.06</v>
      </c>
      <c r="H33" s="21">
        <f>IF(ISBLANK('FBPQ T4'!E25)," ",'FBPQ T4'!AE25)</f>
        <v>4081</v>
      </c>
      <c r="I33" s="21">
        <f t="shared" si="1"/>
        <v>32892.86</v>
      </c>
    </row>
    <row r="34" spans="1:9">
      <c r="A34" s="25"/>
      <c r="B34" s="20"/>
      <c r="C34" s="21" t="s">
        <v>633</v>
      </c>
      <c r="D34" s="25" t="s">
        <v>738</v>
      </c>
      <c r="E34" s="4">
        <f>IF(ISNUMBER('FBPQ C2'!J26),'FBPQ C2'!J26,IF(ISNUMBER('FBPQ C2'!I26),'FBPQ C2'!I26,""))</f>
        <v>8.4700000000000006</v>
      </c>
      <c r="F34" s="29" t="s">
        <v>217</v>
      </c>
      <c r="G34" s="29">
        <f t="shared" si="0"/>
        <v>8.4700000000000006</v>
      </c>
      <c r="H34" s="21">
        <f>IF(ISBLANK('FBPQ T4'!E26)," ",'FBPQ T4'!AE26)</f>
        <v>3785</v>
      </c>
      <c r="I34" s="21">
        <f t="shared" si="1"/>
        <v>32058.95</v>
      </c>
    </row>
    <row r="35" spans="1:9">
      <c r="A35" s="25"/>
      <c r="B35" s="20"/>
      <c r="C35" s="21" t="s">
        <v>752</v>
      </c>
      <c r="D35" s="25" t="s">
        <v>738</v>
      </c>
      <c r="E35" s="4">
        <f>IF(ISNUMBER('FBPQ C2'!J27),'FBPQ C2'!J27,IF(ISNUMBER('FBPQ C2'!I27),'FBPQ C2'!I27,""))</f>
        <v>10.53</v>
      </c>
      <c r="F35" s="29" t="s">
        <v>217</v>
      </c>
      <c r="G35" s="29">
        <f t="shared" si="0"/>
        <v>10.53</v>
      </c>
      <c r="H35" s="21">
        <f>IF(ISBLANK('FBPQ T4'!E27)," ",'FBPQ T4'!AE27)</f>
        <v>199</v>
      </c>
      <c r="I35" s="21">
        <f t="shared" si="1"/>
        <v>2095.4699999999998</v>
      </c>
    </row>
    <row r="36" spans="1:9">
      <c r="A36" s="25"/>
      <c r="B36" s="20"/>
      <c r="C36" s="21" t="s">
        <v>753</v>
      </c>
      <c r="D36" s="25" t="s">
        <v>738</v>
      </c>
      <c r="E36" s="4" t="str">
        <f>IF(ISNUMBER('FBPQ C2'!J28),'FBPQ C2'!J28,IF(ISNUMBER('FBPQ C2'!I28),'FBPQ C2'!I28,""))</f>
        <v/>
      </c>
      <c r="F36" s="29" t="s">
        <v>217</v>
      </c>
      <c r="G36" s="29" t="str">
        <f t="shared" si="0"/>
        <v>DATA</v>
      </c>
      <c r="H36" s="21">
        <f>IF(ISBLANK('FBPQ T4'!E28)," ",'FBPQ T4'!AE28)</f>
        <v>3645</v>
      </c>
      <c r="I36" s="21" t="str">
        <f t="shared" si="1"/>
        <v xml:space="preserve"> </v>
      </c>
    </row>
    <row r="37" spans="1:9">
      <c r="A37" s="25"/>
      <c r="B37" s="20"/>
      <c r="C37" s="21" t="s">
        <v>41</v>
      </c>
      <c r="D37" s="25" t="s">
        <v>738</v>
      </c>
      <c r="E37" s="4" t="str">
        <f>IF(ISNUMBER('FBPQ C2'!J29),'FBPQ C2'!J29,IF(ISNUMBER('FBPQ C2'!I29),'FBPQ C2'!I29,""))</f>
        <v/>
      </c>
      <c r="F37" s="29" t="s">
        <v>217</v>
      </c>
      <c r="G37" s="29" t="str">
        <f t="shared" si="0"/>
        <v>DATA</v>
      </c>
      <c r="H37" s="21">
        <f>IF(ISBLANK('FBPQ T4'!E29)," ",'FBPQ T4'!AE29)</f>
        <v>31376</v>
      </c>
      <c r="I37" s="21" t="str">
        <f t="shared" si="1"/>
        <v xml:space="preserve"> </v>
      </c>
    </row>
    <row r="38" spans="1:9">
      <c r="A38" s="25"/>
      <c r="B38" s="20"/>
      <c r="C38" s="21" t="s">
        <v>42</v>
      </c>
      <c r="D38" s="25" t="s">
        <v>738</v>
      </c>
      <c r="E38" s="4" t="str">
        <f>IF(ISNUMBER('FBPQ C2'!J30),'FBPQ C2'!J30,IF(ISNUMBER('FBPQ C2'!I30),'FBPQ C2'!I30,""))</f>
        <v/>
      </c>
      <c r="F38" s="29" t="s">
        <v>217</v>
      </c>
      <c r="G38" s="29" t="str">
        <f t="shared" si="0"/>
        <v>DATA</v>
      </c>
      <c r="H38" s="21">
        <f>IF(ISBLANK('FBPQ T4'!E30)," ",'FBPQ T4'!AE30)</f>
        <v>2653</v>
      </c>
      <c r="I38" s="21" t="str">
        <f t="shared" si="1"/>
        <v xml:space="preserve"> </v>
      </c>
    </row>
    <row r="39" spans="1:9">
      <c r="A39" s="25"/>
      <c r="B39" s="20"/>
      <c r="C39" s="21"/>
      <c r="D39" s="25"/>
      <c r="E39" s="4" t="str">
        <f>IF(ISNUMBER('FBPQ C2'!J31),'FBPQ C2'!J31,IF(ISNUMBER('FBPQ C2'!I31),'FBPQ C2'!I31,""))</f>
        <v/>
      </c>
      <c r="F39" s="29"/>
      <c r="G39" s="29">
        <f t="shared" si="0"/>
        <v>0</v>
      </c>
      <c r="H39" s="21" t="str">
        <f>IF(ISBLANK('FBPQ T4'!E31)," ",'FBPQ T4'!AE31)</f>
        <v xml:space="preserve"> </v>
      </c>
      <c r="I39" s="21" t="str">
        <f t="shared" si="1"/>
        <v xml:space="preserve"> </v>
      </c>
    </row>
    <row r="40" spans="1:9">
      <c r="A40" s="25" t="s">
        <v>43</v>
      </c>
      <c r="B40" s="20"/>
      <c r="C40" s="21"/>
      <c r="D40" s="25"/>
      <c r="E40" s="4" t="str">
        <f>IF(ISNUMBER('FBPQ C2'!J32),'FBPQ C2'!J32,IF(ISNUMBER('FBPQ C2'!I32),'FBPQ C2'!I32,""))</f>
        <v/>
      </c>
      <c r="F40" s="29"/>
      <c r="G40" s="29">
        <f t="shared" si="0"/>
        <v>0</v>
      </c>
      <c r="H40" s="21" t="str">
        <f>IF(ISBLANK('FBPQ T4'!E32)," ",'FBPQ T4'!AE32)</f>
        <v xml:space="preserve"> </v>
      </c>
      <c r="I40" s="21" t="str">
        <f t="shared" si="1"/>
        <v xml:space="preserve"> </v>
      </c>
    </row>
    <row r="41" spans="1:9">
      <c r="A41" s="25"/>
      <c r="B41" s="20" t="s">
        <v>224</v>
      </c>
      <c r="C41" s="21"/>
      <c r="D41" s="25"/>
      <c r="E41" s="4" t="str">
        <f>IF(ISNUMBER('FBPQ C2'!J33),'FBPQ C2'!J33,IF(ISNUMBER('FBPQ C2'!I33),'FBPQ C2'!I33,""))</f>
        <v/>
      </c>
      <c r="F41" s="29"/>
      <c r="G41" s="29">
        <f t="shared" si="0"/>
        <v>0</v>
      </c>
      <c r="H41" s="21" t="str">
        <f>IF(ISBLANK('FBPQ T4'!E33)," ",'FBPQ T4'!AE33)</f>
        <v xml:space="preserve"> </v>
      </c>
      <c r="I41" s="21" t="str">
        <f t="shared" si="1"/>
        <v xml:space="preserve"> </v>
      </c>
    </row>
    <row r="42" spans="1:9">
      <c r="A42" s="25"/>
      <c r="B42" s="20"/>
      <c r="C42" s="21" t="s">
        <v>44</v>
      </c>
      <c r="D42" s="25" t="s">
        <v>177</v>
      </c>
      <c r="E42" s="4">
        <f>IF(ISNUMBER('FBPQ C2'!J34),'FBPQ C2'!J34,IF(ISNUMBER('FBPQ C2'!I34),'FBPQ C2'!I34,""))</f>
        <v>20.82</v>
      </c>
      <c r="F42" s="29" t="s">
        <v>217</v>
      </c>
      <c r="G42" s="29">
        <f t="shared" si="0"/>
        <v>20.82</v>
      </c>
      <c r="H42" s="21">
        <f>IF(ISBLANK('FBPQ T4'!E34)," ",'FBPQ T4'!AE34)</f>
        <v>12207</v>
      </c>
      <c r="I42" s="21">
        <f t="shared" si="1"/>
        <v>254149.74</v>
      </c>
    </row>
    <row r="43" spans="1:9">
      <c r="A43" s="25"/>
      <c r="B43" s="20"/>
      <c r="C43" s="21" t="s">
        <v>45</v>
      </c>
      <c r="D43" s="25" t="s">
        <v>177</v>
      </c>
      <c r="E43" s="4" t="str">
        <f>IF(ISNUMBER('FBPQ C2'!J35),'FBPQ C2'!J35,IF(ISNUMBER('FBPQ C2'!I35),'FBPQ C2'!I35,""))</f>
        <v/>
      </c>
      <c r="F43" s="29" t="s">
        <v>217</v>
      </c>
      <c r="G43" s="29" t="str">
        <f t="shared" si="0"/>
        <v xml:space="preserve"> </v>
      </c>
      <c r="H43" s="21">
        <f>IF(ISBLANK('FBPQ T4'!E35)," ",'FBPQ T4'!AE35)</f>
        <v>0</v>
      </c>
      <c r="I43" s="21" t="str">
        <f t="shared" si="1"/>
        <v xml:space="preserve"> </v>
      </c>
    </row>
    <row r="44" spans="1:9">
      <c r="A44" s="25"/>
      <c r="B44" s="20"/>
      <c r="C44" s="21" t="s">
        <v>46</v>
      </c>
      <c r="D44" s="25" t="s">
        <v>177</v>
      </c>
      <c r="E44" s="4" t="str">
        <f>IF(ISNUMBER('FBPQ C2'!J36),'FBPQ C2'!J36,IF(ISNUMBER('FBPQ C2'!I36),'FBPQ C2'!I36,""))</f>
        <v/>
      </c>
      <c r="F44" s="29" t="s">
        <v>217</v>
      </c>
      <c r="G44" s="29" t="str">
        <f t="shared" si="0"/>
        <v xml:space="preserve"> </v>
      </c>
      <c r="H44" s="21">
        <f>IF(ISBLANK('FBPQ T4'!E36)," ",'FBPQ T4'!AE36)</f>
        <v>0</v>
      </c>
      <c r="I44" s="21" t="str">
        <f t="shared" si="1"/>
        <v xml:space="preserve"> </v>
      </c>
    </row>
    <row r="45" spans="1:9">
      <c r="A45" s="25"/>
      <c r="B45" s="20"/>
      <c r="C45" s="21" t="s">
        <v>643</v>
      </c>
      <c r="D45" s="25" t="s">
        <v>177</v>
      </c>
      <c r="E45" s="4" t="str">
        <f>IF(ISNUMBER('FBPQ C2'!J37),'FBPQ C2'!J37,IF(ISNUMBER('FBPQ C2'!I37),'FBPQ C2'!I37,""))</f>
        <v/>
      </c>
      <c r="F45" s="29" t="s">
        <v>217</v>
      </c>
      <c r="G45" s="29" t="str">
        <f t="shared" si="0"/>
        <v xml:space="preserve"> </v>
      </c>
      <c r="H45" s="21">
        <f>IF(ISBLANK('FBPQ T4'!E37)," ",'FBPQ T4'!AE37)</f>
        <v>0</v>
      </c>
      <c r="I45" s="21" t="str">
        <f t="shared" si="1"/>
        <v xml:space="preserve"> </v>
      </c>
    </row>
    <row r="46" spans="1:9">
      <c r="A46" s="25"/>
      <c r="B46" s="20"/>
      <c r="C46" s="21"/>
      <c r="D46" s="25"/>
      <c r="E46" s="4" t="str">
        <f>IF(ISNUMBER('FBPQ C2'!J38),'FBPQ C2'!J38,IF(ISNUMBER('FBPQ C2'!I38),'FBPQ C2'!I38,""))</f>
        <v/>
      </c>
      <c r="F46" s="29"/>
      <c r="G46" s="29">
        <f t="shared" si="0"/>
        <v>0</v>
      </c>
      <c r="H46" s="21" t="str">
        <f>IF(ISBLANK('FBPQ T4'!E38)," ",'FBPQ T4'!AE38)</f>
        <v xml:space="preserve"> </v>
      </c>
      <c r="I46" s="21" t="str">
        <f t="shared" si="1"/>
        <v xml:space="preserve"> </v>
      </c>
    </row>
    <row r="47" spans="1:9">
      <c r="A47" s="25"/>
      <c r="B47" s="20" t="s">
        <v>739</v>
      </c>
      <c r="C47" s="21"/>
      <c r="D47" s="25"/>
      <c r="E47" s="4" t="str">
        <f>IF(ISNUMBER('FBPQ C2'!J39),'FBPQ C2'!J39,IF(ISNUMBER('FBPQ C2'!I39),'FBPQ C2'!I39,""))</f>
        <v/>
      </c>
      <c r="F47" s="29"/>
      <c r="G47" s="29">
        <f t="shared" si="0"/>
        <v>0</v>
      </c>
      <c r="H47" s="21" t="str">
        <f>IF(ISBLANK('FBPQ T4'!E39)," ",'FBPQ T4'!AE39)</f>
        <v xml:space="preserve"> </v>
      </c>
      <c r="I47" s="21" t="str">
        <f t="shared" si="1"/>
        <v xml:space="preserve"> </v>
      </c>
    </row>
    <row r="48" spans="1:9">
      <c r="A48" s="25"/>
      <c r="B48" s="20"/>
      <c r="C48" s="21" t="s">
        <v>761</v>
      </c>
      <c r="D48" s="25" t="s">
        <v>738</v>
      </c>
      <c r="E48" s="4">
        <f>IF(ISNUMBER('FBPQ C2'!J40),'FBPQ C2'!J40,IF(ISNUMBER('FBPQ C2'!I40),'FBPQ C2'!I40,""))</f>
        <v>2.0499999999999998</v>
      </c>
      <c r="F48" s="29" t="s">
        <v>217</v>
      </c>
      <c r="G48" s="29">
        <f t="shared" si="0"/>
        <v>2.0499999999999998</v>
      </c>
      <c r="H48" s="21">
        <f>IF(ISBLANK('FBPQ T4'!E40)," ",'FBPQ T4'!AE40)</f>
        <v>162533</v>
      </c>
      <c r="I48" s="21">
        <f t="shared" si="1"/>
        <v>333192.64999999997</v>
      </c>
    </row>
    <row r="49" spans="1:9">
      <c r="A49" s="25"/>
      <c r="B49" s="20"/>
      <c r="C49" s="21" t="s">
        <v>762</v>
      </c>
      <c r="D49" s="25" t="s">
        <v>738</v>
      </c>
      <c r="E49" s="4" t="str">
        <f>IF(ISNUMBER('FBPQ C2'!J41),'FBPQ C2'!J41,IF(ISNUMBER('FBPQ C2'!I41),'FBPQ C2'!I41,""))</f>
        <v/>
      </c>
      <c r="F49" s="29" t="s">
        <v>217</v>
      </c>
      <c r="G49" s="29" t="str">
        <f t="shared" si="0"/>
        <v xml:space="preserve"> </v>
      </c>
      <c r="H49" s="21">
        <f>IF(ISBLANK('FBPQ T4'!E41)," ",'FBPQ T4'!AE41)</f>
        <v>0</v>
      </c>
      <c r="I49" s="21" t="str">
        <f t="shared" si="1"/>
        <v xml:space="preserve"> </v>
      </c>
    </row>
    <row r="50" spans="1:9">
      <c r="A50" s="25"/>
      <c r="B50" s="20"/>
      <c r="C50" s="21"/>
      <c r="D50" s="25"/>
      <c r="E50" s="4" t="str">
        <f>IF(ISNUMBER('FBPQ C2'!J42),'FBPQ C2'!J42,IF(ISNUMBER('FBPQ C2'!I42),'FBPQ C2'!I42,""))</f>
        <v/>
      </c>
      <c r="F50" s="29" t="s">
        <v>217</v>
      </c>
      <c r="G50" s="29" t="str">
        <f t="shared" si="0"/>
        <v>DATA</v>
      </c>
      <c r="H50" s="21" t="str">
        <f>IF(ISBLANK('FBPQ T4'!E42)," ",'FBPQ T4'!AE42)</f>
        <v xml:space="preserve"> </v>
      </c>
      <c r="I50" s="21" t="str">
        <f t="shared" si="1"/>
        <v xml:space="preserve"> </v>
      </c>
    </row>
    <row r="51" spans="1:9">
      <c r="A51" s="25"/>
      <c r="B51" s="20" t="s">
        <v>763</v>
      </c>
      <c r="C51" s="21"/>
      <c r="D51" s="25"/>
      <c r="E51" s="4" t="str">
        <f>IF(ISNUMBER('FBPQ C2'!J43),'FBPQ C2'!J43,IF(ISNUMBER('FBPQ C2'!I43),'FBPQ C2'!I43,""))</f>
        <v/>
      </c>
      <c r="F51" s="29"/>
      <c r="G51" s="29">
        <f t="shared" si="0"/>
        <v>0</v>
      </c>
      <c r="H51" s="21" t="str">
        <f>IF(ISBLANK('FBPQ T4'!E43)," ",'FBPQ T4'!AE43)</f>
        <v xml:space="preserve"> </v>
      </c>
      <c r="I51" s="21" t="str">
        <f t="shared" si="1"/>
        <v xml:space="preserve"> </v>
      </c>
    </row>
    <row r="52" spans="1:9">
      <c r="A52" s="25"/>
      <c r="B52" s="20"/>
      <c r="C52" s="21" t="s">
        <v>764</v>
      </c>
      <c r="D52" s="25" t="s">
        <v>177</v>
      </c>
      <c r="E52" s="4">
        <f>IF(ISNUMBER('FBPQ C2'!J44),'FBPQ C2'!J44,IF(ISNUMBER('FBPQ C2'!I44),'FBPQ C2'!I44,""))</f>
        <v>84.36</v>
      </c>
      <c r="F52" s="29" t="s">
        <v>217</v>
      </c>
      <c r="G52" s="29">
        <f t="shared" ref="G52:G83" si="2">IF(ISNUMBER(E52),E52,IF(H52&gt;0,F52," "))</f>
        <v>84.36</v>
      </c>
      <c r="H52" s="21">
        <f>IF(ISBLANK('FBPQ T4'!E44)," ",'FBPQ T4'!AE44)</f>
        <v>5461.7</v>
      </c>
      <c r="I52" s="21">
        <f t="shared" ref="I52:I83" si="3">IF(ISERROR(G52*H52)," ",G52*H52)</f>
        <v>460749.01199999999</v>
      </c>
    </row>
    <row r="53" spans="1:9">
      <c r="A53" s="25"/>
      <c r="B53" s="20"/>
      <c r="C53" s="21" t="s">
        <v>765</v>
      </c>
      <c r="D53" s="25" t="s">
        <v>177</v>
      </c>
      <c r="E53" s="4" t="str">
        <f>IF(ISNUMBER('FBPQ C2'!J45),'FBPQ C2'!J45,IF(ISNUMBER('FBPQ C2'!I45),'FBPQ C2'!I45,""))</f>
        <v/>
      </c>
      <c r="F53" s="29" t="s">
        <v>217</v>
      </c>
      <c r="G53" s="29" t="str">
        <f t="shared" si="2"/>
        <v xml:space="preserve"> </v>
      </c>
      <c r="H53" s="21">
        <f>IF(ISBLANK('FBPQ T4'!E45)," ",'FBPQ T4'!AE45)</f>
        <v>0</v>
      </c>
      <c r="I53" s="21" t="str">
        <f t="shared" si="3"/>
        <v xml:space="preserve"> </v>
      </c>
    </row>
    <row r="54" spans="1:9">
      <c r="A54" s="25"/>
      <c r="B54" s="20"/>
      <c r="C54" s="21"/>
      <c r="D54" s="25"/>
      <c r="E54" s="4" t="str">
        <f>IF(ISNUMBER('FBPQ C2'!J46),'FBPQ C2'!J46,IF(ISNUMBER('FBPQ C2'!I46),'FBPQ C2'!I46,""))</f>
        <v/>
      </c>
      <c r="F54" s="29"/>
      <c r="G54" s="29">
        <f t="shared" si="2"/>
        <v>0</v>
      </c>
      <c r="H54" s="21" t="str">
        <f>IF(ISBLANK('FBPQ T4'!E46)," ",'FBPQ T4'!AE46)</f>
        <v xml:space="preserve"> </v>
      </c>
      <c r="I54" s="21" t="str">
        <f t="shared" si="3"/>
        <v xml:space="preserve"> </v>
      </c>
    </row>
    <row r="55" spans="1:9">
      <c r="A55" s="25"/>
      <c r="B55" s="20" t="s">
        <v>68</v>
      </c>
      <c r="C55" s="21"/>
      <c r="D55" s="25"/>
      <c r="E55" s="4" t="str">
        <f>IF(ISNUMBER('FBPQ C2'!J47),'FBPQ C2'!J47,IF(ISNUMBER('FBPQ C2'!I47),'FBPQ C2'!I47,""))</f>
        <v/>
      </c>
      <c r="F55" s="29"/>
      <c r="G55" s="29">
        <f t="shared" si="2"/>
        <v>0</v>
      </c>
      <c r="H55" s="21" t="str">
        <f>IF(ISBLANK('FBPQ T4'!E47)," ",'FBPQ T4'!AE47)</f>
        <v xml:space="preserve"> </v>
      </c>
      <c r="I55" s="21" t="str">
        <f t="shared" si="3"/>
        <v xml:space="preserve"> </v>
      </c>
    </row>
    <row r="56" spans="1:9">
      <c r="A56" s="25"/>
      <c r="B56" s="20"/>
      <c r="C56" s="21" t="s">
        <v>69</v>
      </c>
      <c r="D56" s="25" t="s">
        <v>177</v>
      </c>
      <c r="E56" s="4">
        <f>IF(ISNUMBER('FBPQ C2'!J48),'FBPQ C2'!J48,IF(ISNUMBER('FBPQ C2'!I48),'FBPQ C2'!I48,""))</f>
        <v>535.69000000000005</v>
      </c>
      <c r="F56" s="29" t="s">
        <v>217</v>
      </c>
      <c r="G56" s="29">
        <f t="shared" si="2"/>
        <v>535.69000000000005</v>
      </c>
      <c r="H56" s="21">
        <f>IF(ISBLANK('FBPQ T4'!E48)," ",'FBPQ T4'!AE48)</f>
        <v>5</v>
      </c>
      <c r="I56" s="21">
        <f t="shared" si="3"/>
        <v>2678.4500000000003</v>
      </c>
    </row>
    <row r="57" spans="1:9">
      <c r="A57" s="25"/>
      <c r="B57" s="20"/>
      <c r="C57" s="21"/>
      <c r="D57" s="25"/>
      <c r="E57" s="4" t="str">
        <f>IF(ISNUMBER('FBPQ C2'!J49),'FBPQ C2'!J49,IF(ISNUMBER('FBPQ C2'!I49),'FBPQ C2'!I49,""))</f>
        <v/>
      </c>
      <c r="F57" s="29" t="s">
        <v>217</v>
      </c>
      <c r="G57" s="29" t="str">
        <f t="shared" si="2"/>
        <v>DATA</v>
      </c>
      <c r="H57" s="21" t="str">
        <f>IF(ISBLANK('FBPQ T4'!E49)," ",'FBPQ T4'!AE49)</f>
        <v xml:space="preserve"> </v>
      </c>
      <c r="I57" s="21" t="str">
        <f t="shared" si="3"/>
        <v xml:space="preserve"> </v>
      </c>
    </row>
    <row r="58" spans="1:9">
      <c r="A58" s="25"/>
      <c r="B58" s="20" t="s">
        <v>631</v>
      </c>
      <c r="C58" s="21"/>
      <c r="D58" s="25"/>
      <c r="E58" s="4" t="str">
        <f>IF(ISNUMBER('FBPQ C2'!J50),'FBPQ C2'!J50,IF(ISNUMBER('FBPQ C2'!I50),'FBPQ C2'!I50,""))</f>
        <v/>
      </c>
      <c r="F58" s="29"/>
      <c r="G58" s="29">
        <f t="shared" si="2"/>
        <v>0</v>
      </c>
      <c r="H58" s="21" t="str">
        <f>IF(ISBLANK('FBPQ T4'!E50)," ",'FBPQ T4'!AE50)</f>
        <v xml:space="preserve"> </v>
      </c>
      <c r="I58" s="21" t="str">
        <f t="shared" si="3"/>
        <v xml:space="preserve"> </v>
      </c>
    </row>
    <row r="59" spans="1:9">
      <c r="A59" s="25"/>
      <c r="B59" s="20"/>
      <c r="C59" s="21" t="s">
        <v>70</v>
      </c>
      <c r="D59" s="25" t="s">
        <v>738</v>
      </c>
      <c r="E59" s="4">
        <f>IF(ISNUMBER('FBPQ C2'!J51),'FBPQ C2'!J51,IF(ISNUMBER('FBPQ C2'!I51),'FBPQ C2'!I51,""))</f>
        <v>8.31</v>
      </c>
      <c r="F59" s="29" t="s">
        <v>217</v>
      </c>
      <c r="G59" s="29">
        <f t="shared" si="2"/>
        <v>8.31</v>
      </c>
      <c r="H59" s="21">
        <f>IF(ISBLANK('FBPQ T4'!E51)," ",'FBPQ T4'!AE51)</f>
        <v>913</v>
      </c>
      <c r="I59" s="21">
        <f t="shared" si="3"/>
        <v>7587.0300000000007</v>
      </c>
    </row>
    <row r="60" spans="1:9">
      <c r="A60" s="25"/>
      <c r="B60" s="20"/>
      <c r="C60" s="21" t="s">
        <v>80</v>
      </c>
      <c r="D60" s="25" t="s">
        <v>738</v>
      </c>
      <c r="E60" s="4">
        <f>IF(ISNUMBER('FBPQ C2'!J52),'FBPQ C2'!J52,IF(ISNUMBER('FBPQ C2'!I52),'FBPQ C2'!I52,""))</f>
        <v>24.52</v>
      </c>
      <c r="F60" s="29" t="s">
        <v>217</v>
      </c>
      <c r="G60" s="29">
        <f t="shared" si="2"/>
        <v>24.52</v>
      </c>
      <c r="H60" s="21">
        <f>IF(ISBLANK('FBPQ T4'!E52)," ",'FBPQ T4'!AE52)</f>
        <v>3015</v>
      </c>
      <c r="I60" s="21">
        <f t="shared" si="3"/>
        <v>73927.8</v>
      </c>
    </row>
    <row r="61" spans="1:9">
      <c r="A61" s="25"/>
      <c r="B61" s="20"/>
      <c r="C61" s="21" t="s">
        <v>81</v>
      </c>
      <c r="D61" s="25" t="s">
        <v>738</v>
      </c>
      <c r="E61" s="4">
        <f>IF(ISNUMBER('FBPQ C2'!J53),'FBPQ C2'!J53,IF(ISNUMBER('FBPQ C2'!I53),'FBPQ C2'!I53,""))</f>
        <v>7.06</v>
      </c>
      <c r="F61" s="29" t="s">
        <v>217</v>
      </c>
      <c r="G61" s="29">
        <f t="shared" si="2"/>
        <v>7.06</v>
      </c>
      <c r="H61" s="21">
        <f>IF(ISBLANK('FBPQ T4'!E53)," ",'FBPQ T4'!AE53)</f>
        <v>148</v>
      </c>
      <c r="I61" s="21">
        <f t="shared" si="3"/>
        <v>1044.8799999999999</v>
      </c>
    </row>
    <row r="62" spans="1:9">
      <c r="A62" s="25"/>
      <c r="B62" s="20"/>
      <c r="C62" s="21" t="s">
        <v>82</v>
      </c>
      <c r="D62" s="25" t="s">
        <v>738</v>
      </c>
      <c r="E62" s="4">
        <f>IF(ISNUMBER('FBPQ C2'!J54),'FBPQ C2'!J54,IF(ISNUMBER('FBPQ C2'!I54),'FBPQ C2'!I54,""))</f>
        <v>10.15</v>
      </c>
      <c r="F62" s="29" t="s">
        <v>217</v>
      </c>
      <c r="G62" s="29">
        <f t="shared" si="2"/>
        <v>10.15</v>
      </c>
      <c r="H62" s="21">
        <f>IF(ISBLANK('FBPQ T4'!E54)," ",'FBPQ T4'!AE54)</f>
        <v>2330</v>
      </c>
      <c r="I62" s="21">
        <f t="shared" si="3"/>
        <v>23649.5</v>
      </c>
    </row>
    <row r="63" spans="1:9">
      <c r="A63" s="25"/>
      <c r="B63" s="20"/>
      <c r="C63" s="21" t="s">
        <v>776</v>
      </c>
      <c r="D63" s="25" t="s">
        <v>738</v>
      </c>
      <c r="E63" s="4">
        <f>IF(ISNUMBER('FBPQ C2'!J55),'FBPQ C2'!J55,IF(ISNUMBER('FBPQ C2'!I55),'FBPQ C2'!I55,""))</f>
        <v>12.28</v>
      </c>
      <c r="F63" s="29" t="s">
        <v>217</v>
      </c>
      <c r="G63" s="29">
        <f t="shared" si="2"/>
        <v>12.28</v>
      </c>
      <c r="H63" s="21">
        <f>IF(ISBLANK('FBPQ T4'!E55)," ",'FBPQ T4'!AE55)</f>
        <v>7526</v>
      </c>
      <c r="I63" s="21">
        <f t="shared" si="3"/>
        <v>92419.28</v>
      </c>
    </row>
    <row r="64" spans="1:9">
      <c r="A64" s="25"/>
      <c r="B64" s="20"/>
      <c r="C64" s="21" t="s">
        <v>777</v>
      </c>
      <c r="D64" s="25" t="s">
        <v>738</v>
      </c>
      <c r="E64" s="4" t="str">
        <f>IF(ISNUMBER('FBPQ C2'!J56),'FBPQ C2'!J56,IF(ISNUMBER('FBPQ C2'!I56),'FBPQ C2'!I56,""))</f>
        <v/>
      </c>
      <c r="F64" s="29" t="s">
        <v>217</v>
      </c>
      <c r="G64" s="29" t="str">
        <f t="shared" si="2"/>
        <v>DATA</v>
      </c>
      <c r="H64" s="21">
        <f>IF(ISBLANK('FBPQ T4'!E56)," ",'FBPQ T4'!AE56)</f>
        <v>5702</v>
      </c>
      <c r="I64" s="21" t="str">
        <f t="shared" si="3"/>
        <v xml:space="preserve"> </v>
      </c>
    </row>
    <row r="65" spans="1:9">
      <c r="A65" s="25"/>
      <c r="B65" s="20"/>
      <c r="C65" s="21" t="s">
        <v>72</v>
      </c>
      <c r="D65" s="25" t="s">
        <v>738</v>
      </c>
      <c r="E65" s="4" t="str">
        <f>IF(ISNUMBER('FBPQ C2'!J57),'FBPQ C2'!J57,IF(ISNUMBER('FBPQ C2'!I57),'FBPQ C2'!I57,""))</f>
        <v/>
      </c>
      <c r="F65" s="29" t="s">
        <v>217</v>
      </c>
      <c r="G65" s="29" t="str">
        <f t="shared" si="2"/>
        <v>DATA</v>
      </c>
      <c r="H65" s="21">
        <f>IF(ISBLANK('FBPQ T4'!E57)," ",'FBPQ T4'!AE57)</f>
        <v>1</v>
      </c>
      <c r="I65" s="21" t="str">
        <f t="shared" si="3"/>
        <v xml:space="preserve"> </v>
      </c>
    </row>
    <row r="66" spans="1:9">
      <c r="A66" s="25"/>
      <c r="B66" s="20"/>
      <c r="C66" s="21" t="s">
        <v>656</v>
      </c>
      <c r="D66" s="25" t="s">
        <v>738</v>
      </c>
      <c r="E66" s="4" t="str">
        <f>IF(ISNUMBER('FBPQ C2'!J58),'FBPQ C2'!J58,IF(ISNUMBER('FBPQ C2'!I58),'FBPQ C2'!I58,""))</f>
        <v/>
      </c>
      <c r="F66" s="29" t="s">
        <v>217</v>
      </c>
      <c r="G66" s="29" t="str">
        <f t="shared" si="2"/>
        <v xml:space="preserve"> </v>
      </c>
      <c r="H66" s="21">
        <f>IF(ISBLANK('FBPQ T4'!E58)," ",'FBPQ T4'!AE58)</f>
        <v>0</v>
      </c>
      <c r="I66" s="21" t="str">
        <f t="shared" si="3"/>
        <v xml:space="preserve"> </v>
      </c>
    </row>
    <row r="67" spans="1:9">
      <c r="A67" s="25"/>
      <c r="B67" s="20"/>
      <c r="C67" s="21" t="s">
        <v>495</v>
      </c>
      <c r="D67" s="25" t="s">
        <v>738</v>
      </c>
      <c r="E67" s="4" t="str">
        <f>IF(ISNUMBER('FBPQ C2'!J59),'FBPQ C2'!J59,IF(ISNUMBER('FBPQ C2'!I59),'FBPQ C2'!I59,""))</f>
        <v/>
      </c>
      <c r="F67" s="29" t="s">
        <v>217</v>
      </c>
      <c r="G67" s="29" t="str">
        <f t="shared" si="2"/>
        <v xml:space="preserve"> </v>
      </c>
      <c r="H67" s="21">
        <f>IF(ISBLANK('FBPQ T4'!E59)," ",'FBPQ T4'!AE59)</f>
        <v>0</v>
      </c>
      <c r="I67" s="21" t="str">
        <f t="shared" si="3"/>
        <v xml:space="preserve"> </v>
      </c>
    </row>
    <row r="68" spans="1:9">
      <c r="A68" s="25"/>
      <c r="B68" s="20"/>
      <c r="C68" s="21" t="s">
        <v>496</v>
      </c>
      <c r="D68" s="25" t="s">
        <v>738</v>
      </c>
      <c r="E68" s="4" t="str">
        <f>IF(ISNUMBER('FBPQ C2'!J60),'FBPQ C2'!J60,IF(ISNUMBER('FBPQ C2'!I60),'FBPQ C2'!I60,""))</f>
        <v/>
      </c>
      <c r="F68" s="29" t="s">
        <v>217</v>
      </c>
      <c r="G68" s="29" t="str">
        <f t="shared" si="2"/>
        <v xml:space="preserve"> </v>
      </c>
      <c r="H68" s="21">
        <f>IF(ISBLANK('FBPQ T4'!E60)," ",'FBPQ T4'!AE60)</f>
        <v>0</v>
      </c>
      <c r="I68" s="21" t="str">
        <f t="shared" si="3"/>
        <v xml:space="preserve"> </v>
      </c>
    </row>
    <row r="69" spans="1:9">
      <c r="A69" s="25"/>
      <c r="B69" s="20"/>
      <c r="C69" s="21" t="s">
        <v>497</v>
      </c>
      <c r="D69" s="25" t="s">
        <v>738</v>
      </c>
      <c r="E69" s="4" t="str">
        <f>IF(ISNUMBER('FBPQ C2'!J61),'FBPQ C2'!J61,IF(ISNUMBER('FBPQ C2'!I61),'FBPQ C2'!I61,""))</f>
        <v/>
      </c>
      <c r="F69" s="29" t="s">
        <v>217</v>
      </c>
      <c r="G69" s="29" t="str">
        <f t="shared" si="2"/>
        <v xml:space="preserve"> </v>
      </c>
      <c r="H69" s="21">
        <f>IF(ISBLANK('FBPQ T4'!E61)," ",'FBPQ T4'!AE61)</f>
        <v>0</v>
      </c>
      <c r="I69" s="21" t="str">
        <f t="shared" si="3"/>
        <v xml:space="preserve"> </v>
      </c>
    </row>
    <row r="70" spans="1:9">
      <c r="A70" s="25"/>
      <c r="B70" s="20"/>
      <c r="C70" s="21" t="s">
        <v>500</v>
      </c>
      <c r="D70" s="25" t="s">
        <v>738</v>
      </c>
      <c r="E70" s="4" t="str">
        <f>IF(ISNUMBER('FBPQ C2'!J62),'FBPQ C2'!J62,IF(ISNUMBER('FBPQ C2'!I62),'FBPQ C2'!I62,""))</f>
        <v/>
      </c>
      <c r="F70" s="29" t="s">
        <v>217</v>
      </c>
      <c r="G70" s="29" t="str">
        <f t="shared" si="2"/>
        <v xml:space="preserve"> </v>
      </c>
      <c r="H70" s="21">
        <f>IF(ISBLANK('FBPQ T4'!E62)," ",'FBPQ T4'!AE62)</f>
        <v>0</v>
      </c>
      <c r="I70" s="21" t="str">
        <f t="shared" si="3"/>
        <v xml:space="preserve"> </v>
      </c>
    </row>
    <row r="71" spans="1:9">
      <c r="A71" s="25"/>
      <c r="B71" s="20"/>
      <c r="C71" s="21" t="s">
        <v>659</v>
      </c>
      <c r="D71" s="25" t="s">
        <v>738</v>
      </c>
      <c r="E71" s="4" t="str">
        <f>IF(ISNUMBER('FBPQ C2'!J63),'FBPQ C2'!J63,IF(ISNUMBER('FBPQ C2'!I63),'FBPQ C2'!I63,""))</f>
        <v/>
      </c>
      <c r="F71" s="29" t="s">
        <v>217</v>
      </c>
      <c r="G71" s="29" t="str">
        <f t="shared" si="2"/>
        <v xml:space="preserve"> </v>
      </c>
      <c r="H71" s="21">
        <f>IF(ISBLANK('FBPQ T4'!E63)," ",'FBPQ T4'!AE63)</f>
        <v>0</v>
      </c>
      <c r="I71" s="21" t="str">
        <f t="shared" si="3"/>
        <v xml:space="preserve"> </v>
      </c>
    </row>
    <row r="72" spans="1:9">
      <c r="A72" s="25"/>
      <c r="B72" s="20"/>
      <c r="C72" s="21" t="s">
        <v>505</v>
      </c>
      <c r="D72" s="25" t="s">
        <v>738</v>
      </c>
      <c r="E72" s="4" t="str">
        <f>IF(ISNUMBER('FBPQ C2'!J64),'FBPQ C2'!J64,IF(ISNUMBER('FBPQ C2'!I64),'FBPQ C2'!I64,""))</f>
        <v/>
      </c>
      <c r="F72" s="29" t="s">
        <v>217</v>
      </c>
      <c r="G72" s="29" t="str">
        <f t="shared" si="2"/>
        <v xml:space="preserve"> </v>
      </c>
      <c r="H72" s="21">
        <f>IF(ISBLANK('FBPQ T4'!E64)," ",'FBPQ T4'!AE64)</f>
        <v>0</v>
      </c>
      <c r="I72" s="21" t="str">
        <f t="shared" si="3"/>
        <v xml:space="preserve"> </v>
      </c>
    </row>
    <row r="73" spans="1:9">
      <c r="A73" s="25"/>
      <c r="B73" s="20"/>
      <c r="C73" s="21"/>
      <c r="D73" s="25"/>
      <c r="E73" s="4" t="str">
        <f>IF(ISNUMBER('FBPQ C2'!J65),'FBPQ C2'!J65,IF(ISNUMBER('FBPQ C2'!I65),'FBPQ C2'!I65,""))</f>
        <v/>
      </c>
      <c r="F73" s="29"/>
      <c r="G73" s="29">
        <f t="shared" si="2"/>
        <v>0</v>
      </c>
      <c r="H73" s="21" t="str">
        <f>IF(ISBLANK('FBPQ T4'!E65)," ",'FBPQ T4'!AE65)</f>
        <v xml:space="preserve"> </v>
      </c>
      <c r="I73" s="21" t="str">
        <f t="shared" si="3"/>
        <v xml:space="preserve"> </v>
      </c>
    </row>
    <row r="74" spans="1:9">
      <c r="A74" s="25"/>
      <c r="B74" s="20" t="s">
        <v>506</v>
      </c>
      <c r="C74" s="21"/>
      <c r="D74" s="25"/>
      <c r="E74" s="4" t="str">
        <f>IF(ISNUMBER('FBPQ C2'!J66),'FBPQ C2'!J66,IF(ISNUMBER('FBPQ C2'!I66),'FBPQ C2'!I66,""))</f>
        <v/>
      </c>
      <c r="F74" s="29"/>
      <c r="G74" s="29">
        <f t="shared" si="2"/>
        <v>0</v>
      </c>
      <c r="H74" s="21" t="str">
        <f>IF(ISBLANK('FBPQ T4'!E66)," ",'FBPQ T4'!AE66)</f>
        <v xml:space="preserve"> </v>
      </c>
      <c r="I74" s="21" t="str">
        <f t="shared" si="3"/>
        <v xml:space="preserve"> </v>
      </c>
    </row>
    <row r="75" spans="1:9">
      <c r="A75" s="25"/>
      <c r="B75" s="20"/>
      <c r="C75" s="21" t="s">
        <v>507</v>
      </c>
      <c r="D75" s="25" t="s">
        <v>738</v>
      </c>
      <c r="E75" s="4">
        <f>IF(ISNUMBER('FBPQ C2'!J67),'FBPQ C2'!J67,IF(ISNUMBER('FBPQ C2'!I67),'FBPQ C2'!I67,""))</f>
        <v>1.78</v>
      </c>
      <c r="F75" s="29" t="s">
        <v>217</v>
      </c>
      <c r="G75" s="29">
        <f t="shared" si="2"/>
        <v>1.78</v>
      </c>
      <c r="H75" s="21">
        <f>IF(ISBLANK('FBPQ T4'!E67)," ",'FBPQ T4'!AE67)</f>
        <v>31541</v>
      </c>
      <c r="I75" s="21">
        <f t="shared" si="3"/>
        <v>56142.98</v>
      </c>
    </row>
    <row r="76" spans="1:9">
      <c r="A76" s="25"/>
      <c r="B76" s="20"/>
      <c r="C76" s="21" t="s">
        <v>508</v>
      </c>
      <c r="D76" s="25" t="s">
        <v>738</v>
      </c>
      <c r="E76" s="4">
        <f>IF(ISNUMBER('FBPQ C2'!J68),'FBPQ C2'!J68,IF(ISNUMBER('FBPQ C2'!I68),'FBPQ C2'!I68,""))</f>
        <v>12.82</v>
      </c>
      <c r="F76" s="29" t="s">
        <v>217</v>
      </c>
      <c r="G76" s="29">
        <f t="shared" si="2"/>
        <v>12.82</v>
      </c>
      <c r="H76" s="21">
        <f>IF(ISBLANK('FBPQ T4'!E68)," ",'FBPQ T4'!AE68)</f>
        <v>8203</v>
      </c>
      <c r="I76" s="21">
        <f t="shared" si="3"/>
        <v>105162.46</v>
      </c>
    </row>
    <row r="77" spans="1:9">
      <c r="A77" s="25"/>
      <c r="B77" s="20"/>
      <c r="C77" s="21" t="s">
        <v>509</v>
      </c>
      <c r="D77" s="25" t="s">
        <v>738</v>
      </c>
      <c r="E77" s="4" t="str">
        <f>IF(ISNUMBER('FBPQ C2'!J69),'FBPQ C2'!J69,IF(ISNUMBER('FBPQ C2'!I69),'FBPQ C2'!I69,""))</f>
        <v/>
      </c>
      <c r="F77" s="29" t="s">
        <v>217</v>
      </c>
      <c r="G77" s="29" t="str">
        <f t="shared" si="2"/>
        <v xml:space="preserve"> </v>
      </c>
      <c r="H77" s="21">
        <f>IF(ISBLANK('FBPQ T4'!E69)," ",'FBPQ T4'!AE69)</f>
        <v>0</v>
      </c>
      <c r="I77" s="21" t="str">
        <f t="shared" si="3"/>
        <v xml:space="preserve"> </v>
      </c>
    </row>
    <row r="78" spans="1:9">
      <c r="A78" s="25"/>
      <c r="B78" s="20"/>
      <c r="C78" s="21" t="s">
        <v>510</v>
      </c>
      <c r="D78" s="25" t="s">
        <v>738</v>
      </c>
      <c r="E78" s="4" t="str">
        <f>IF(ISNUMBER('FBPQ C2'!J70),'FBPQ C2'!J70,IF(ISNUMBER('FBPQ C2'!I70),'FBPQ C2'!I70,""))</f>
        <v/>
      </c>
      <c r="F78" s="29" t="s">
        <v>217</v>
      </c>
      <c r="G78" s="29" t="str">
        <f t="shared" si="2"/>
        <v xml:space="preserve"> </v>
      </c>
      <c r="H78" s="21">
        <f>IF(ISBLANK('FBPQ T4'!E70)," ",'FBPQ T4'!AE70)</f>
        <v>0</v>
      </c>
      <c r="I78" s="21" t="str">
        <f t="shared" si="3"/>
        <v xml:space="preserve"> </v>
      </c>
    </row>
    <row r="79" spans="1:9">
      <c r="A79" s="25"/>
      <c r="B79" s="20"/>
      <c r="C79" s="21"/>
      <c r="D79" s="25"/>
      <c r="E79" s="4" t="str">
        <f>IF(ISNUMBER('FBPQ C2'!J71),'FBPQ C2'!J71,IF(ISNUMBER('FBPQ C2'!I71),'FBPQ C2'!I71,""))</f>
        <v/>
      </c>
      <c r="F79" s="29"/>
      <c r="G79" s="29">
        <f t="shared" si="2"/>
        <v>0</v>
      </c>
      <c r="H79" s="21" t="str">
        <f>IF(ISBLANK('FBPQ T4'!E71)," ",'FBPQ T4'!AE71)</f>
        <v xml:space="preserve"> </v>
      </c>
      <c r="I79" s="21" t="str">
        <f t="shared" si="3"/>
        <v xml:space="preserve"> </v>
      </c>
    </row>
    <row r="80" spans="1:9">
      <c r="A80" s="25" t="s">
        <v>524</v>
      </c>
      <c r="B80" s="20"/>
      <c r="C80" s="21"/>
      <c r="D80" s="25"/>
      <c r="E80" s="4" t="str">
        <f>IF(ISNUMBER('FBPQ C2'!J72),'FBPQ C2'!J72,IF(ISNUMBER('FBPQ C2'!I72),'FBPQ C2'!I72,""))</f>
        <v/>
      </c>
      <c r="F80" s="29"/>
      <c r="G80" s="29">
        <f t="shared" si="2"/>
        <v>0</v>
      </c>
      <c r="H80" s="21" t="str">
        <f>IF(ISBLANK('FBPQ T4'!E72)," ",'FBPQ T4'!AE72)</f>
        <v xml:space="preserve"> </v>
      </c>
      <c r="I80" s="21" t="str">
        <f t="shared" si="3"/>
        <v xml:space="preserve"> </v>
      </c>
    </row>
    <row r="81" spans="1:9">
      <c r="A81" s="25"/>
      <c r="B81" s="20" t="s">
        <v>224</v>
      </c>
      <c r="C81" s="21"/>
      <c r="D81" s="25"/>
      <c r="E81" s="4" t="str">
        <f>IF(ISNUMBER('FBPQ C2'!J73),'FBPQ C2'!J73,IF(ISNUMBER('FBPQ C2'!I73),'FBPQ C2'!I73,""))</f>
        <v/>
      </c>
      <c r="F81" s="29"/>
      <c r="G81" s="29">
        <f t="shared" si="2"/>
        <v>0</v>
      </c>
      <c r="H81" s="21" t="str">
        <f>IF(ISBLANK('FBPQ T4'!E73)," ",'FBPQ T4'!AE73)</f>
        <v xml:space="preserve"> </v>
      </c>
      <c r="I81" s="21" t="str">
        <f t="shared" si="3"/>
        <v xml:space="preserve"> </v>
      </c>
    </row>
    <row r="82" spans="1:9">
      <c r="A82" s="25"/>
      <c r="B82" s="20"/>
      <c r="C82" s="21" t="s">
        <v>525</v>
      </c>
      <c r="D82" s="25" t="s">
        <v>177</v>
      </c>
      <c r="E82" s="4">
        <f>IF(ISNUMBER('FBPQ C2'!J74),'FBPQ C2'!J74,IF(ISNUMBER('FBPQ C2'!I74),'FBPQ C2'!I74,""))</f>
        <v>26.88</v>
      </c>
      <c r="F82" s="29" t="s">
        <v>217</v>
      </c>
      <c r="G82" s="29">
        <f t="shared" si="2"/>
        <v>26.88</v>
      </c>
      <c r="H82" s="21">
        <f>IF(ISBLANK('FBPQ T4'!E74)," ",'FBPQ T4'!AE74)</f>
        <v>1186</v>
      </c>
      <c r="I82" s="21">
        <f t="shared" si="3"/>
        <v>31879.68</v>
      </c>
    </row>
    <row r="83" spans="1:9">
      <c r="A83" s="25"/>
      <c r="B83" s="20"/>
      <c r="C83" s="21" t="s">
        <v>526</v>
      </c>
      <c r="D83" s="25" t="s">
        <v>177</v>
      </c>
      <c r="E83" s="4">
        <f>IF(ISNUMBER('FBPQ C2'!J75),'FBPQ C2'!J75,IF(ISNUMBER('FBPQ C2'!I75),'FBPQ C2'!I75,""))</f>
        <v>33.67</v>
      </c>
      <c r="F83" s="29" t="s">
        <v>217</v>
      </c>
      <c r="G83" s="29">
        <f t="shared" si="2"/>
        <v>33.67</v>
      </c>
      <c r="H83" s="21">
        <f>IF(ISBLANK('FBPQ T4'!E75)," ",'FBPQ T4'!AE75)</f>
        <v>41</v>
      </c>
      <c r="I83" s="21">
        <f t="shared" si="3"/>
        <v>1380.47</v>
      </c>
    </row>
    <row r="84" spans="1:9">
      <c r="A84" s="25"/>
      <c r="B84" s="20"/>
      <c r="C84" s="21" t="s">
        <v>527</v>
      </c>
      <c r="D84" s="25" t="s">
        <v>177</v>
      </c>
      <c r="E84" s="4">
        <f>IF(ISNUMBER('FBPQ C2'!J76),'FBPQ C2'!J76,IF(ISNUMBER('FBPQ C2'!I76),'FBPQ C2'!I76,""))</f>
        <v>41.55</v>
      </c>
      <c r="F84" s="29" t="s">
        <v>217</v>
      </c>
      <c r="G84" s="29">
        <f t="shared" ref="G84:G115" si="4">IF(ISNUMBER(E84),E84,IF(H84&gt;0,F84," "))</f>
        <v>41.55</v>
      </c>
      <c r="H84" s="21">
        <f>IF(ISBLANK('FBPQ T4'!E76)," ",'FBPQ T4'!AE76)</f>
        <v>329</v>
      </c>
      <c r="I84" s="21">
        <f t="shared" ref="I84:I115" si="5">IF(ISERROR(G84*H84)," ",G84*H84)</f>
        <v>13669.949999999999</v>
      </c>
    </row>
    <row r="85" spans="1:9">
      <c r="A85" s="25"/>
      <c r="B85" s="20"/>
      <c r="C85" s="21" t="s">
        <v>528</v>
      </c>
      <c r="D85" s="25" t="s">
        <v>177</v>
      </c>
      <c r="E85" s="4">
        <f>IF(ISNUMBER('FBPQ C2'!J77),'FBPQ C2'!J77,IF(ISNUMBER('FBPQ C2'!I77),'FBPQ C2'!I77,""))</f>
        <v>52.49</v>
      </c>
      <c r="F85" s="29" t="s">
        <v>217</v>
      </c>
      <c r="G85" s="29">
        <f t="shared" si="4"/>
        <v>52.49</v>
      </c>
      <c r="H85" s="21">
        <f>IF(ISBLANK('FBPQ T4'!E77)," ",'FBPQ T4'!AE77)</f>
        <v>28</v>
      </c>
      <c r="I85" s="21">
        <f t="shared" si="5"/>
        <v>1469.72</v>
      </c>
    </row>
    <row r="86" spans="1:9">
      <c r="A86" s="25"/>
      <c r="B86" s="20"/>
      <c r="C86" s="21"/>
      <c r="D86" s="25"/>
      <c r="E86" s="4" t="str">
        <f>IF(ISNUMBER('FBPQ C2'!J78),'FBPQ C2'!J78,IF(ISNUMBER('FBPQ C2'!I78),'FBPQ C2'!I78,""))</f>
        <v/>
      </c>
      <c r="F86" s="29"/>
      <c r="G86" s="29">
        <f t="shared" si="4"/>
        <v>0</v>
      </c>
      <c r="H86" s="21" t="str">
        <f>IF(ISBLANK('FBPQ T4'!E78)," ",'FBPQ T4'!AE78)</f>
        <v xml:space="preserve"> </v>
      </c>
      <c r="I86" s="21" t="str">
        <f t="shared" si="5"/>
        <v xml:space="preserve"> </v>
      </c>
    </row>
    <row r="87" spans="1:9">
      <c r="A87" s="25"/>
      <c r="B87" s="20" t="s">
        <v>739</v>
      </c>
      <c r="C87" s="21"/>
      <c r="D87" s="25"/>
      <c r="E87" s="4" t="str">
        <f>IF(ISNUMBER('FBPQ C2'!J79),'FBPQ C2'!J79,IF(ISNUMBER('FBPQ C2'!I79),'FBPQ C2'!I79,""))</f>
        <v/>
      </c>
      <c r="F87" s="29"/>
      <c r="G87" s="29">
        <f t="shared" si="4"/>
        <v>0</v>
      </c>
      <c r="H87" s="21" t="str">
        <f>IF(ISBLANK('FBPQ T4'!E79)," ",'FBPQ T4'!AE79)</f>
        <v xml:space="preserve"> </v>
      </c>
      <c r="I87" s="21" t="str">
        <f t="shared" si="5"/>
        <v xml:space="preserve"> </v>
      </c>
    </row>
    <row r="88" spans="1:9">
      <c r="A88" s="25"/>
      <c r="B88" s="20"/>
      <c r="C88" s="21" t="s">
        <v>529</v>
      </c>
      <c r="D88" s="25" t="s">
        <v>738</v>
      </c>
      <c r="E88" s="4">
        <f>IF(ISNUMBER('FBPQ C2'!J80),'FBPQ C2'!J80,IF(ISNUMBER('FBPQ C2'!I80),'FBPQ C2'!I80,""))</f>
        <v>2.61</v>
      </c>
      <c r="F88" s="29" t="s">
        <v>217</v>
      </c>
      <c r="G88" s="29">
        <f t="shared" si="4"/>
        <v>2.61</v>
      </c>
      <c r="H88" s="21">
        <f>IF(ISBLANK('FBPQ T4'!E80)," ",'FBPQ T4'!AE80)</f>
        <v>15324</v>
      </c>
      <c r="I88" s="21">
        <f t="shared" si="5"/>
        <v>39995.64</v>
      </c>
    </row>
    <row r="89" spans="1:9">
      <c r="A89" s="25"/>
      <c r="B89" s="20"/>
      <c r="C89" s="21" t="s">
        <v>530</v>
      </c>
      <c r="D89" s="25" t="s">
        <v>738</v>
      </c>
      <c r="E89" s="4">
        <f>IF(ISNUMBER('FBPQ C2'!J81),'FBPQ C2'!J81,IF(ISNUMBER('FBPQ C2'!I81),'FBPQ C2'!I81,""))</f>
        <v>45.36</v>
      </c>
      <c r="F89" s="29" t="s">
        <v>217</v>
      </c>
      <c r="G89" s="29">
        <f t="shared" si="4"/>
        <v>45.36</v>
      </c>
      <c r="H89" s="21">
        <f>IF(ISBLANK('FBPQ T4'!E81)," ",'FBPQ T4'!AE81)</f>
        <v>190</v>
      </c>
      <c r="I89" s="21">
        <f t="shared" si="5"/>
        <v>8618.4</v>
      </c>
    </row>
    <row r="90" spans="1:9">
      <c r="A90" s="25"/>
      <c r="B90" s="20"/>
      <c r="C90" s="21" t="s">
        <v>531</v>
      </c>
      <c r="D90" s="25" t="s">
        <v>738</v>
      </c>
      <c r="E90" s="4">
        <f>IF(ISNUMBER('FBPQ C2'!J82),'FBPQ C2'!J82,IF(ISNUMBER('FBPQ C2'!I82),'FBPQ C2'!I82,""))</f>
        <v>3.61</v>
      </c>
      <c r="F90" s="29" t="s">
        <v>217</v>
      </c>
      <c r="G90" s="29">
        <f t="shared" si="4"/>
        <v>3.61</v>
      </c>
      <c r="H90" s="21">
        <f>IF(ISBLANK('FBPQ T4'!E82)," ",'FBPQ T4'!AE82)</f>
        <v>4318</v>
      </c>
      <c r="I90" s="21">
        <f t="shared" si="5"/>
        <v>15587.98</v>
      </c>
    </row>
    <row r="91" spans="1:9">
      <c r="A91" s="25"/>
      <c r="B91" s="20"/>
      <c r="C91" s="21" t="s">
        <v>532</v>
      </c>
      <c r="D91" s="25" t="s">
        <v>738</v>
      </c>
      <c r="E91" s="4">
        <f>IF(ISNUMBER('FBPQ C2'!J83),'FBPQ C2'!J83,IF(ISNUMBER('FBPQ C2'!I83),'FBPQ C2'!I83,""))</f>
        <v>74.53</v>
      </c>
      <c r="F91" s="29" t="s">
        <v>217</v>
      </c>
      <c r="G91" s="29">
        <f t="shared" si="4"/>
        <v>74.53</v>
      </c>
      <c r="H91" s="21">
        <f>IF(ISBLANK('FBPQ T4'!E83)," ",'FBPQ T4'!AE83)</f>
        <v>251</v>
      </c>
      <c r="I91" s="21">
        <f t="shared" si="5"/>
        <v>18707.03</v>
      </c>
    </row>
    <row r="92" spans="1:9">
      <c r="A92" s="25"/>
      <c r="B92" s="20"/>
      <c r="C92" s="21"/>
      <c r="D92" s="25"/>
      <c r="E92" s="4" t="str">
        <f>IF(ISNUMBER('FBPQ C2'!J84),'FBPQ C2'!J84,IF(ISNUMBER('FBPQ C2'!I84),'FBPQ C2'!I84,""))</f>
        <v/>
      </c>
      <c r="F92" s="29"/>
      <c r="G92" s="29">
        <f t="shared" si="4"/>
        <v>0</v>
      </c>
      <c r="H92" s="21" t="str">
        <f>IF(ISBLANK('FBPQ T4'!E84)," ",'FBPQ T4'!AE84)</f>
        <v xml:space="preserve"> </v>
      </c>
      <c r="I92" s="21" t="str">
        <f t="shared" si="5"/>
        <v xml:space="preserve"> </v>
      </c>
    </row>
    <row r="93" spans="1:9">
      <c r="A93" s="25"/>
      <c r="B93" s="20" t="s">
        <v>763</v>
      </c>
      <c r="C93" s="21"/>
      <c r="D93" s="25"/>
      <c r="E93" s="4" t="str">
        <f>IF(ISNUMBER('FBPQ C2'!J85),'FBPQ C2'!J85,IF(ISNUMBER('FBPQ C2'!I85),'FBPQ C2'!I85,""))</f>
        <v/>
      </c>
      <c r="F93" s="29"/>
      <c r="G93" s="29">
        <f t="shared" si="4"/>
        <v>0</v>
      </c>
      <c r="H93" s="21" t="str">
        <f>IF(ISBLANK('FBPQ T4'!E85)," ",'FBPQ T4'!AE85)</f>
        <v xml:space="preserve"> </v>
      </c>
      <c r="I93" s="21" t="str">
        <f t="shared" si="5"/>
        <v xml:space="preserve"> </v>
      </c>
    </row>
    <row r="94" spans="1:9">
      <c r="A94" s="25"/>
      <c r="B94" s="20"/>
      <c r="C94" s="21" t="s">
        <v>413</v>
      </c>
      <c r="D94" s="25" t="s">
        <v>177</v>
      </c>
      <c r="E94" s="4">
        <f>IF(ISNUMBER('FBPQ C2'!J86),'FBPQ C2'!J86,IF(ISNUMBER('FBPQ C2'!I86),'FBPQ C2'!I86,""))</f>
        <v>173.04</v>
      </c>
      <c r="F94" s="29" t="s">
        <v>217</v>
      </c>
      <c r="G94" s="29">
        <f t="shared" si="4"/>
        <v>173.04</v>
      </c>
      <c r="H94" s="21">
        <f>IF(ISBLANK('FBPQ T4'!E86)," ",'FBPQ T4'!AE86)</f>
        <v>386.84</v>
      </c>
      <c r="I94" s="21">
        <f t="shared" si="5"/>
        <v>66938.79359999999</v>
      </c>
    </row>
    <row r="95" spans="1:9">
      <c r="A95" s="25"/>
      <c r="B95" s="20"/>
      <c r="C95" s="21" t="s">
        <v>414</v>
      </c>
      <c r="D95" s="25" t="s">
        <v>177</v>
      </c>
      <c r="E95" s="4">
        <f>IF(ISNUMBER('FBPQ C2'!J87),'FBPQ C2'!J87,IF(ISNUMBER('FBPQ C2'!I87),'FBPQ C2'!I87,""))</f>
        <v>152.88999999999999</v>
      </c>
      <c r="F95" s="29" t="s">
        <v>217</v>
      </c>
      <c r="G95" s="29">
        <f t="shared" si="4"/>
        <v>152.88999999999999</v>
      </c>
      <c r="H95" s="21">
        <f>IF(ISBLANK('FBPQ T4'!E87)," ",'FBPQ T4'!AE87)</f>
        <v>0</v>
      </c>
      <c r="I95" s="21">
        <f t="shared" si="5"/>
        <v>0</v>
      </c>
    </row>
    <row r="96" spans="1:9">
      <c r="A96" s="25"/>
      <c r="B96" s="20"/>
      <c r="C96" s="21" t="s">
        <v>415</v>
      </c>
      <c r="D96" s="25" t="s">
        <v>177</v>
      </c>
      <c r="E96" s="4">
        <f>IF(ISNUMBER('FBPQ C2'!J88),'FBPQ C2'!J88,IF(ISNUMBER('FBPQ C2'!I88),'FBPQ C2'!I88,""))</f>
        <v>173.42</v>
      </c>
      <c r="F96" s="29" t="s">
        <v>217</v>
      </c>
      <c r="G96" s="29">
        <f t="shared" si="4"/>
        <v>173.42</v>
      </c>
      <c r="H96" s="21">
        <f>IF(ISBLANK('FBPQ T4'!E88)," ",'FBPQ T4'!AE88)</f>
        <v>8.1240000000000006</v>
      </c>
      <c r="I96" s="21">
        <f t="shared" si="5"/>
        <v>1408.8640800000001</v>
      </c>
    </row>
    <row r="97" spans="1:9">
      <c r="A97" s="25"/>
      <c r="B97" s="20"/>
      <c r="C97" s="21" t="s">
        <v>537</v>
      </c>
      <c r="D97" s="25" t="s">
        <v>177</v>
      </c>
      <c r="E97" s="4">
        <f>IF(ISNUMBER('FBPQ C2'!J89),'FBPQ C2'!J89,IF(ISNUMBER('FBPQ C2'!I89),'FBPQ C2'!I89,""))</f>
        <v>444.45</v>
      </c>
      <c r="F97" s="29" t="s">
        <v>217</v>
      </c>
      <c r="G97" s="29">
        <f t="shared" si="4"/>
        <v>444.45</v>
      </c>
      <c r="H97" s="21">
        <f>IF(ISBLANK('FBPQ T4'!E89)," ",'FBPQ T4'!AE89)</f>
        <v>6</v>
      </c>
      <c r="I97" s="21">
        <f t="shared" si="5"/>
        <v>2666.7</v>
      </c>
    </row>
    <row r="98" spans="1:9">
      <c r="A98" s="25"/>
      <c r="B98" s="20"/>
      <c r="C98" s="21" t="s">
        <v>425</v>
      </c>
      <c r="D98" s="25" t="s">
        <v>177</v>
      </c>
      <c r="E98" s="4">
        <f>IF(ISNUMBER('FBPQ C2'!J90),'FBPQ C2'!J90,IF(ISNUMBER('FBPQ C2'!I90),'FBPQ C2'!I90,""))</f>
        <v>444.45</v>
      </c>
      <c r="F98" s="29" t="s">
        <v>217</v>
      </c>
      <c r="G98" s="29">
        <f t="shared" si="4"/>
        <v>444.45</v>
      </c>
      <c r="H98" s="21">
        <f>IF(ISBLANK('FBPQ T4'!E90)," ",'FBPQ T4'!AE90)</f>
        <v>2</v>
      </c>
      <c r="I98" s="21">
        <f t="shared" si="5"/>
        <v>888.9</v>
      </c>
    </row>
    <row r="99" spans="1:9">
      <c r="A99" s="25"/>
      <c r="B99" s="20"/>
      <c r="C99" s="21" t="s">
        <v>426</v>
      </c>
      <c r="D99" s="25" t="s">
        <v>177</v>
      </c>
      <c r="E99" s="4">
        <f>IF(ISNUMBER('FBPQ C2'!J91),'FBPQ C2'!J91,IF(ISNUMBER('FBPQ C2'!I91),'FBPQ C2'!I91,""))</f>
        <v>444.45</v>
      </c>
      <c r="F99" s="29" t="s">
        <v>217</v>
      </c>
      <c r="G99" s="29">
        <f t="shared" si="4"/>
        <v>444.45</v>
      </c>
      <c r="H99" s="21">
        <f>IF(ISBLANK('FBPQ T4'!E91)," ",'FBPQ T4'!AE91)</f>
        <v>1</v>
      </c>
      <c r="I99" s="21">
        <f t="shared" si="5"/>
        <v>444.45</v>
      </c>
    </row>
    <row r="100" spans="1:9">
      <c r="A100" s="25"/>
      <c r="B100" s="20"/>
      <c r="C100" s="21"/>
      <c r="D100" s="25"/>
      <c r="E100" s="4" t="str">
        <f>IF(ISNUMBER('FBPQ C2'!J92),'FBPQ C2'!J92,IF(ISNUMBER('FBPQ C2'!I92),'FBPQ C2'!I92,""))</f>
        <v/>
      </c>
      <c r="F100" s="29"/>
      <c r="G100" s="29">
        <f t="shared" si="4"/>
        <v>0</v>
      </c>
      <c r="H100" s="21" t="str">
        <f>IF(ISBLANK('FBPQ T4'!E92)," ",'FBPQ T4'!AE92)</f>
        <v xml:space="preserve"> </v>
      </c>
      <c r="I100" s="21" t="str">
        <f t="shared" si="5"/>
        <v xml:space="preserve"> </v>
      </c>
    </row>
    <row r="101" spans="1:9">
      <c r="A101" s="25"/>
      <c r="B101" s="20" t="s">
        <v>68</v>
      </c>
      <c r="C101" s="21"/>
      <c r="D101" s="25"/>
      <c r="E101" s="4" t="str">
        <f>IF(ISNUMBER('FBPQ C2'!J93),'FBPQ C2'!J93,IF(ISNUMBER('FBPQ C2'!I93),'FBPQ C2'!I93,""))</f>
        <v/>
      </c>
      <c r="F101" s="29"/>
      <c r="G101" s="29">
        <f t="shared" si="4"/>
        <v>0</v>
      </c>
      <c r="H101" s="21" t="str">
        <f>IF(ISBLANK('FBPQ T4'!E93)," ",'FBPQ T4'!AE93)</f>
        <v xml:space="preserve"> </v>
      </c>
      <c r="I101" s="21" t="str">
        <f t="shared" si="5"/>
        <v xml:space="preserve"> </v>
      </c>
    </row>
    <row r="102" spans="1:9">
      <c r="A102" s="25"/>
      <c r="B102" s="20"/>
      <c r="C102" s="21" t="s">
        <v>387</v>
      </c>
      <c r="D102" s="25" t="s">
        <v>177</v>
      </c>
      <c r="E102" s="4">
        <f>IF(ISNUMBER('FBPQ C2'!J94),'FBPQ C2'!J94,IF(ISNUMBER('FBPQ C2'!I94),'FBPQ C2'!I94,""))</f>
        <v>1134.52</v>
      </c>
      <c r="F102" s="29" t="s">
        <v>217</v>
      </c>
      <c r="G102" s="29">
        <f t="shared" si="4"/>
        <v>1134.52</v>
      </c>
      <c r="H102" s="21">
        <f>IF(ISBLANK('FBPQ T4'!E94)," ",'FBPQ T4'!AE94)</f>
        <v>1.3</v>
      </c>
      <c r="I102" s="21">
        <f t="shared" si="5"/>
        <v>1474.876</v>
      </c>
    </row>
    <row r="103" spans="1:9">
      <c r="A103" s="25"/>
      <c r="B103" s="20"/>
      <c r="C103" s="21"/>
      <c r="D103" s="25"/>
      <c r="E103" s="4" t="str">
        <f>IF(ISNUMBER('FBPQ C2'!J95),'FBPQ C2'!J95,IF(ISNUMBER('FBPQ C2'!I95),'FBPQ C2'!I95,""))</f>
        <v/>
      </c>
      <c r="F103" s="29"/>
      <c r="G103" s="29">
        <f t="shared" si="4"/>
        <v>0</v>
      </c>
      <c r="H103" s="21" t="str">
        <f>IF(ISBLANK('FBPQ T4'!E95)," ",'FBPQ T4'!AE95)</f>
        <v xml:space="preserve"> </v>
      </c>
      <c r="I103" s="21" t="str">
        <f t="shared" si="5"/>
        <v xml:space="preserve"> </v>
      </c>
    </row>
    <row r="104" spans="1:9">
      <c r="A104" s="25"/>
      <c r="B104" s="20" t="s">
        <v>631</v>
      </c>
      <c r="C104" s="21"/>
      <c r="D104" s="25"/>
      <c r="E104" s="4" t="str">
        <f>IF(ISNUMBER('FBPQ C2'!J96),'FBPQ C2'!J96,IF(ISNUMBER('FBPQ C2'!I96),'FBPQ C2'!I96,""))</f>
        <v/>
      </c>
      <c r="F104" s="29"/>
      <c r="G104" s="29">
        <f t="shared" si="4"/>
        <v>0</v>
      </c>
      <c r="H104" s="21" t="str">
        <f>IF(ISBLANK('FBPQ T4'!E96)," ",'FBPQ T4'!AE96)</f>
        <v xml:space="preserve"> </v>
      </c>
      <c r="I104" s="21" t="str">
        <f t="shared" si="5"/>
        <v xml:space="preserve"> </v>
      </c>
    </row>
    <row r="105" spans="1:9">
      <c r="A105" s="25"/>
      <c r="B105" s="20"/>
      <c r="C105" s="21" t="s">
        <v>388</v>
      </c>
      <c r="D105" s="25" t="s">
        <v>738</v>
      </c>
      <c r="E105" s="4">
        <f>IF(ISNUMBER('FBPQ C2'!J97),'FBPQ C2'!J97,IF(ISNUMBER('FBPQ C2'!I97),'FBPQ C2'!I97,""))</f>
        <v>66.58</v>
      </c>
      <c r="F105" s="29" t="s">
        <v>217</v>
      </c>
      <c r="G105" s="29">
        <f t="shared" si="4"/>
        <v>66.58</v>
      </c>
      <c r="H105" s="21">
        <f>IF(ISBLANK('FBPQ T4'!E97)," ",'FBPQ T4'!AE97)</f>
        <v>311</v>
      </c>
      <c r="I105" s="21">
        <f t="shared" si="5"/>
        <v>20706.38</v>
      </c>
    </row>
    <row r="106" spans="1:9">
      <c r="A106" s="25"/>
      <c r="B106" s="20"/>
      <c r="C106" s="21" t="s">
        <v>389</v>
      </c>
      <c r="D106" s="25" t="s">
        <v>738</v>
      </c>
      <c r="E106" s="4">
        <f>IF(ISNUMBER('FBPQ C2'!J98),'FBPQ C2'!J98,IF(ISNUMBER('FBPQ C2'!I98),'FBPQ C2'!I98,""))</f>
        <v>51.4</v>
      </c>
      <c r="F106" s="29" t="s">
        <v>217</v>
      </c>
      <c r="G106" s="29">
        <f t="shared" si="4"/>
        <v>51.4</v>
      </c>
      <c r="H106" s="21">
        <f>IF(ISBLANK('FBPQ T4'!E98)," ",'FBPQ T4'!AE98)</f>
        <v>274</v>
      </c>
      <c r="I106" s="21">
        <f t="shared" si="5"/>
        <v>14083.6</v>
      </c>
    </row>
    <row r="107" spans="1:9">
      <c r="A107" s="25"/>
      <c r="B107" s="20"/>
      <c r="C107" s="21" t="s">
        <v>390</v>
      </c>
      <c r="D107" s="25" t="s">
        <v>738</v>
      </c>
      <c r="E107" s="4">
        <f>IF(ISNUMBER('FBPQ C2'!J99),'FBPQ C2'!J99,IF(ISNUMBER('FBPQ C2'!I99),'FBPQ C2'!I99,""))</f>
        <v>33.17</v>
      </c>
      <c r="F107" s="29" t="s">
        <v>217</v>
      </c>
      <c r="G107" s="29">
        <f t="shared" si="4"/>
        <v>33.17</v>
      </c>
      <c r="H107" s="21">
        <f>IF(ISBLANK('FBPQ T4'!E99)," ",'FBPQ T4'!AE99)</f>
        <v>16</v>
      </c>
      <c r="I107" s="21">
        <f t="shared" si="5"/>
        <v>530.72</v>
      </c>
    </row>
    <row r="108" spans="1:9">
      <c r="A108" s="25"/>
      <c r="B108" s="20"/>
      <c r="C108" s="21" t="s">
        <v>391</v>
      </c>
      <c r="D108" s="25" t="s">
        <v>738</v>
      </c>
      <c r="E108" s="4" t="str">
        <f>IF(ISNUMBER('FBPQ C2'!J100),'FBPQ C2'!J100,IF(ISNUMBER('FBPQ C2'!I100),'FBPQ C2'!I100,""))</f>
        <v/>
      </c>
      <c r="F108" s="29" t="s">
        <v>217</v>
      </c>
      <c r="G108" s="29" t="str">
        <f t="shared" si="4"/>
        <v xml:space="preserve"> </v>
      </c>
      <c r="H108" s="21">
        <f>IF(ISBLANK('FBPQ T4'!E100)," ",'FBPQ T4'!AE100)</f>
        <v>0</v>
      </c>
      <c r="I108" s="21" t="str">
        <f t="shared" si="5"/>
        <v xml:space="preserve"> </v>
      </c>
    </row>
    <row r="109" spans="1:9">
      <c r="A109" s="25"/>
      <c r="B109" s="20"/>
      <c r="C109" s="21" t="s">
        <v>392</v>
      </c>
      <c r="D109" s="25" t="s">
        <v>738</v>
      </c>
      <c r="E109" s="4" t="str">
        <f>IF(ISNUMBER('FBPQ C2'!J101),'FBPQ C2'!J101,IF(ISNUMBER('FBPQ C2'!I101),'FBPQ C2'!I101,""))</f>
        <v/>
      </c>
      <c r="F109" s="29" t="s">
        <v>217</v>
      </c>
      <c r="G109" s="29" t="str">
        <f t="shared" si="4"/>
        <v xml:space="preserve"> </v>
      </c>
      <c r="H109" s="21">
        <f>IF(ISBLANK('FBPQ T4'!E101)," ",'FBPQ T4'!AE101)</f>
        <v>0</v>
      </c>
      <c r="I109" s="21" t="str">
        <f t="shared" si="5"/>
        <v xml:space="preserve"> </v>
      </c>
    </row>
    <row r="110" spans="1:9">
      <c r="A110" s="25"/>
      <c r="B110" s="20"/>
      <c r="C110" s="21" t="s">
        <v>393</v>
      </c>
      <c r="D110" s="25" t="s">
        <v>738</v>
      </c>
      <c r="E110" s="4" t="str">
        <f>IF(ISNUMBER('FBPQ C2'!J102),'FBPQ C2'!J102,IF(ISNUMBER('FBPQ C2'!I102),'FBPQ C2'!I102,""))</f>
        <v/>
      </c>
      <c r="F110" s="29" t="s">
        <v>217</v>
      </c>
      <c r="G110" s="29" t="str">
        <f t="shared" si="4"/>
        <v>DATA</v>
      </c>
      <c r="H110" s="21">
        <f>IF(ISBLANK('FBPQ T4'!E102)," ",'FBPQ T4'!AE102)</f>
        <v>1074</v>
      </c>
      <c r="I110" s="21" t="str">
        <f t="shared" si="5"/>
        <v xml:space="preserve"> </v>
      </c>
    </row>
    <row r="111" spans="1:9">
      <c r="A111" s="25"/>
      <c r="B111" s="20"/>
      <c r="C111" s="21" t="s">
        <v>394</v>
      </c>
      <c r="D111" s="25" t="s">
        <v>738</v>
      </c>
      <c r="E111" s="4">
        <f>IF(ISNUMBER('FBPQ C2'!J103),'FBPQ C2'!J103,IF(ISNUMBER('FBPQ C2'!I103),'FBPQ C2'!I103,""))</f>
        <v>88.11</v>
      </c>
      <c r="F111" s="29" t="s">
        <v>217</v>
      </c>
      <c r="G111" s="29">
        <f t="shared" si="4"/>
        <v>88.11</v>
      </c>
      <c r="H111" s="21">
        <f>IF(ISBLANK('FBPQ T4'!E103)," ",'FBPQ T4'!AE103)</f>
        <v>53</v>
      </c>
      <c r="I111" s="21">
        <f t="shared" si="5"/>
        <v>4669.83</v>
      </c>
    </row>
    <row r="112" spans="1:9">
      <c r="A112" s="25"/>
      <c r="B112" s="20"/>
      <c r="C112" s="21" t="s">
        <v>395</v>
      </c>
      <c r="D112" s="25" t="s">
        <v>738</v>
      </c>
      <c r="E112" s="4" t="str">
        <f>IF(ISNUMBER('FBPQ C2'!J104),'FBPQ C2'!J104,IF(ISNUMBER('FBPQ C2'!I104),'FBPQ C2'!I104,""))</f>
        <v/>
      </c>
      <c r="F112" s="29" t="s">
        <v>217</v>
      </c>
      <c r="G112" s="29" t="str">
        <f t="shared" si="4"/>
        <v>DATA</v>
      </c>
      <c r="H112" s="21">
        <f>IF(ISBLANK('FBPQ T4'!E104)," ",'FBPQ T4'!AE104)</f>
        <v>233</v>
      </c>
      <c r="I112" s="21" t="str">
        <f t="shared" si="5"/>
        <v xml:space="preserve"> </v>
      </c>
    </row>
    <row r="113" spans="1:9">
      <c r="A113" s="25"/>
      <c r="B113" s="20"/>
      <c r="C113" s="21"/>
      <c r="D113" s="25"/>
      <c r="E113" s="4" t="str">
        <f>IF(ISNUMBER('FBPQ C2'!J105),'FBPQ C2'!J105,IF(ISNUMBER('FBPQ C2'!I105),'FBPQ C2'!I105,""))</f>
        <v/>
      </c>
      <c r="F113" s="29"/>
      <c r="G113" s="29">
        <f t="shared" si="4"/>
        <v>0</v>
      </c>
      <c r="H113" s="21" t="str">
        <f>IF(ISBLANK('FBPQ T4'!E105)," ",'FBPQ T4'!AE105)</f>
        <v xml:space="preserve"> </v>
      </c>
      <c r="I113" s="21" t="str">
        <f t="shared" si="5"/>
        <v xml:space="preserve"> </v>
      </c>
    </row>
    <row r="114" spans="1:9">
      <c r="A114" s="25"/>
      <c r="B114" s="20" t="s">
        <v>506</v>
      </c>
      <c r="C114" s="21"/>
      <c r="D114" s="25"/>
      <c r="E114" s="4" t="str">
        <f>IF(ISNUMBER('FBPQ C2'!J106),'FBPQ C2'!J106,IF(ISNUMBER('FBPQ C2'!I106),'FBPQ C2'!I106,""))</f>
        <v/>
      </c>
      <c r="F114" s="29"/>
      <c r="G114" s="29">
        <f t="shared" si="4"/>
        <v>0</v>
      </c>
      <c r="H114" s="21" t="str">
        <f>IF(ISBLANK('FBPQ T4'!E106)," ",'FBPQ T4'!AE106)</f>
        <v xml:space="preserve"> </v>
      </c>
      <c r="I114" s="21" t="str">
        <f t="shared" si="5"/>
        <v xml:space="preserve"> </v>
      </c>
    </row>
    <row r="115" spans="1:9">
      <c r="A115" s="25"/>
      <c r="B115" s="20"/>
      <c r="C115" s="21" t="s">
        <v>396</v>
      </c>
      <c r="D115" s="25" t="s">
        <v>738</v>
      </c>
      <c r="E115" s="4" t="str">
        <f>IF(ISNUMBER('FBPQ C2'!J107),'FBPQ C2'!J107,IF(ISNUMBER('FBPQ C2'!I107),'FBPQ C2'!I107,""))</f>
        <v/>
      </c>
      <c r="F115" s="29" t="s">
        <v>217</v>
      </c>
      <c r="G115" s="29" t="str">
        <f t="shared" si="4"/>
        <v xml:space="preserve"> </v>
      </c>
      <c r="H115" s="21">
        <f>IF(ISBLANK('FBPQ T4'!E107)," ",'FBPQ T4'!AE107)</f>
        <v>0</v>
      </c>
      <c r="I115" s="21" t="str">
        <f t="shared" si="5"/>
        <v xml:space="preserve"> </v>
      </c>
    </row>
    <row r="116" spans="1:9">
      <c r="A116" s="25"/>
      <c r="B116" s="20"/>
      <c r="C116" s="21" t="s">
        <v>397</v>
      </c>
      <c r="D116" s="25" t="s">
        <v>738</v>
      </c>
      <c r="E116" s="4">
        <f>IF(ISNUMBER('FBPQ C2'!J108),'FBPQ C2'!J108,IF(ISNUMBER('FBPQ C2'!I108),'FBPQ C2'!I108,""))</f>
        <v>262.73</v>
      </c>
      <c r="F116" s="29" t="s">
        <v>217</v>
      </c>
      <c r="G116" s="29">
        <f t="shared" ref="G116:G147" si="6">IF(ISNUMBER(E116),E116,IF(H116&gt;0,F116," "))</f>
        <v>262.73</v>
      </c>
      <c r="H116" s="21">
        <f>IF(ISBLANK('FBPQ T4'!E108)," ",'FBPQ T4'!AE108)</f>
        <v>247</v>
      </c>
      <c r="I116" s="21">
        <f t="shared" ref="I116:I147" si="7">IF(ISERROR(G116*H116)," ",G116*H116)</f>
        <v>64894.310000000005</v>
      </c>
    </row>
    <row r="117" spans="1:9">
      <c r="A117" s="25"/>
      <c r="B117" s="20"/>
      <c r="C117" s="21" t="s">
        <v>398</v>
      </c>
      <c r="D117" s="25" t="s">
        <v>738</v>
      </c>
      <c r="E117" s="4" t="str">
        <f>IF(ISNUMBER('FBPQ C2'!J109),'FBPQ C2'!J109,IF(ISNUMBER('FBPQ C2'!I109),'FBPQ C2'!I109,""))</f>
        <v/>
      </c>
      <c r="F117" s="29" t="s">
        <v>217</v>
      </c>
      <c r="G117" s="29" t="str">
        <f t="shared" si="6"/>
        <v>DATA</v>
      </c>
      <c r="H117" s="21">
        <f>IF(ISBLANK('FBPQ T4'!E109)," ",'FBPQ T4'!AE109)</f>
        <v>244</v>
      </c>
      <c r="I117" s="21" t="str">
        <f t="shared" si="7"/>
        <v xml:space="preserve"> </v>
      </c>
    </row>
    <row r="118" spans="1:9">
      <c r="A118" s="25"/>
      <c r="B118" s="20"/>
      <c r="C118" s="21" t="s">
        <v>589</v>
      </c>
      <c r="D118" s="25" t="s">
        <v>738</v>
      </c>
      <c r="E118" s="4">
        <f>IF(ISNUMBER('FBPQ C2'!J110),'FBPQ C2'!J110,IF(ISNUMBER('FBPQ C2'!I110),'FBPQ C2'!I110,""))</f>
        <v>457.92</v>
      </c>
      <c r="F118" s="29" t="s">
        <v>217</v>
      </c>
      <c r="G118" s="29">
        <f t="shared" si="6"/>
        <v>457.92</v>
      </c>
      <c r="H118" s="21">
        <f>IF(ISBLANK('FBPQ T4'!E110)," ",'FBPQ T4'!AE110)</f>
        <v>30</v>
      </c>
      <c r="I118" s="21">
        <f t="shared" si="7"/>
        <v>13737.6</v>
      </c>
    </row>
    <row r="119" spans="1:9">
      <c r="A119" s="25"/>
      <c r="B119" s="20"/>
      <c r="C119" s="21" t="s">
        <v>590</v>
      </c>
      <c r="D119" s="25" t="s">
        <v>738</v>
      </c>
      <c r="E119" s="4" t="str">
        <f>IF(ISNUMBER('FBPQ C2'!J111),'FBPQ C2'!J111,IF(ISNUMBER('FBPQ C2'!I111),'FBPQ C2'!I111,""))</f>
        <v/>
      </c>
      <c r="F119" s="29" t="s">
        <v>217</v>
      </c>
      <c r="G119" s="29" t="str">
        <f t="shared" si="6"/>
        <v xml:space="preserve"> </v>
      </c>
      <c r="H119" s="21">
        <f>IF(ISBLANK('FBPQ T4'!E111)," ",'FBPQ T4'!AE111)</f>
        <v>0</v>
      </c>
      <c r="I119" s="21" t="str">
        <f t="shared" si="7"/>
        <v xml:space="preserve"> </v>
      </c>
    </row>
    <row r="120" spans="1:9">
      <c r="A120" s="25"/>
      <c r="B120" s="20"/>
      <c r="C120" s="21"/>
      <c r="D120" s="25"/>
      <c r="E120" s="4" t="str">
        <f>IF(ISNUMBER('FBPQ C2'!J112),'FBPQ C2'!J112,IF(ISNUMBER('FBPQ C2'!I112),'FBPQ C2'!I112,""))</f>
        <v/>
      </c>
      <c r="F120" s="29"/>
      <c r="G120" s="29">
        <f t="shared" si="6"/>
        <v>0</v>
      </c>
      <c r="H120" s="21" t="str">
        <f>IF(ISBLANK('FBPQ T4'!E112)," ",'FBPQ T4'!AE112)</f>
        <v xml:space="preserve"> </v>
      </c>
      <c r="I120" s="21" t="str">
        <f t="shared" si="7"/>
        <v xml:space="preserve"> </v>
      </c>
    </row>
    <row r="121" spans="1:9">
      <c r="A121" s="25" t="s">
        <v>591</v>
      </c>
      <c r="B121" s="20"/>
      <c r="C121" s="21"/>
      <c r="D121" s="25"/>
      <c r="E121" s="4" t="str">
        <f>IF(ISNUMBER('FBPQ C2'!J113),'FBPQ C2'!J113,IF(ISNUMBER('FBPQ C2'!I113),'FBPQ C2'!I113,""))</f>
        <v/>
      </c>
      <c r="F121" s="29"/>
      <c r="G121" s="29">
        <f t="shared" si="6"/>
        <v>0</v>
      </c>
      <c r="H121" s="21" t="str">
        <f>IF(ISBLANK('FBPQ T4'!E113)," ",'FBPQ T4'!AE113)</f>
        <v xml:space="preserve"> </v>
      </c>
      <c r="I121" s="21" t="str">
        <f t="shared" si="7"/>
        <v xml:space="preserve"> </v>
      </c>
    </row>
    <row r="122" spans="1:9">
      <c r="A122" s="25"/>
      <c r="B122" s="20" t="s">
        <v>224</v>
      </c>
      <c r="C122" s="21"/>
      <c r="D122" s="25"/>
      <c r="E122" s="4" t="str">
        <f>IF(ISNUMBER('FBPQ C2'!J114),'FBPQ C2'!J114,IF(ISNUMBER('FBPQ C2'!I114),'FBPQ C2'!I114,""))</f>
        <v/>
      </c>
      <c r="F122" s="29"/>
      <c r="G122" s="29">
        <f t="shared" si="6"/>
        <v>0</v>
      </c>
      <c r="H122" s="21" t="str">
        <f>IF(ISBLANK('FBPQ T4'!E114)," ",'FBPQ T4'!AE114)</f>
        <v xml:space="preserve"> </v>
      </c>
      <c r="I122" s="21" t="str">
        <f t="shared" si="7"/>
        <v xml:space="preserve"> </v>
      </c>
    </row>
    <row r="123" spans="1:9">
      <c r="A123" s="25"/>
      <c r="B123" s="20"/>
      <c r="C123" s="21" t="s">
        <v>592</v>
      </c>
      <c r="D123" s="25" t="s">
        <v>177</v>
      </c>
      <c r="E123" s="4">
        <f>IF(ISNUMBER('FBPQ C2'!J115),'FBPQ C2'!J115,IF(ISNUMBER('FBPQ C2'!I115),'FBPQ C2'!I115,""))</f>
        <v>52.85</v>
      </c>
      <c r="F123" s="29" t="s">
        <v>217</v>
      </c>
      <c r="G123" s="29">
        <f t="shared" si="6"/>
        <v>52.85</v>
      </c>
      <c r="H123" s="21">
        <f>IF(ISBLANK('FBPQ T4'!E115)," ",'FBPQ T4'!AE115)</f>
        <v>91</v>
      </c>
      <c r="I123" s="21">
        <f t="shared" si="7"/>
        <v>4809.3500000000004</v>
      </c>
    </row>
    <row r="124" spans="1:9">
      <c r="A124" s="25"/>
      <c r="B124" s="20"/>
      <c r="C124" s="21" t="s">
        <v>593</v>
      </c>
      <c r="D124" s="25" t="s">
        <v>177</v>
      </c>
      <c r="E124" s="4">
        <f>IF(ISNUMBER('FBPQ C2'!J116),'FBPQ C2'!J116,IF(ISNUMBER('FBPQ C2'!I116),'FBPQ C2'!I116,""))</f>
        <v>53.51</v>
      </c>
      <c r="F124" s="29" t="s">
        <v>217</v>
      </c>
      <c r="G124" s="29">
        <f t="shared" si="6"/>
        <v>53.51</v>
      </c>
      <c r="H124" s="21">
        <f>IF(ISBLANK('FBPQ T4'!E116)," ",'FBPQ T4'!AE116)</f>
        <v>1089</v>
      </c>
      <c r="I124" s="21">
        <f t="shared" si="7"/>
        <v>58272.39</v>
      </c>
    </row>
    <row r="125" spans="1:9">
      <c r="A125" s="25"/>
      <c r="B125" s="20"/>
      <c r="C125" s="21"/>
      <c r="D125" s="25"/>
      <c r="E125" s="4" t="str">
        <f>IF(ISNUMBER('FBPQ C2'!J117),'FBPQ C2'!J117,IF(ISNUMBER('FBPQ C2'!I117),'FBPQ C2'!I117,""))</f>
        <v/>
      </c>
      <c r="F125" s="29"/>
      <c r="G125" s="29">
        <f t="shared" si="6"/>
        <v>0</v>
      </c>
      <c r="H125" s="21" t="str">
        <f>IF(ISBLANK('FBPQ T4'!E117)," ",'FBPQ T4'!AE117)</f>
        <v xml:space="preserve"> </v>
      </c>
      <c r="I125" s="21" t="str">
        <f t="shared" si="7"/>
        <v xml:space="preserve"> </v>
      </c>
    </row>
    <row r="126" spans="1:9">
      <c r="A126" s="25"/>
      <c r="B126" s="20" t="s">
        <v>739</v>
      </c>
      <c r="C126" s="21"/>
      <c r="D126" s="25"/>
      <c r="E126" s="4" t="str">
        <f>IF(ISNUMBER('FBPQ C2'!J118),'FBPQ C2'!J118,IF(ISNUMBER('FBPQ C2'!I118),'FBPQ C2'!I118,""))</f>
        <v/>
      </c>
      <c r="F126" s="29"/>
      <c r="G126" s="29">
        <f t="shared" si="6"/>
        <v>0</v>
      </c>
      <c r="H126" s="21" t="str">
        <f>IF(ISBLANK('FBPQ T4'!E118)," ",'FBPQ T4'!AE118)</f>
        <v xml:space="preserve"> </v>
      </c>
      <c r="I126" s="21" t="str">
        <f t="shared" si="7"/>
        <v xml:space="preserve"> </v>
      </c>
    </row>
    <row r="127" spans="1:9">
      <c r="A127" s="25"/>
      <c r="B127" s="20"/>
      <c r="C127" s="21" t="s">
        <v>594</v>
      </c>
      <c r="D127" s="25" t="s">
        <v>738</v>
      </c>
      <c r="E127" s="4">
        <f>IF(ISNUMBER('FBPQ C2'!J119),'FBPQ C2'!J119,IF(ISNUMBER('FBPQ C2'!I119),'FBPQ C2'!I119,""))</f>
        <v>3.64</v>
      </c>
      <c r="F127" s="29" t="s">
        <v>217</v>
      </c>
      <c r="G127" s="29">
        <f t="shared" si="6"/>
        <v>3.64</v>
      </c>
      <c r="H127" s="21">
        <f>IF(ISBLANK('FBPQ T4'!E119)," ",'FBPQ T4'!AE119)</f>
        <v>835</v>
      </c>
      <c r="I127" s="21">
        <f t="shared" si="7"/>
        <v>3039.4</v>
      </c>
    </row>
    <row r="128" spans="1:9">
      <c r="A128" s="25"/>
      <c r="B128" s="20"/>
      <c r="C128" s="21" t="s">
        <v>595</v>
      </c>
      <c r="D128" s="25" t="s">
        <v>738</v>
      </c>
      <c r="E128" s="4">
        <f>IF(ISNUMBER('FBPQ C2'!J120),'FBPQ C2'!J120,IF(ISNUMBER('FBPQ C2'!I120),'FBPQ C2'!I120,""))</f>
        <v>98.62</v>
      </c>
      <c r="F128" s="29" t="s">
        <v>217</v>
      </c>
      <c r="G128" s="29">
        <f t="shared" si="6"/>
        <v>98.62</v>
      </c>
      <c r="H128" s="21">
        <f>IF(ISBLANK('FBPQ T4'!E120)," ",'FBPQ T4'!AE120)</f>
        <v>2354</v>
      </c>
      <c r="I128" s="21">
        <f t="shared" si="7"/>
        <v>232151.48</v>
      </c>
    </row>
    <row r="129" spans="1:9">
      <c r="A129" s="25"/>
      <c r="B129" s="20"/>
      <c r="C129" s="21" t="s">
        <v>438</v>
      </c>
      <c r="D129" s="25" t="s">
        <v>738</v>
      </c>
      <c r="E129" s="4">
        <f>IF(ISNUMBER('FBPQ C2'!J121),'FBPQ C2'!J121,IF(ISNUMBER('FBPQ C2'!I121),'FBPQ C2'!I121,""))</f>
        <v>3.8</v>
      </c>
      <c r="F129" s="29" t="s">
        <v>217</v>
      </c>
      <c r="G129" s="29">
        <f t="shared" si="6"/>
        <v>3.8</v>
      </c>
      <c r="H129" s="21">
        <f>IF(ISBLANK('FBPQ T4'!E121)," ",'FBPQ T4'!AE121)</f>
        <v>4708</v>
      </c>
      <c r="I129" s="21">
        <f t="shared" si="7"/>
        <v>17890.399999999998</v>
      </c>
    </row>
    <row r="130" spans="1:9">
      <c r="A130" s="25"/>
      <c r="B130" s="20"/>
      <c r="C130" s="21"/>
      <c r="D130" s="25"/>
      <c r="E130" s="4" t="str">
        <f>IF(ISNUMBER('FBPQ C2'!J122),'FBPQ C2'!J122,IF(ISNUMBER('FBPQ C2'!I122),'FBPQ C2'!I122,""))</f>
        <v/>
      </c>
      <c r="F130" s="29"/>
      <c r="G130" s="29">
        <f t="shared" si="6"/>
        <v>0</v>
      </c>
      <c r="H130" s="21" t="str">
        <f>IF(ISBLANK('FBPQ T4'!E122)," ",'FBPQ T4'!AE122)</f>
        <v xml:space="preserve"> </v>
      </c>
      <c r="I130" s="21" t="str">
        <f t="shared" si="7"/>
        <v xml:space="preserve"> </v>
      </c>
    </row>
    <row r="131" spans="1:9">
      <c r="A131" s="25"/>
      <c r="B131" s="20" t="s">
        <v>763</v>
      </c>
      <c r="C131" s="21"/>
      <c r="D131" s="25"/>
      <c r="E131" s="4" t="str">
        <f>IF(ISNUMBER('FBPQ C2'!J123),'FBPQ C2'!J123,IF(ISNUMBER('FBPQ C2'!I123),'FBPQ C2'!I123,""))</f>
        <v/>
      </c>
      <c r="F131" s="29"/>
      <c r="G131" s="29">
        <f t="shared" si="6"/>
        <v>0</v>
      </c>
      <c r="H131" s="21" t="str">
        <f>IF(ISBLANK('FBPQ T4'!E123)," ",'FBPQ T4'!AE123)</f>
        <v xml:space="preserve"> </v>
      </c>
      <c r="I131" s="21" t="str">
        <f t="shared" si="7"/>
        <v xml:space="preserve"> </v>
      </c>
    </row>
    <row r="132" spans="1:9">
      <c r="A132" s="25"/>
      <c r="B132" s="20"/>
      <c r="C132" s="21" t="s">
        <v>704</v>
      </c>
      <c r="D132" s="25" t="s">
        <v>177</v>
      </c>
      <c r="E132" s="4">
        <f>IF(ISNUMBER('FBPQ C2'!J124),'FBPQ C2'!J124,IF(ISNUMBER('FBPQ C2'!I124),'FBPQ C2'!I124,""))</f>
        <v>0</v>
      </c>
      <c r="F132" s="29" t="s">
        <v>217</v>
      </c>
      <c r="G132" s="29">
        <f t="shared" si="6"/>
        <v>0</v>
      </c>
      <c r="H132" s="21">
        <f>IF(ISBLANK('FBPQ T4'!E124)," ",'FBPQ T4'!AE124)</f>
        <v>35.4</v>
      </c>
      <c r="I132" s="21">
        <f t="shared" si="7"/>
        <v>0</v>
      </c>
    </row>
    <row r="133" spans="1:9">
      <c r="A133" s="25"/>
      <c r="B133" s="20"/>
      <c r="C133" s="21" t="s">
        <v>703</v>
      </c>
      <c r="D133" s="25" t="s">
        <v>177</v>
      </c>
      <c r="E133" s="4">
        <f>IF(ISNUMBER('FBPQ C2'!J125),'FBPQ C2'!J125,IF(ISNUMBER('FBPQ C2'!I125),'FBPQ C2'!I125,""))</f>
        <v>1323.44</v>
      </c>
      <c r="F133" s="29" t="s">
        <v>217</v>
      </c>
      <c r="G133" s="29">
        <f t="shared" si="6"/>
        <v>1323.44</v>
      </c>
      <c r="H133" s="21">
        <f>IF(ISBLANK('FBPQ T4'!E125)," ",'FBPQ T4'!AE125)</f>
        <v>58</v>
      </c>
      <c r="I133" s="21">
        <f t="shared" si="7"/>
        <v>76759.520000000004</v>
      </c>
    </row>
    <row r="134" spans="1:9">
      <c r="A134" s="25"/>
      <c r="B134" s="20"/>
      <c r="C134" s="21" t="s">
        <v>667</v>
      </c>
      <c r="D134" s="25" t="s">
        <v>177</v>
      </c>
      <c r="E134" s="4" t="str">
        <f>IF(ISNUMBER('FBPQ C2'!J126),'FBPQ C2'!J126,IF(ISNUMBER('FBPQ C2'!I126),'FBPQ C2'!I126,""))</f>
        <v/>
      </c>
      <c r="F134" s="29" t="s">
        <v>217</v>
      </c>
      <c r="G134" s="29" t="str">
        <f t="shared" si="6"/>
        <v xml:space="preserve"> </v>
      </c>
      <c r="H134" s="21">
        <f>IF(ISBLANK('FBPQ T4'!E126)," ",'FBPQ T4'!AE126)</f>
        <v>0</v>
      </c>
      <c r="I134" s="21" t="str">
        <f t="shared" si="7"/>
        <v xml:space="preserve"> </v>
      </c>
    </row>
    <row r="135" spans="1:9">
      <c r="A135" s="25"/>
      <c r="B135" s="20"/>
      <c r="C135" s="21"/>
      <c r="D135" s="25"/>
      <c r="E135" s="4" t="str">
        <f>IF(ISNUMBER('FBPQ C2'!J127),'FBPQ C2'!J127,IF(ISNUMBER('FBPQ C2'!I127),'FBPQ C2'!I127,""))</f>
        <v/>
      </c>
      <c r="F135" s="29"/>
      <c r="G135" s="29">
        <f t="shared" si="6"/>
        <v>0</v>
      </c>
      <c r="H135" s="21" t="str">
        <f>IF(ISBLANK('FBPQ T4'!E127)," ",'FBPQ T4'!AE127)</f>
        <v xml:space="preserve"> </v>
      </c>
      <c r="I135" s="21" t="str">
        <f t="shared" si="7"/>
        <v xml:space="preserve"> </v>
      </c>
    </row>
    <row r="136" spans="1:9">
      <c r="A136" s="25"/>
      <c r="B136" s="20" t="s">
        <v>68</v>
      </c>
      <c r="C136" s="21"/>
      <c r="D136" s="25"/>
      <c r="E136" s="4" t="str">
        <f>IF(ISNUMBER('FBPQ C2'!J128),'FBPQ C2'!J128,IF(ISNUMBER('FBPQ C2'!I128),'FBPQ C2'!I128,""))</f>
        <v/>
      </c>
      <c r="F136" s="29"/>
      <c r="G136" s="29">
        <f t="shared" si="6"/>
        <v>0</v>
      </c>
      <c r="H136" s="21" t="str">
        <f>IF(ISBLANK('FBPQ T4'!E128)," ",'FBPQ T4'!AE128)</f>
        <v xml:space="preserve"> </v>
      </c>
      <c r="I136" s="21" t="str">
        <f t="shared" si="7"/>
        <v xml:space="preserve"> </v>
      </c>
    </row>
    <row r="137" spans="1:9">
      <c r="A137" s="25"/>
      <c r="B137" s="20"/>
      <c r="C137" s="21" t="s">
        <v>668</v>
      </c>
      <c r="D137" s="25" t="s">
        <v>177</v>
      </c>
      <c r="E137" s="4" t="str">
        <f>IF(ISNUMBER('FBPQ C2'!J129),'FBPQ C2'!J129,IF(ISNUMBER('FBPQ C2'!I129),'FBPQ C2'!I129,""))</f>
        <v/>
      </c>
      <c r="F137" s="29" t="s">
        <v>217</v>
      </c>
      <c r="G137" s="29" t="str">
        <f t="shared" si="6"/>
        <v xml:space="preserve"> </v>
      </c>
      <c r="H137" s="21">
        <f>IF(ISBLANK('FBPQ T4'!E129)," ",'FBPQ T4'!AE129)</f>
        <v>0</v>
      </c>
      <c r="I137" s="21" t="str">
        <f t="shared" si="7"/>
        <v xml:space="preserve"> </v>
      </c>
    </row>
    <row r="138" spans="1:9">
      <c r="A138" s="25"/>
      <c r="B138" s="20"/>
      <c r="C138" s="21"/>
      <c r="D138" s="25"/>
      <c r="E138" s="4" t="str">
        <f>IF(ISNUMBER('FBPQ C2'!J130),'FBPQ C2'!J130,IF(ISNUMBER('FBPQ C2'!I130),'FBPQ C2'!I130,""))</f>
        <v/>
      </c>
      <c r="F138" s="29"/>
      <c r="G138" s="29">
        <f t="shared" si="6"/>
        <v>0</v>
      </c>
      <c r="H138" s="21" t="str">
        <f>IF(ISBLANK('FBPQ T4'!E130)," ",'FBPQ T4'!AE130)</f>
        <v xml:space="preserve"> </v>
      </c>
      <c r="I138" s="21" t="str">
        <f t="shared" si="7"/>
        <v xml:space="preserve"> </v>
      </c>
    </row>
    <row r="139" spans="1:9">
      <c r="A139" s="25"/>
      <c r="B139" s="20" t="s">
        <v>631</v>
      </c>
      <c r="C139" s="21"/>
      <c r="D139" s="25"/>
      <c r="E139" s="4" t="str">
        <f>IF(ISNUMBER('FBPQ C2'!J131),'FBPQ C2'!J131,IF(ISNUMBER('FBPQ C2'!I131),'FBPQ C2'!I131,""))</f>
        <v/>
      </c>
      <c r="F139" s="29"/>
      <c r="G139" s="29">
        <f t="shared" si="6"/>
        <v>0</v>
      </c>
      <c r="H139" s="21" t="str">
        <f>IF(ISBLANK('FBPQ T4'!E131)," ",'FBPQ T4'!AE131)</f>
        <v xml:space="preserve"> </v>
      </c>
      <c r="I139" s="21" t="str">
        <f t="shared" si="7"/>
        <v xml:space="preserve"> </v>
      </c>
    </row>
    <row r="140" spans="1:9">
      <c r="A140" s="25"/>
      <c r="B140" s="20"/>
      <c r="C140" s="21" t="s">
        <v>669</v>
      </c>
      <c r="D140" s="25" t="s">
        <v>738</v>
      </c>
      <c r="E140" s="4">
        <f>IF(ISNUMBER('FBPQ C2'!J132),'FBPQ C2'!J132,IF(ISNUMBER('FBPQ C2'!I132),'FBPQ C2'!I132,""))</f>
        <v>146.88</v>
      </c>
      <c r="F140" s="29" t="s">
        <v>217</v>
      </c>
      <c r="G140" s="29">
        <f t="shared" si="6"/>
        <v>146.88</v>
      </c>
      <c r="H140" s="21">
        <f>IF(ISBLANK('FBPQ T4'!E132)," ",'FBPQ T4'!AE132)</f>
        <v>222</v>
      </c>
      <c r="I140" s="21">
        <f t="shared" si="7"/>
        <v>32607.360000000001</v>
      </c>
    </row>
    <row r="141" spans="1:9">
      <c r="A141" s="25"/>
      <c r="B141" s="20"/>
      <c r="C141" s="21" t="s">
        <v>670</v>
      </c>
      <c r="D141" s="25" t="s">
        <v>738</v>
      </c>
      <c r="E141" s="4" t="str">
        <f>IF(ISNUMBER('FBPQ C2'!J133),'FBPQ C2'!J133,IF(ISNUMBER('FBPQ C2'!I133),'FBPQ C2'!I133,""))</f>
        <v/>
      </c>
      <c r="F141" s="29" t="s">
        <v>217</v>
      </c>
      <c r="G141" s="29" t="str">
        <f t="shared" si="6"/>
        <v>DATA</v>
      </c>
      <c r="H141" s="21">
        <f>IF(ISBLANK('FBPQ T4'!E133)," ",'FBPQ T4'!AE133)</f>
        <v>727</v>
      </c>
      <c r="I141" s="21" t="str">
        <f t="shared" si="7"/>
        <v xml:space="preserve"> </v>
      </c>
    </row>
    <row r="142" spans="1:9">
      <c r="A142" s="25"/>
      <c r="B142" s="20"/>
      <c r="C142" s="21"/>
      <c r="D142" s="25"/>
      <c r="E142" s="4" t="str">
        <f>IF(ISNUMBER('FBPQ C2'!J134),'FBPQ C2'!J134,IF(ISNUMBER('FBPQ C2'!I134),'FBPQ C2'!I134,""))</f>
        <v/>
      </c>
      <c r="F142" s="29"/>
      <c r="G142" s="29">
        <f t="shared" si="6"/>
        <v>0</v>
      </c>
      <c r="H142" s="21" t="str">
        <f>IF(ISBLANK('FBPQ T4'!E134)," ",'FBPQ T4'!AE134)</f>
        <v xml:space="preserve"> </v>
      </c>
      <c r="I142" s="21" t="str">
        <f t="shared" si="7"/>
        <v xml:space="preserve"> </v>
      </c>
    </row>
    <row r="143" spans="1:9">
      <c r="A143" s="25"/>
      <c r="B143" s="20" t="s">
        <v>506</v>
      </c>
      <c r="C143" s="21"/>
      <c r="D143" s="25"/>
      <c r="E143" s="4" t="str">
        <f>IF(ISNUMBER('FBPQ C2'!J135),'FBPQ C2'!J135,IF(ISNUMBER('FBPQ C2'!I135),'FBPQ C2'!I135,""))</f>
        <v/>
      </c>
      <c r="F143" s="29"/>
      <c r="G143" s="29">
        <f t="shared" si="6"/>
        <v>0</v>
      </c>
      <c r="H143" s="21" t="str">
        <f>IF(ISBLANK('FBPQ T4'!E135)," ",'FBPQ T4'!AE135)</f>
        <v xml:space="preserve"> </v>
      </c>
      <c r="I143" s="21" t="str">
        <f t="shared" si="7"/>
        <v xml:space="preserve"> </v>
      </c>
    </row>
    <row r="144" spans="1:9">
      <c r="A144" s="25"/>
      <c r="B144" s="20"/>
      <c r="C144" s="21" t="s">
        <v>671</v>
      </c>
      <c r="D144" s="25" t="s">
        <v>738</v>
      </c>
      <c r="E144" s="4">
        <f>IF(ISNUMBER('FBPQ C2'!J136),'FBPQ C2'!J136,IF(ISNUMBER('FBPQ C2'!I136),'FBPQ C2'!I136,""))</f>
        <v>1139.95</v>
      </c>
      <c r="F144" s="29" t="s">
        <v>217</v>
      </c>
      <c r="G144" s="29">
        <f t="shared" si="6"/>
        <v>1139.95</v>
      </c>
      <c r="H144" s="21">
        <f>IF(ISBLANK('FBPQ T4'!E136)," ",'FBPQ T4'!AE136)</f>
        <v>131</v>
      </c>
      <c r="I144" s="21">
        <f t="shared" si="7"/>
        <v>149333.45000000001</v>
      </c>
    </row>
    <row r="145" spans="1:9">
      <c r="A145" s="25"/>
      <c r="B145" s="20"/>
      <c r="C145" s="21" t="s">
        <v>672</v>
      </c>
      <c r="D145" s="25" t="s">
        <v>738</v>
      </c>
      <c r="E145" s="4" t="str">
        <f>IF(ISNUMBER('FBPQ C2'!J137),'FBPQ C2'!J137,IF(ISNUMBER('FBPQ C2'!I137),'FBPQ C2'!I137,""))</f>
        <v/>
      </c>
      <c r="F145" s="29" t="s">
        <v>217</v>
      </c>
      <c r="G145" s="29" t="str">
        <f t="shared" si="6"/>
        <v>DATA</v>
      </c>
      <c r="H145" s="21">
        <f>IF(ISBLANK('FBPQ T4'!E137)," ",'FBPQ T4'!AE137)</f>
        <v>140</v>
      </c>
      <c r="I145" s="21" t="str">
        <f t="shared" si="7"/>
        <v xml:space="preserve"> </v>
      </c>
    </row>
    <row r="146" spans="1:9">
      <c r="A146" s="25"/>
      <c r="B146" s="20"/>
      <c r="C146" s="21"/>
      <c r="D146" s="25"/>
      <c r="E146" s="4" t="str">
        <f>IF(ISNUMBER('FBPQ C2'!J138),'FBPQ C2'!J138,IF(ISNUMBER('FBPQ C2'!I138),'FBPQ C2'!I138,""))</f>
        <v/>
      </c>
      <c r="F146" s="29"/>
      <c r="G146" s="29">
        <f t="shared" si="6"/>
        <v>0</v>
      </c>
      <c r="H146" s="21" t="str">
        <f>IF(ISBLANK('FBPQ T4'!E138)," ",'FBPQ T4'!AE138)</f>
        <v xml:space="preserve"> </v>
      </c>
      <c r="I146" s="21" t="str">
        <f t="shared" si="7"/>
        <v xml:space="preserve"> </v>
      </c>
    </row>
    <row r="147" spans="1:9">
      <c r="A147" s="25" t="s">
        <v>677</v>
      </c>
      <c r="B147" s="20"/>
      <c r="C147" s="21"/>
      <c r="D147" s="25"/>
      <c r="E147" s="4" t="str">
        <f>IF(ISNUMBER('FBPQ C2'!J139),'FBPQ C2'!J139,IF(ISNUMBER('FBPQ C2'!I139),'FBPQ C2'!I139,""))</f>
        <v/>
      </c>
      <c r="F147" s="29"/>
      <c r="G147" s="29">
        <f t="shared" si="6"/>
        <v>0</v>
      </c>
      <c r="H147" s="21" t="str">
        <f>IF(ISBLANK('FBPQ T4'!E139)," ",'FBPQ T4'!AE139)</f>
        <v xml:space="preserve"> </v>
      </c>
      <c r="I147" s="21" t="str">
        <f t="shared" si="7"/>
        <v xml:space="preserve"> </v>
      </c>
    </row>
    <row r="148" spans="1:9">
      <c r="A148" s="25"/>
      <c r="B148" s="20" t="s">
        <v>678</v>
      </c>
      <c r="C148" s="21"/>
      <c r="D148" s="25"/>
      <c r="E148" s="4" t="str">
        <f>IF(ISNUMBER('FBPQ C2'!J140),'FBPQ C2'!J140,IF(ISNUMBER('FBPQ C2'!I140),'FBPQ C2'!I140,""))</f>
        <v/>
      </c>
      <c r="F148" s="29"/>
      <c r="G148" s="29">
        <f t="shared" ref="G148:G163" si="8">IF(ISNUMBER(E148),E148,IF(H148&gt;0,F148," "))</f>
        <v>0</v>
      </c>
      <c r="H148" s="21" t="str">
        <f>IF(ISBLANK('FBPQ T4'!E140)," ",'FBPQ T4'!AE140)</f>
        <v xml:space="preserve"> </v>
      </c>
      <c r="I148" s="21" t="str">
        <f t="shared" ref="I148:I163" si="9">IF(ISERROR(G148*H148)," ",G148*H148)</f>
        <v xml:space="preserve"> </v>
      </c>
    </row>
    <row r="149" spans="1:9">
      <c r="A149" s="25"/>
      <c r="B149" s="20"/>
      <c r="C149" s="21" t="s">
        <v>679</v>
      </c>
      <c r="D149" s="25" t="s">
        <v>738</v>
      </c>
      <c r="E149" s="4" t="str">
        <f>IF(ISNUMBER('FBPQ C2'!J141),'FBPQ C2'!J141,IF(ISNUMBER('FBPQ C2'!I141),'FBPQ C2'!I141,""))</f>
        <v/>
      </c>
      <c r="F149" s="29" t="s">
        <v>217</v>
      </c>
      <c r="G149" s="29" t="str">
        <f t="shared" si="8"/>
        <v>DATA</v>
      </c>
      <c r="H149" s="21">
        <f>IF(ISBLANK('FBPQ T4'!E141)," ",'FBPQ T4'!AE141)</f>
        <v>1</v>
      </c>
      <c r="I149" s="21" t="str">
        <f t="shared" si="9"/>
        <v xml:space="preserve"> </v>
      </c>
    </row>
    <row r="150" spans="1:9">
      <c r="A150" s="25"/>
      <c r="B150" s="20"/>
      <c r="C150" s="21" t="s">
        <v>848</v>
      </c>
      <c r="D150" s="25" t="s">
        <v>738</v>
      </c>
      <c r="E150" s="4" t="str">
        <f>IF(ISNUMBER('FBPQ C2'!J142),'FBPQ C2'!J142,IF(ISNUMBER('FBPQ C2'!I142),'FBPQ C2'!I142,""))</f>
        <v/>
      </c>
      <c r="F150" s="29" t="s">
        <v>217</v>
      </c>
      <c r="G150" s="29" t="str">
        <f t="shared" si="8"/>
        <v>DATA</v>
      </c>
      <c r="H150" s="21">
        <f>IF(ISBLANK('FBPQ T4'!E142)," ",'FBPQ T4'!AE142)</f>
        <v>272</v>
      </c>
      <c r="I150" s="21" t="str">
        <f t="shared" si="9"/>
        <v xml:space="preserve"> </v>
      </c>
    </row>
    <row r="151" spans="1:9">
      <c r="A151" s="25"/>
      <c r="B151" s="20"/>
      <c r="C151" s="21"/>
      <c r="D151" s="25"/>
      <c r="E151" s="4" t="str">
        <f>IF(ISNUMBER('FBPQ C2'!J143),'FBPQ C2'!J143,IF(ISNUMBER('FBPQ C2'!I143),'FBPQ C2'!I143,""))</f>
        <v/>
      </c>
      <c r="F151" s="29"/>
      <c r="G151" s="29">
        <f t="shared" si="8"/>
        <v>0</v>
      </c>
      <c r="H151" s="21" t="str">
        <f>IF(ISBLANK('FBPQ T4'!E143)," ",'FBPQ T4'!AE143)</f>
        <v xml:space="preserve"> </v>
      </c>
      <c r="I151" s="21" t="str">
        <f t="shared" si="9"/>
        <v xml:space="preserve"> </v>
      </c>
    </row>
    <row r="152" spans="1:9">
      <c r="A152" s="25"/>
      <c r="B152" s="20" t="s">
        <v>849</v>
      </c>
      <c r="C152" s="21"/>
      <c r="D152" s="25"/>
      <c r="E152" s="4" t="str">
        <f>IF(ISNUMBER('FBPQ C2'!J144),'FBPQ C2'!J144,IF(ISNUMBER('FBPQ C2'!I144),'FBPQ C2'!I144,""))</f>
        <v/>
      </c>
      <c r="F152" s="29"/>
      <c r="G152" s="29">
        <f t="shared" si="8"/>
        <v>0</v>
      </c>
      <c r="H152" s="21" t="str">
        <f>IF(ISBLANK('FBPQ T4'!E144)," ",'FBPQ T4'!AE144)</f>
        <v xml:space="preserve"> </v>
      </c>
      <c r="I152" s="21" t="str">
        <f t="shared" si="9"/>
        <v xml:space="preserve"> </v>
      </c>
    </row>
    <row r="153" spans="1:9">
      <c r="A153" s="25"/>
      <c r="B153" s="20"/>
      <c r="C153" s="21" t="s">
        <v>681</v>
      </c>
      <c r="D153" s="25" t="s">
        <v>738</v>
      </c>
      <c r="E153" s="4" t="str">
        <f>IF(ISNUMBER('FBPQ C2'!J145),'FBPQ C2'!J145,IF(ISNUMBER('FBPQ C2'!I145),'FBPQ C2'!I145,""))</f>
        <v/>
      </c>
      <c r="F153" s="29" t="s">
        <v>217</v>
      </c>
      <c r="G153" s="29" t="str">
        <f t="shared" si="8"/>
        <v>DATA</v>
      </c>
      <c r="H153" s="21">
        <f>IF(ISBLANK('FBPQ T4'!E145)," ",'FBPQ T4'!AE145)</f>
        <v>1246</v>
      </c>
      <c r="I153" s="21" t="str">
        <f t="shared" si="9"/>
        <v xml:space="preserve"> </v>
      </c>
    </row>
    <row r="154" spans="1:9">
      <c r="A154" s="25"/>
      <c r="B154" s="20"/>
      <c r="C154" s="21" t="s">
        <v>682</v>
      </c>
      <c r="D154" s="25" t="s">
        <v>738</v>
      </c>
      <c r="E154" s="4" t="str">
        <f>IF(ISNUMBER('FBPQ C2'!J146),'FBPQ C2'!J146,IF(ISNUMBER('FBPQ C2'!I146),'FBPQ C2'!I146,""))</f>
        <v/>
      </c>
      <c r="F154" s="29" t="s">
        <v>217</v>
      </c>
      <c r="G154" s="29" t="str">
        <f t="shared" si="8"/>
        <v>DATA</v>
      </c>
      <c r="H154" s="21">
        <f>IF(ISBLANK('FBPQ T4'!E146)," ",'FBPQ T4'!AE146)</f>
        <v>143</v>
      </c>
      <c r="I154" s="21" t="str">
        <f t="shared" si="9"/>
        <v xml:space="preserve"> </v>
      </c>
    </row>
    <row r="155" spans="1:9">
      <c r="A155" s="25"/>
      <c r="B155" s="20"/>
      <c r="C155" s="21"/>
      <c r="D155" s="25"/>
      <c r="E155" s="4" t="str">
        <f>IF(ISNUMBER('FBPQ C2'!J147),'FBPQ C2'!J147,IF(ISNUMBER('FBPQ C2'!I147),'FBPQ C2'!I147,""))</f>
        <v/>
      </c>
      <c r="F155" s="29"/>
      <c r="G155" s="29">
        <f t="shared" si="8"/>
        <v>0</v>
      </c>
      <c r="H155" s="21" t="str">
        <f>IF(ISBLANK('FBPQ T4'!E147)," ",'FBPQ T4'!AE147)</f>
        <v xml:space="preserve"> </v>
      </c>
      <c r="I155" s="21" t="str">
        <f t="shared" si="9"/>
        <v xml:space="preserve"> </v>
      </c>
    </row>
    <row r="156" spans="1:9">
      <c r="A156" s="25"/>
      <c r="B156" s="20"/>
      <c r="C156" s="21"/>
      <c r="D156" s="25"/>
      <c r="E156" s="4" t="str">
        <f>IF(ISNUMBER('FBPQ C2'!J148),'FBPQ C2'!J148,IF(ISNUMBER('FBPQ C2'!I148),'FBPQ C2'!I148,""))</f>
        <v/>
      </c>
      <c r="F156" s="29"/>
      <c r="G156" s="29">
        <f t="shared" si="8"/>
        <v>0</v>
      </c>
      <c r="H156" s="21" t="str">
        <f>IF(ISBLANK('FBPQ T4'!E148)," ",'FBPQ T4'!AE148)</f>
        <v xml:space="preserve"> </v>
      </c>
      <c r="I156" s="21" t="str">
        <f t="shared" si="9"/>
        <v xml:space="preserve"> </v>
      </c>
    </row>
    <row r="157" spans="1:9">
      <c r="A157" s="25" t="s">
        <v>683</v>
      </c>
      <c r="B157" s="20"/>
      <c r="C157" s="21"/>
      <c r="D157" s="25"/>
      <c r="E157" s="4" t="str">
        <f>IF(ISNUMBER('FBPQ C2'!J149),'FBPQ C2'!J149,IF(ISNUMBER('FBPQ C2'!I149),'FBPQ C2'!I149,""))</f>
        <v/>
      </c>
      <c r="F157" s="29"/>
      <c r="G157" s="29">
        <f t="shared" si="8"/>
        <v>0</v>
      </c>
      <c r="H157" s="21" t="str">
        <f>IF(ISBLANK('FBPQ T4'!E149)," ",'FBPQ T4'!AE149)</f>
        <v xml:space="preserve"> </v>
      </c>
      <c r="I157" s="21" t="str">
        <f t="shared" si="9"/>
        <v xml:space="preserve"> </v>
      </c>
    </row>
    <row r="158" spans="1:9">
      <c r="A158" s="25"/>
      <c r="B158" s="20"/>
      <c r="C158" s="21" t="s">
        <v>80</v>
      </c>
      <c r="D158" s="25"/>
      <c r="E158" s="4" t="str">
        <f>IF(ISNUMBER('FBPQ C2'!J150),'FBPQ C2'!J150,IF(ISNUMBER('FBPQ C2'!I150),'FBPQ C2'!I150,""))</f>
        <v/>
      </c>
      <c r="F158" s="29"/>
      <c r="G158" s="29">
        <f t="shared" si="8"/>
        <v>0</v>
      </c>
      <c r="H158" s="21" t="str">
        <f>IF(ISBLANK('FBPQ T4'!E150)," ",'FBPQ T4'!AE150)</f>
        <v xml:space="preserve"> </v>
      </c>
      <c r="I158" s="21" t="str">
        <f t="shared" si="9"/>
        <v xml:space="preserve"> </v>
      </c>
    </row>
    <row r="159" spans="1:9">
      <c r="A159" s="25"/>
      <c r="B159" s="20"/>
      <c r="C159" s="21" t="s">
        <v>684</v>
      </c>
      <c r="D159" s="25" t="s">
        <v>738</v>
      </c>
      <c r="E159" s="4">
        <f>IF(ISNUMBER('FBPQ C2'!J151),'FBPQ C2'!J151,IF(ISNUMBER('FBPQ C2'!I151),'FBPQ C2'!I151,""))</f>
        <v>24.52</v>
      </c>
      <c r="F159" s="29" t="s">
        <v>217</v>
      </c>
      <c r="G159" s="29">
        <f t="shared" si="8"/>
        <v>24.52</v>
      </c>
      <c r="H159" s="21" t="str">
        <f>IF(ISBLANK('FBPQ T4'!E151)," ",'FBPQ T4'!AE151)</f>
        <v xml:space="preserve"> </v>
      </c>
      <c r="I159" s="21" t="str">
        <f t="shared" si="9"/>
        <v xml:space="preserve"> </v>
      </c>
    </row>
    <row r="160" spans="1:9">
      <c r="A160" s="25"/>
      <c r="B160" s="20"/>
      <c r="C160" s="21" t="s">
        <v>685</v>
      </c>
      <c r="D160" s="25" t="s">
        <v>738</v>
      </c>
      <c r="E160" s="4">
        <f>IF(ISNUMBER('FBPQ C2'!J152),'FBPQ C2'!J152,IF(ISNUMBER('FBPQ C2'!I152),'FBPQ C2'!I152,""))</f>
        <v>24.52</v>
      </c>
      <c r="F160" s="29" t="s">
        <v>217</v>
      </c>
      <c r="G160" s="29">
        <f t="shared" si="8"/>
        <v>24.52</v>
      </c>
      <c r="H160" s="21" t="str">
        <f>IF(ISBLANK('FBPQ T4'!E152)," ",'FBPQ T4'!AE152)</f>
        <v xml:space="preserve"> </v>
      </c>
      <c r="I160" s="21" t="str">
        <f t="shared" si="9"/>
        <v xml:space="preserve"> </v>
      </c>
    </row>
    <row r="161" spans="1:9">
      <c r="A161" s="25"/>
      <c r="B161" s="20"/>
      <c r="C161" s="21" t="s">
        <v>497</v>
      </c>
      <c r="D161" s="25"/>
      <c r="E161" s="4" t="str">
        <f>IF(ISNUMBER('FBPQ C2'!J153),'FBPQ C2'!J153,IF(ISNUMBER('FBPQ C2'!I153),'FBPQ C2'!I153,""))</f>
        <v/>
      </c>
      <c r="F161" s="29" t="s">
        <v>217</v>
      </c>
      <c r="G161" s="29" t="str">
        <f t="shared" si="8"/>
        <v>DATA</v>
      </c>
      <c r="H161" s="21" t="str">
        <f>IF(ISBLANK('FBPQ T4'!E153)," ",'FBPQ T4'!AE153)</f>
        <v xml:space="preserve"> </v>
      </c>
      <c r="I161" s="21" t="str">
        <f t="shared" si="9"/>
        <v xml:space="preserve"> </v>
      </c>
    </row>
    <row r="162" spans="1:9">
      <c r="A162" s="25"/>
      <c r="B162" s="20"/>
      <c r="C162" s="21" t="s">
        <v>684</v>
      </c>
      <c r="D162" s="25" t="s">
        <v>738</v>
      </c>
      <c r="E162" s="4" t="str">
        <f>IF(ISNUMBER('FBPQ C2'!J154),'FBPQ C2'!J154,IF(ISNUMBER('FBPQ C2'!I154),'FBPQ C2'!I154,""))</f>
        <v/>
      </c>
      <c r="F162" s="29" t="s">
        <v>217</v>
      </c>
      <c r="G162" s="29" t="str">
        <f t="shared" si="8"/>
        <v>DATA</v>
      </c>
      <c r="H162" s="21" t="str">
        <f>IF(ISBLANK('FBPQ T4'!E154)," ",'FBPQ T4'!AE154)</f>
        <v xml:space="preserve"> </v>
      </c>
      <c r="I162" s="21" t="str">
        <f t="shared" si="9"/>
        <v xml:space="preserve"> </v>
      </c>
    </row>
    <row r="163" spans="1:9">
      <c r="A163" s="24"/>
      <c r="B163" s="22"/>
      <c r="C163" s="23" t="s">
        <v>685</v>
      </c>
      <c r="D163" s="24" t="s">
        <v>738</v>
      </c>
      <c r="E163" s="5" t="str">
        <f>IF(ISNUMBER('FBPQ C2'!J155),'FBPQ C2'!J155,IF(ISNUMBER('FBPQ C2'!I155),'FBPQ C2'!I155,""))</f>
        <v/>
      </c>
      <c r="F163" s="30" t="s">
        <v>217</v>
      </c>
      <c r="G163" s="30" t="str">
        <f t="shared" si="8"/>
        <v>DATA</v>
      </c>
      <c r="H163" s="24" t="str">
        <f>IF(ISBLANK('FBPQ T4'!E155)," ",'FBPQ T4'!AE155)</f>
        <v xml:space="preserve"> </v>
      </c>
      <c r="I163" s="24" t="str">
        <f t="shared" si="9"/>
        <v xml:space="preserve"> </v>
      </c>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enableFormatConditionsCalculation="0">
    <tabColor theme="3" tint="0.79998168889431442"/>
    <pageSetUpPr fitToPage="1"/>
  </sheetPr>
  <dimension ref="A1:M36"/>
  <sheetViews>
    <sheetView showGridLines="0" workbookViewId="0">
      <pane ySplit="1" topLeftCell="A8" activePane="bottomLeft" state="frozenSplit"/>
      <selection pane="bottomLeft" activeCell="C30" sqref="C30:L30"/>
    </sheetView>
  </sheetViews>
  <sheetFormatPr defaultColWidth="18.28515625" defaultRowHeight="15"/>
  <cols>
    <col min="1" max="1" width="49" style="1263" customWidth="1"/>
    <col min="2" max="16384" width="18.28515625" style="1263"/>
  </cols>
  <sheetData>
    <row r="1" spans="1:7" ht="19.5">
      <c r="A1" s="1261" t="str">
        <f>"Inputs for Method M ("&amp;'Calc-Net capex'!B5&amp;") for "&amp;Inputs!B6&amp;" in "&amp;Inputs!C6&amp;"  Status: "&amp;Inputs!D6&amp;""</f>
        <v>Inputs for Method M (LR1) for WPD South Wales in 2015/16  Status: 2014/15</v>
      </c>
    </row>
    <row r="2" spans="1:7">
      <c r="C2" s="1262"/>
    </row>
    <row r="3" spans="1:7" ht="17.25">
      <c r="A3" s="1264" t="s">
        <v>915</v>
      </c>
      <c r="B3" s="1265"/>
      <c r="C3" s="1262"/>
    </row>
    <row r="4" spans="1:7" ht="17.25">
      <c r="A4" s="1264"/>
      <c r="B4" s="1265"/>
      <c r="C4" s="1262"/>
    </row>
    <row r="5" spans="1:7">
      <c r="B5" s="1267" t="s">
        <v>920</v>
      </c>
      <c r="C5" s="1267" t="s">
        <v>921</v>
      </c>
      <c r="D5" s="1267" t="s">
        <v>922</v>
      </c>
    </row>
    <row r="6" spans="1:7" ht="17.25" customHeight="1">
      <c r="A6" s="1267" t="s">
        <v>915</v>
      </c>
      <c r="B6" s="1268" t="s">
        <v>1017</v>
      </c>
      <c r="C6" s="1268" t="s">
        <v>1018</v>
      </c>
      <c r="D6" s="1268" t="s">
        <v>139</v>
      </c>
    </row>
    <row r="7" spans="1:7">
      <c r="C7" s="1262"/>
    </row>
    <row r="8" spans="1:7" ht="17.25">
      <c r="A8" s="1264" t="s">
        <v>916</v>
      </c>
      <c r="B8" s="1265"/>
    </row>
    <row r="9" spans="1:7">
      <c r="A9" s="1263" t="s">
        <v>919</v>
      </c>
    </row>
    <row r="11" spans="1:7">
      <c r="B11" s="1266" t="s">
        <v>924</v>
      </c>
    </row>
    <row r="12" spans="1:7" ht="17.25" customHeight="1">
      <c r="A12" s="1267" t="s">
        <v>161</v>
      </c>
      <c r="B12" s="1307">
        <v>0.18440000000000001</v>
      </c>
    </row>
    <row r="13" spans="1:7" ht="17.25" customHeight="1">
      <c r="A13" s="1267" t="s">
        <v>328</v>
      </c>
      <c r="B13" s="1307">
        <v>0.55000000000000004</v>
      </c>
    </row>
    <row r="16" spans="1:7" ht="17.25">
      <c r="A16" s="1264" t="s">
        <v>923</v>
      </c>
      <c r="B16" s="1265"/>
      <c r="D16" s="1269"/>
      <c r="E16" s="1270"/>
      <c r="F16" s="1271"/>
      <c r="G16" s="1271"/>
    </row>
    <row r="17" spans="1:13">
      <c r="A17" s="891" t="s">
        <v>890</v>
      </c>
      <c r="B17" s="891"/>
    </row>
    <row r="18" spans="1:13">
      <c r="A18" s="891" t="s">
        <v>1014</v>
      </c>
      <c r="B18" s="891"/>
    </row>
    <row r="19" spans="1:13">
      <c r="A19" s="891" t="s">
        <v>1015</v>
      </c>
      <c r="B19" s="891"/>
    </row>
    <row r="20" spans="1:13" s="1273" customFormat="1" ht="32.25" customHeight="1">
      <c r="A20" s="1274">
        <v>1</v>
      </c>
      <c r="B20" s="1275"/>
      <c r="C20" s="1275"/>
    </row>
    <row r="22" spans="1:13" ht="17.25">
      <c r="A22" s="1264" t="s">
        <v>948</v>
      </c>
    </row>
    <row r="23" spans="1:13" ht="17.25">
      <c r="A23" s="1264"/>
    </row>
    <row r="24" spans="1:13">
      <c r="A24" s="1265"/>
      <c r="B24" s="1267" t="s">
        <v>917</v>
      </c>
    </row>
    <row r="25" spans="1:13">
      <c r="A25" s="1267" t="s">
        <v>917</v>
      </c>
      <c r="B25" s="1276">
        <v>5.5449999999999999E-2</v>
      </c>
    </row>
    <row r="27" spans="1:13" customFormat="1" ht="17.25">
      <c r="A27" s="1264" t="s">
        <v>976</v>
      </c>
    </row>
    <row r="28" spans="1:13" customFormat="1" ht="12.75"/>
    <row r="29" spans="1:13" customFormat="1">
      <c r="B29" s="1292" t="s">
        <v>965</v>
      </c>
      <c r="C29" s="1292" t="s">
        <v>966</v>
      </c>
      <c r="D29" s="1292" t="s">
        <v>967</v>
      </c>
      <c r="E29" s="1292" t="s">
        <v>968</v>
      </c>
      <c r="F29" s="1292" t="s">
        <v>969</v>
      </c>
      <c r="G29" s="1292" t="s">
        <v>970</v>
      </c>
      <c r="H29" s="1292" t="s">
        <v>971</v>
      </c>
      <c r="I29" s="1292" t="s">
        <v>405</v>
      </c>
      <c r="J29" s="1292" t="s">
        <v>972</v>
      </c>
      <c r="K29" s="1292" t="s">
        <v>973</v>
      </c>
      <c r="L29" s="1292" t="s">
        <v>974</v>
      </c>
    </row>
    <row r="30" spans="1:13" customFormat="1" ht="30">
      <c r="A30" s="1293" t="s">
        <v>975</v>
      </c>
      <c r="B30" s="1294"/>
      <c r="C30" s="1294">
        <v>447091915.3457557</v>
      </c>
      <c r="D30" s="1294">
        <v>40883001.117943913</v>
      </c>
      <c r="E30" s="1294">
        <v>147301243.45922673</v>
      </c>
      <c r="F30" s="1294">
        <v>114709564.95317811</v>
      </c>
      <c r="G30" s="1294">
        <v>37946896.145910218</v>
      </c>
      <c r="H30" s="1294">
        <v>614819332.49321961</v>
      </c>
      <c r="I30" s="1294">
        <v>181513436.79762885</v>
      </c>
      <c r="J30" s="1294">
        <v>350927184.13190949</v>
      </c>
      <c r="K30" s="1294">
        <v>335647915.13352001</v>
      </c>
      <c r="L30" s="1294">
        <v>5717975.0838783169</v>
      </c>
      <c r="M30" s="1295"/>
    </row>
    <row r="31" spans="1:13" customFormat="1" ht="12.75"/>
    <row r="32" spans="1:13" customFormat="1" ht="17.25">
      <c r="A32" s="1264" t="s">
        <v>978</v>
      </c>
    </row>
    <row r="33" spans="1:3" customFormat="1" ht="12.75"/>
    <row r="34" spans="1:3" customFormat="1" ht="30">
      <c r="B34" s="1292" t="s">
        <v>977</v>
      </c>
    </row>
    <row r="35" spans="1:3" customFormat="1">
      <c r="A35" s="1293" t="s">
        <v>977</v>
      </c>
      <c r="B35" s="1294">
        <v>151382220.85402346</v>
      </c>
      <c r="C35" s="1295"/>
    </row>
    <row r="36" spans="1:3" customFormat="1" ht="12.75"/>
  </sheetData>
  <sheetProtection sheet="1" objects="1" scenarios="1"/>
  <phoneticPr fontId="2"/>
  <dataValidations count="1">
    <dataValidation type="decimal" operator="greaterThanOrEqual" allowBlank="1" showInputMessage="1" showErrorMessage="1" sqref="B30:L30 B35">
      <formula1>0</formula1>
    </dataValidation>
  </dataValidations>
  <pageMargins left="0.74803149606299213" right="0.74803149606299213" top="0.98425196850393704" bottom="0.98425196850393704" header="0.51181102362204722" footer="0.51181102362204722"/>
  <pageSetup paperSize="9" scale="49" orientation="landscape" r:id="rId1"/>
  <headerFooter alignWithMargins="0">
    <oddFooter>&amp;L&amp;Z&amp;F&amp;A&amp;R&amp;D</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8" r:id="rId4" name="Option Button 10">
              <controlPr defaultSize="0" autoFill="0" autoLine="0" autoPict="0">
                <anchor moveWithCells="1">
                  <from>
                    <xdr:col>1</xdr:col>
                    <xdr:colOff>314325</xdr:colOff>
                    <xdr:row>19</xdr:row>
                    <xdr:rowOff>47625</xdr:rowOff>
                  </from>
                  <to>
                    <xdr:col>1</xdr:col>
                    <xdr:colOff>1095375</xdr:colOff>
                    <xdr:row>19</xdr:row>
                    <xdr:rowOff>381000</xdr:rowOff>
                  </to>
                </anchor>
              </controlPr>
            </control>
          </mc:Choice>
        </mc:AlternateContent>
        <mc:AlternateContent xmlns:mc="http://schemas.openxmlformats.org/markup-compatibility/2006">
          <mc:Choice Requires="x14">
            <control shapeId="2059" r:id="rId5" name="Option Button 11">
              <controlPr defaultSize="0" autoFill="0" autoLine="0" autoPict="0">
                <anchor moveWithCells="1">
                  <from>
                    <xdr:col>2</xdr:col>
                    <xdr:colOff>28575</xdr:colOff>
                    <xdr:row>19</xdr:row>
                    <xdr:rowOff>47625</xdr:rowOff>
                  </from>
                  <to>
                    <xdr:col>3</xdr:col>
                    <xdr:colOff>0</xdr:colOff>
                    <xdr:row>19</xdr:row>
                    <xdr:rowOff>381000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enableFormatConditionsCalculation="0">
    <tabColor rgb="FFFFFF00"/>
  </sheetPr>
  <dimension ref="A1:O13"/>
  <sheetViews>
    <sheetView showGridLines="0" workbookViewId="0"/>
  </sheetViews>
  <sheetFormatPr defaultColWidth="8.85546875" defaultRowHeight="12.75"/>
  <cols>
    <col min="1" max="1" width="21.7109375" customWidth="1"/>
    <col min="2" max="2" width="9.85546875" customWidth="1"/>
    <col min="3" max="3" width="31.140625" customWidth="1"/>
    <col min="4" max="4" width="8.85546875" customWidth="1"/>
    <col min="5" max="7" width="20.42578125" customWidth="1"/>
    <col min="8" max="9" width="21.85546875" customWidth="1"/>
    <col min="10" max="11" width="20.42578125" style="31" customWidth="1"/>
    <col min="12" max="12" width="21.85546875" style="31" customWidth="1"/>
    <col min="13" max="14" width="9.140625" style="31" customWidth="1"/>
    <col min="15" max="15" width="20.42578125" style="31" customWidth="1"/>
    <col min="16" max="16" width="20.42578125" customWidth="1"/>
    <col min="17" max="17" width="21.85546875" customWidth="1"/>
  </cols>
  <sheetData>
    <row r="1" spans="1:15" s="1263" customFormat="1" ht="19.5">
      <c r="A1" s="1261" t="str">
        <f>"Calc-MEAV for Method M ("&amp;'Calc-Net capex'!B5&amp;") for "&amp;Inputs!B6&amp;" in "&amp;Inputs!C6&amp;"  Status: "&amp;Inputs!D6&amp;""</f>
        <v>Calc-MEAV for Method M (LR1) for WPD South Wales in 2015/16  Status: 2014/15</v>
      </c>
    </row>
    <row r="2" spans="1:15">
      <c r="J2"/>
      <c r="K2"/>
      <c r="L2"/>
      <c r="M2"/>
      <c r="N2"/>
      <c r="O2"/>
    </row>
    <row r="3" spans="1:15" s="852" customFormat="1" ht="26.25" customHeight="1">
      <c r="F3" s="2179" t="s">
        <v>372</v>
      </c>
      <c r="G3" s="2180"/>
      <c r="H3" s="2181"/>
    </row>
    <row r="4" spans="1:15" s="852" customFormat="1" ht="27.75" customHeight="1">
      <c r="F4" s="2182" t="s">
        <v>218</v>
      </c>
      <c r="G4" s="2183"/>
      <c r="H4" s="2184"/>
    </row>
    <row r="5" spans="1:15">
      <c r="F5" s="9"/>
      <c r="G5" s="10" t="s">
        <v>14</v>
      </c>
      <c r="H5" s="26" t="s">
        <v>402</v>
      </c>
      <c r="J5"/>
      <c r="K5"/>
      <c r="L5"/>
      <c r="M5"/>
      <c r="N5"/>
      <c r="O5"/>
    </row>
    <row r="6" spans="1:15">
      <c r="F6" s="4" t="s">
        <v>239</v>
      </c>
      <c r="G6" s="35">
        <f>SUM('Data-MEAV'!I20:I39)</f>
        <v>1763568.7248</v>
      </c>
      <c r="H6" s="880">
        <f>G6/$G$11</f>
        <v>0.44896611259258357</v>
      </c>
      <c r="J6"/>
      <c r="K6"/>
      <c r="L6"/>
      <c r="M6"/>
      <c r="N6"/>
      <c r="O6"/>
    </row>
    <row r="7" spans="1:15">
      <c r="F7" s="4" t="s">
        <v>373</v>
      </c>
      <c r="G7" s="36">
        <f>SUM('Data-MEAV'!I62:I63)+SUM('Data-MEAV'!I69:I70)+SUM('Data-MEAV'!I75:I78)</f>
        <v>277374.21999999997</v>
      </c>
      <c r="H7" s="881">
        <f>G7/$G$11</f>
        <v>7.0613423528999547E-2</v>
      </c>
      <c r="J7"/>
      <c r="K7"/>
      <c r="L7"/>
      <c r="M7"/>
      <c r="N7"/>
      <c r="O7"/>
    </row>
    <row r="8" spans="1:15">
      <c r="F8" s="4" t="s">
        <v>238</v>
      </c>
      <c r="G8" s="36">
        <f>SUM('Data-MEAV'!I42:I56)+SUM('Data-MEAV'!I59:I61)+SUM('Data-MEAV'!I64:I68)+SUM('Data-MEAV'!I71:I72)+SUM('Data-MEAV'!I158:I163)+SUM('Data-MEAV'!I153:I154)</f>
        <v>1133329.5619999999</v>
      </c>
      <c r="H8" s="881">
        <f>G8/$G$11</f>
        <v>0.28852097487445499</v>
      </c>
      <c r="J8"/>
      <c r="K8"/>
      <c r="L8"/>
      <c r="M8"/>
      <c r="N8"/>
      <c r="O8"/>
    </row>
    <row r="9" spans="1:15">
      <c r="F9" s="4" t="s">
        <v>244</v>
      </c>
      <c r="G9" s="36">
        <f>'Calc-Drivers'!E32*(SUM('Data-MEAV'!I81:I120)+SUM('Data-MEAV'!I149:I150))</f>
        <v>271576.94379008893</v>
      </c>
      <c r="H9" s="881">
        <f>G9/$G$11</f>
        <v>6.9137563514593589E-2</v>
      </c>
      <c r="I9" s="17"/>
      <c r="J9"/>
      <c r="K9"/>
      <c r="L9"/>
      <c r="M9"/>
      <c r="N9"/>
      <c r="O9"/>
    </row>
    <row r="10" spans="1:15">
      <c r="F10" s="5" t="s">
        <v>491</v>
      </c>
      <c r="G10" s="37">
        <f>'Calc-Drivers'!E32*SUM('Data-MEAV'!I121:I146)</f>
        <v>482217.00105402188</v>
      </c>
      <c r="H10" s="882">
        <f>G10/$G$11</f>
        <v>0.12276192548936836</v>
      </c>
      <c r="I10" s="17" t="s">
        <v>613</v>
      </c>
      <c r="J10"/>
      <c r="K10"/>
      <c r="L10"/>
      <c r="M10"/>
      <c r="N10"/>
      <c r="O10"/>
    </row>
    <row r="11" spans="1:15">
      <c r="F11" s="34" t="s">
        <v>245</v>
      </c>
      <c r="G11" s="38">
        <f>SUM(G6:G10)</f>
        <v>3928066.4516441105</v>
      </c>
      <c r="H11" s="39">
        <f>SUM(H6:H10)</f>
        <v>1</v>
      </c>
      <c r="I11" t="e">
        <f>IF(G11=#REF!,"OK", "error")</f>
        <v>#REF!</v>
      </c>
      <c r="J11"/>
      <c r="K11"/>
      <c r="L11"/>
      <c r="M11"/>
      <c r="N11"/>
      <c r="O11"/>
    </row>
    <row r="12" spans="1:15">
      <c r="J12"/>
      <c r="K12"/>
      <c r="L12"/>
      <c r="M12"/>
      <c r="N12"/>
      <c r="O12"/>
    </row>
    <row r="13" spans="1:15">
      <c r="J13"/>
      <c r="K13"/>
      <c r="L13"/>
      <c r="M13"/>
      <c r="N13"/>
      <c r="O13"/>
    </row>
  </sheetData>
  <sheetProtection sheet="1" objects="1" scenarios="1"/>
  <mergeCells count="2">
    <mergeCell ref="F3:H3"/>
    <mergeCell ref="F4:H4"/>
  </mergeCells>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enableFormatConditionsCalculation="0">
    <tabColor rgb="FFFFFF00"/>
  </sheetPr>
  <dimension ref="A1:F39"/>
  <sheetViews>
    <sheetView showGridLines="0" workbookViewId="0"/>
  </sheetViews>
  <sheetFormatPr defaultColWidth="8.85546875" defaultRowHeight="12.75"/>
  <cols>
    <col min="1" max="1" width="59.140625" customWidth="1"/>
    <col min="2" max="2" width="16" customWidth="1"/>
    <col min="3" max="6" width="19" customWidth="1"/>
  </cols>
  <sheetData>
    <row r="1" spans="1:6" s="1263" customFormat="1" ht="19.5">
      <c r="A1" s="1261" t="str">
        <f>"Calc-Units for Method M ("&amp;'Calc-Net capex'!B5&amp;") for "&amp;Inputs!B6&amp;" in "&amp;Inputs!C6&amp;"  Status: "&amp;Inputs!D6&amp;""</f>
        <v>Calc-Units for Method M (LR1) for WPD South Wales in 2015/16  Status: 2014/15</v>
      </c>
    </row>
    <row r="3" spans="1:6" ht="15.75">
      <c r="A3" s="1319" t="s">
        <v>533</v>
      </c>
      <c r="D3" s="230"/>
    </row>
    <row r="4" spans="1:6" ht="38.25">
      <c r="B4" s="113" t="s">
        <v>534</v>
      </c>
    </row>
    <row r="5" spans="1:6">
      <c r="A5" s="113" t="s">
        <v>535</v>
      </c>
      <c r="B5" s="873">
        <f>'RRP 5.1'!G36</f>
        <v>7216.2041944999992</v>
      </c>
    </row>
    <row r="6" spans="1:6">
      <c r="A6" s="113" t="s">
        <v>536</v>
      </c>
      <c r="B6" s="873">
        <f>'RRP 5.1'!G35</f>
        <v>2482.1083529999996</v>
      </c>
    </row>
    <row r="7" spans="1:6">
      <c r="A7" s="113" t="s">
        <v>689</v>
      </c>
      <c r="B7" s="873">
        <f>'RRP 5.1'!G34</f>
        <v>2954.8379382999997</v>
      </c>
    </row>
    <row r="8" spans="1:6">
      <c r="A8" s="113" t="s">
        <v>699</v>
      </c>
      <c r="B8" s="873">
        <f>'RRP 5.1'!G40</f>
        <v>675.23700000000008</v>
      </c>
    </row>
    <row r="10" spans="1:6" ht="15.75">
      <c r="A10" s="1319" t="s">
        <v>690</v>
      </c>
    </row>
    <row r="11" spans="1:6">
      <c r="B11" s="113" t="s">
        <v>691</v>
      </c>
      <c r="C11" s="113" t="s">
        <v>239</v>
      </c>
      <c r="D11" s="113" t="s">
        <v>238</v>
      </c>
      <c r="E11" s="113" t="s">
        <v>244</v>
      </c>
      <c r="F11" s="113" t="s">
        <v>242</v>
      </c>
    </row>
    <row r="12" spans="1:6">
      <c r="A12" s="113" t="s">
        <v>535</v>
      </c>
      <c r="B12" s="873">
        <v>1</v>
      </c>
      <c r="C12" s="873">
        <v>1</v>
      </c>
      <c r="D12" s="873">
        <v>1</v>
      </c>
      <c r="E12" s="873">
        <v>1</v>
      </c>
      <c r="F12" s="873">
        <v>1</v>
      </c>
    </row>
    <row r="13" spans="1:6">
      <c r="A13" s="113" t="s">
        <v>536</v>
      </c>
      <c r="B13" s="873">
        <v>0</v>
      </c>
      <c r="C13" s="873">
        <v>0</v>
      </c>
      <c r="D13" s="873">
        <f>(1+$B$8/($B$5+$B$6/2+$B$7/4)/2)/(1+$B$8/($B$5+$B$6/2+$B$7/4))</f>
        <v>0.96579764021315795</v>
      </c>
      <c r="E13" s="873">
        <f>(1+$B$8/($B$5+$B$6/2+$B$7/4)/2)/(1+$B$8/($B$5+$B$6/2+$B$7/4))</f>
        <v>0.96579764021315795</v>
      </c>
      <c r="F13" s="873">
        <f>(1+$B$8/($B$5+$B$6/2+$B$7/4)/2)/(1+$B$8/($B$5+$B$6/2+$B$7/4))</f>
        <v>0.96579764021315795</v>
      </c>
    </row>
    <row r="14" spans="1:6">
      <c r="A14" s="113" t="s">
        <v>689</v>
      </c>
      <c r="B14" s="873">
        <v>0</v>
      </c>
      <c r="C14" s="873">
        <v>0</v>
      </c>
      <c r="D14" s="873">
        <v>0</v>
      </c>
      <c r="E14" s="873">
        <f>(1+$B$8/($B$5+$B$6/2+$B$7/4)/4)/(1+$B$8/($B$5+$B$6/2+$B$7/4))</f>
        <v>0.94869646031973676</v>
      </c>
      <c r="F14" s="873">
        <f>(1+$B$8/($B$5+$B$6/2+$B$7/4)/4)/(1+$B$8/($B$5+$B$6/2+$B$7/4))</f>
        <v>0.94869646031973676</v>
      </c>
    </row>
    <row r="16" spans="1:6" ht="15.75">
      <c r="A16" s="112"/>
    </row>
    <row r="17" spans="1:6" ht="14.25">
      <c r="A17" s="114"/>
    </row>
    <row r="18" spans="1:6" ht="14.25">
      <c r="A18" s="114"/>
    </row>
    <row r="19" spans="1:6" ht="14.25">
      <c r="A19" s="115"/>
    </row>
    <row r="20" spans="1:6" ht="14.25">
      <c r="A20" s="115"/>
    </row>
    <row r="21" spans="1:6">
      <c r="B21" s="113" t="s">
        <v>691</v>
      </c>
      <c r="C21" s="113" t="s">
        <v>239</v>
      </c>
      <c r="D21" s="113" t="s">
        <v>238</v>
      </c>
      <c r="E21" s="113" t="s">
        <v>244</v>
      </c>
      <c r="F21" s="113" t="s">
        <v>242</v>
      </c>
    </row>
    <row r="22" spans="1:6">
      <c r="A22" s="113" t="s">
        <v>698</v>
      </c>
      <c r="B22" s="874">
        <f>SUMPRODUCT(B$12:B$14,$B$5:$B$7)</f>
        <v>7216.2041944999992</v>
      </c>
      <c r="C22" s="874">
        <f>SUMPRODUCT(C$12:C$14,$B$5:$B$7)</f>
        <v>7216.2041944999992</v>
      </c>
      <c r="D22" s="874">
        <f>SUMPRODUCT(D$12:D$14,$B$5:$B$7)</f>
        <v>9613.418584580766</v>
      </c>
      <c r="E22" s="874">
        <f>SUMPRODUCT(E$12:E$14,$B$5:$B$7)</f>
        <v>12416.662877464445</v>
      </c>
      <c r="F22" s="874">
        <f>SUMPRODUCT(F$12:F$14,$B$5:$B$7)</f>
        <v>12416.662877464445</v>
      </c>
    </row>
    <row r="23" spans="1:6">
      <c r="A23" s="113" t="s">
        <v>456</v>
      </c>
      <c r="B23" s="875">
        <f>B22*1000000</f>
        <v>7216204194.499999</v>
      </c>
      <c r="C23" s="875">
        <f>C22*1000000</f>
        <v>7216204194.499999</v>
      </c>
      <c r="D23" s="875">
        <f>D22*1000000</f>
        <v>9613418584.5807667</v>
      </c>
      <c r="E23" s="875">
        <f>E22*1000000</f>
        <v>12416662877.464445</v>
      </c>
      <c r="F23" s="875">
        <f>F22*1000000</f>
        <v>12416662877.464445</v>
      </c>
    </row>
    <row r="27" spans="1:6">
      <c r="A27" s="43"/>
      <c r="B27" s="43"/>
      <c r="C27" s="43"/>
      <c r="D27" s="43"/>
      <c r="E27" s="43"/>
    </row>
    <row r="28" spans="1:6">
      <c r="A28" s="43"/>
      <c r="B28" s="43"/>
      <c r="C28" s="43"/>
      <c r="D28" s="43"/>
      <c r="E28" s="43"/>
    </row>
    <row r="29" spans="1:6">
      <c r="A29" s="43"/>
      <c r="B29" s="43"/>
      <c r="C29" s="116"/>
      <c r="D29" s="116"/>
      <c r="E29" s="116"/>
    </row>
    <row r="30" spans="1:6">
      <c r="A30" s="43"/>
      <c r="B30" s="43"/>
      <c r="C30" s="116"/>
      <c r="D30" s="116"/>
      <c r="E30" s="116"/>
    </row>
    <row r="31" spans="1:6">
      <c r="A31" s="43"/>
      <c r="B31" s="43"/>
      <c r="C31" s="116"/>
      <c r="D31" s="116"/>
      <c r="E31" s="116"/>
    </row>
    <row r="32" spans="1:6">
      <c r="A32" s="43"/>
      <c r="B32" s="43"/>
      <c r="C32" s="116"/>
      <c r="D32" s="116"/>
      <c r="E32" s="116"/>
    </row>
    <row r="33" spans="1:5">
      <c r="A33" s="43"/>
      <c r="B33" s="43"/>
      <c r="C33" s="117"/>
      <c r="D33" s="117"/>
      <c r="E33" s="116"/>
    </row>
    <row r="34" spans="1:5">
      <c r="A34" s="43"/>
      <c r="B34" s="43"/>
      <c r="C34" s="117"/>
      <c r="D34" s="117"/>
      <c r="E34" s="116"/>
    </row>
    <row r="35" spans="1:5">
      <c r="A35" s="43"/>
      <c r="B35" s="43"/>
      <c r="C35" s="117"/>
      <c r="D35" s="117"/>
      <c r="E35" s="116"/>
    </row>
    <row r="36" spans="1:5">
      <c r="A36" s="43"/>
      <c r="B36" s="43"/>
      <c r="C36" s="117"/>
      <c r="D36" s="117"/>
      <c r="E36" s="116"/>
    </row>
    <row r="37" spans="1:5">
      <c r="A37" s="43"/>
      <c r="B37" s="43"/>
      <c r="C37" s="117"/>
      <c r="D37" s="58"/>
      <c r="E37" s="58"/>
    </row>
    <row r="38" spans="1:5">
      <c r="A38" s="43"/>
      <c r="B38" s="43"/>
      <c r="C38" s="58"/>
      <c r="D38" s="58"/>
      <c r="E38" s="58"/>
    </row>
    <row r="39" spans="1:5">
      <c r="A39" s="43"/>
      <c r="B39" s="43"/>
      <c r="C39" s="116"/>
      <c r="D39" s="116"/>
      <c r="E39" s="116"/>
    </row>
  </sheetData>
  <sheetProtection sheet="1" objects="1" scenarios="1"/>
  <phoneticPr fontId="0"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enableFormatConditionsCalculation="0">
    <tabColor rgb="FFFFFF00"/>
  </sheetPr>
  <dimension ref="A1:P111"/>
  <sheetViews>
    <sheetView showGridLines="0" workbookViewId="0"/>
  </sheetViews>
  <sheetFormatPr defaultColWidth="8.85546875" defaultRowHeight="12.75"/>
  <cols>
    <col min="1" max="1" width="8.85546875" customWidth="1"/>
    <col min="2" max="10" width="11.42578125" customWidth="1"/>
  </cols>
  <sheetData>
    <row r="1" spans="1:16" s="1263" customFormat="1" ht="19.5">
      <c r="A1" s="1261" t="str">
        <f>"Calc-Net capex for Method M ("&amp;B5&amp;") for "&amp;Inputs!B6&amp;" in "&amp;Inputs!C6&amp;"  Status: "&amp;Inputs!D6&amp;""</f>
        <v>Calc-Net capex for Method M (LR1) for WPD South Wales in 2015/16  Status: 2014/15</v>
      </c>
    </row>
    <row r="3" spans="1:16" ht="26.25" customHeight="1">
      <c r="A3" s="1264" t="s">
        <v>1010</v>
      </c>
      <c r="F3" s="2187" t="s">
        <v>386</v>
      </c>
      <c r="G3" s="2197"/>
      <c r="H3" s="2188"/>
      <c r="J3" s="2187" t="s">
        <v>1003</v>
      </c>
      <c r="K3" s="2197"/>
      <c r="L3" s="2188"/>
      <c r="N3" s="2187" t="s">
        <v>1004</v>
      </c>
      <c r="O3" s="2197"/>
      <c r="P3" s="2188"/>
    </row>
    <row r="4" spans="1:16" ht="12.75" customHeight="1">
      <c r="C4" s="1266" t="s">
        <v>885</v>
      </c>
      <c r="D4" s="1266" t="s">
        <v>918</v>
      </c>
      <c r="F4" s="2198"/>
      <c r="G4" s="2199"/>
      <c r="H4" s="2200"/>
      <c r="J4" s="2187" t="s">
        <v>1005</v>
      </c>
      <c r="K4" s="2197"/>
      <c r="L4" s="2188"/>
      <c r="N4" s="2187" t="s">
        <v>1006</v>
      </c>
      <c r="O4" s="2197"/>
      <c r="P4" s="2188"/>
    </row>
    <row r="5" spans="1:16" ht="15">
      <c r="B5" s="1272" t="str">
        <f>IF(Inputs!A20,INDEX(C4:D4,Inputs!A20),"No option selected")</f>
        <v>LR1</v>
      </c>
      <c r="F5" s="9"/>
      <c r="G5" s="716" t="s">
        <v>14</v>
      </c>
      <c r="H5" s="717" t="s">
        <v>402</v>
      </c>
      <c r="J5" s="1311" t="s">
        <v>244</v>
      </c>
      <c r="K5" s="1330">
        <f>'Reductions to net capex'!K5</f>
        <v>0</v>
      </c>
      <c r="L5" s="1323">
        <f>K$5*(F21/(F21+F22))</f>
        <v>0</v>
      </c>
      <c r="N5" s="14"/>
      <c r="O5" s="717" t="s">
        <v>14</v>
      </c>
      <c r="P5" s="716"/>
    </row>
    <row r="6" spans="1:16">
      <c r="F6" s="222" t="s">
        <v>239</v>
      </c>
      <c r="G6" s="11">
        <f>C39+F39+I39+C49+F49-O6</f>
        <v>49.299918108546755</v>
      </c>
      <c r="H6" s="177">
        <f>G6/SUM($G$6:$G$10)</f>
        <v>0.19760263939753853</v>
      </c>
      <c r="J6" s="22" t="s">
        <v>242</v>
      </c>
      <c r="K6" s="1312"/>
      <c r="L6" s="1324">
        <f>K$5*(F22/(F21+F22))</f>
        <v>0</v>
      </c>
      <c r="N6" s="1313" t="s">
        <v>239</v>
      </c>
      <c r="O6" s="1320">
        <f>'Reductions to net capex'!O6</f>
        <v>0</v>
      </c>
      <c r="P6" s="1314"/>
    </row>
    <row r="7" spans="1:16">
      <c r="F7" s="222" t="s">
        <v>373</v>
      </c>
      <c r="G7" s="12">
        <f>C40+F40+I40+C50+F50-O7</f>
        <v>23.067824613711821</v>
      </c>
      <c r="H7" s="178">
        <f>G7/SUM($G$6:$G$10)</f>
        <v>9.2459849908730962E-2</v>
      </c>
      <c r="N7" s="222" t="s">
        <v>373</v>
      </c>
      <c r="O7" s="1321">
        <f>'Reductions to net capex'!O7</f>
        <v>0</v>
      </c>
      <c r="P7" s="21"/>
    </row>
    <row r="8" spans="1:16">
      <c r="F8" s="222" t="s">
        <v>238</v>
      </c>
      <c r="G8" s="12">
        <f>C41+F41+I41+C51+F51-O8</f>
        <v>93.064880701504492</v>
      </c>
      <c r="H8" s="178">
        <f>G8/SUM($G$6:$G$10)</f>
        <v>0.37302021519273526</v>
      </c>
      <c r="N8" s="222" t="s">
        <v>238</v>
      </c>
      <c r="O8" s="1321">
        <f>'Reductions to net capex'!O8</f>
        <v>0</v>
      </c>
      <c r="P8" s="21"/>
    </row>
    <row r="9" spans="1:16">
      <c r="F9" s="222" t="s">
        <v>244</v>
      </c>
      <c r="G9" s="1305">
        <f>'Calc-Drivers'!E32*(C42+F42+I42+C52+F52-L5-O9)</f>
        <v>48.694168863873777</v>
      </c>
      <c r="H9" s="178">
        <f>G9/SUM($G$6:$G$10)</f>
        <v>0.19517469115436092</v>
      </c>
      <c r="N9" s="222" t="s">
        <v>244</v>
      </c>
      <c r="O9" s="1321">
        <f>'Reductions to net capex'!O9</f>
        <v>0</v>
      </c>
      <c r="P9" s="21"/>
    </row>
    <row r="10" spans="1:16">
      <c r="B10" s="718"/>
      <c r="C10" s="32"/>
      <c r="D10" s="33"/>
      <c r="F10" s="225" t="s">
        <v>491</v>
      </c>
      <c r="G10" s="1306">
        <f>'Calc-Drivers'!E32*(C43+F43+I43+C53+F53-L6-O10)</f>
        <v>35.363387898493144</v>
      </c>
      <c r="H10" s="179">
        <f>G10/SUM($G$6:$G$10)</f>
        <v>0.14174260434663438</v>
      </c>
      <c r="N10" s="225" t="s">
        <v>491</v>
      </c>
      <c r="O10" s="1322">
        <f>'Reductions to net capex'!O10</f>
        <v>0</v>
      </c>
      <c r="P10" s="23"/>
    </row>
    <row r="11" spans="1:16">
      <c r="B11" s="6"/>
      <c r="C11" s="32"/>
      <c r="D11" s="184"/>
    </row>
    <row r="12" spans="1:16" ht="12" customHeight="1">
      <c r="B12" s="6"/>
      <c r="C12" s="7"/>
    </row>
    <row r="13" spans="1:16" s="1" customFormat="1">
      <c r="A13" s="8" t="s">
        <v>908</v>
      </c>
    </row>
    <row r="15" spans="1:16" ht="5.25" customHeight="1"/>
    <row r="16" spans="1:16" s="2" customFormat="1" ht="26.25" customHeight="1">
      <c r="B16" s="2187" t="s">
        <v>625</v>
      </c>
      <c r="C16" s="2188"/>
      <c r="E16" s="2187" t="s">
        <v>910</v>
      </c>
      <c r="F16" s="2188"/>
      <c r="H16" s="2187" t="s">
        <v>909</v>
      </c>
      <c r="I16" s="2188"/>
    </row>
    <row r="17" spans="2:9" s="852" customFormat="1" ht="27" customHeight="1">
      <c r="B17" s="2189" t="s">
        <v>887</v>
      </c>
      <c r="C17" s="2186"/>
      <c r="E17" s="2190" t="s">
        <v>492</v>
      </c>
      <c r="F17" s="2184"/>
      <c r="H17" s="2190" t="s">
        <v>399</v>
      </c>
      <c r="I17" s="2184"/>
    </row>
    <row r="18" spans="2:9" ht="12.75" customHeight="1">
      <c r="B18" s="14"/>
      <c r="C18" s="11"/>
      <c r="E18" s="3"/>
      <c r="F18" s="11"/>
      <c r="H18" s="3"/>
      <c r="I18" s="11"/>
    </row>
    <row r="19" spans="2:9" ht="12" customHeight="1">
      <c r="B19" s="222" t="s">
        <v>239</v>
      </c>
      <c r="C19" s="12">
        <f>IF(Inputs!$A$20=1,C87,IF(Inputs!$A$20=2,C66,#VALUE!))</f>
        <v>3.0999999999999943</v>
      </c>
      <c r="E19" s="4" t="s">
        <v>239</v>
      </c>
      <c r="F19" s="12">
        <f>SUM('FBPQ LR4'!D11:M11)</f>
        <v>1.8999999999999997</v>
      </c>
      <c r="H19" s="4" t="s">
        <v>239</v>
      </c>
      <c r="I19" s="12">
        <f>SUM('FBPQ LR6'!C28:L28)</f>
        <v>0</v>
      </c>
    </row>
    <row r="20" spans="2:9" ht="12" customHeight="1">
      <c r="B20" s="222" t="s">
        <v>238</v>
      </c>
      <c r="C20" s="12">
        <f>IF(Inputs!$A$20=1,C88,IF(Inputs!$A$20=2,C67,#VALUE!))</f>
        <v>1.1999999999999993</v>
      </c>
      <c r="E20" s="4" t="s">
        <v>238</v>
      </c>
      <c r="F20" s="12">
        <f>SUM('FBPQ LR4'!D12:M12)</f>
        <v>12.600000000000003</v>
      </c>
      <c r="H20" s="4" t="s">
        <v>238</v>
      </c>
      <c r="I20" s="12">
        <f>SUM('FBPQ LR6'!C29:L29)</f>
        <v>0</v>
      </c>
    </row>
    <row r="21" spans="2:9">
      <c r="B21" s="222" t="s">
        <v>244</v>
      </c>
      <c r="C21" s="12">
        <f>IF(Inputs!$A$20=1,C89,IF(Inputs!$A$20=2,C68,#VALUE!))</f>
        <v>1.5500000000000016</v>
      </c>
      <c r="E21" s="4" t="s">
        <v>244</v>
      </c>
      <c r="F21" s="12">
        <f>SUM('FBPQ LR4'!D13:M13)</f>
        <v>17.700000000000003</v>
      </c>
      <c r="H21" s="4" t="s">
        <v>244</v>
      </c>
      <c r="I21" s="12">
        <f>SUM('FBPQ LR6'!C30:L30)</f>
        <v>0.7</v>
      </c>
    </row>
    <row r="22" spans="2:9">
      <c r="B22" s="225" t="s">
        <v>491</v>
      </c>
      <c r="C22" s="13">
        <f>IF(Inputs!$A$20=1,C90,IF(Inputs!$A$20=2,C69,#VALUE!))</f>
        <v>0</v>
      </c>
      <c r="E22" s="5" t="s">
        <v>491</v>
      </c>
      <c r="F22" s="13">
        <f>SUM('FBPQ LR4'!D14:M14)</f>
        <v>9.3000000000000007</v>
      </c>
      <c r="H22" s="5" t="s">
        <v>491</v>
      </c>
      <c r="I22" s="13">
        <f>SUM('FBPQ LR6'!C31:L31)</f>
        <v>0</v>
      </c>
    </row>
    <row r="25" spans="2:9" ht="24.75" customHeight="1">
      <c r="B25" s="2187" t="s">
        <v>400</v>
      </c>
      <c r="C25" s="2188"/>
      <c r="E25" s="2191" t="s">
        <v>829</v>
      </c>
      <c r="F25" s="2192"/>
    </row>
    <row r="26" spans="2:9" s="852" customFormat="1" ht="27.75" customHeight="1">
      <c r="B26" s="2190" t="s">
        <v>401</v>
      </c>
      <c r="C26" s="2184"/>
      <c r="E26" s="2185" t="s">
        <v>830</v>
      </c>
      <c r="F26" s="2193"/>
    </row>
    <row r="27" spans="2:9">
      <c r="B27" s="3"/>
      <c r="C27" s="11"/>
      <c r="E27" s="3"/>
      <c r="F27" s="11"/>
    </row>
    <row r="28" spans="2:9">
      <c r="B28" s="4" t="s">
        <v>239</v>
      </c>
      <c r="C28" s="12">
        <f>SUM('FBPQ NL1'!D10:M16)</f>
        <v>44.299918108546763</v>
      </c>
      <c r="E28" s="224" t="s">
        <v>239</v>
      </c>
      <c r="F28" s="12">
        <f>SUM('NL9 - Legal &amp; Safety'!D33:M33,'NL9 - Legal &amp; Safety'!D42:M42)</f>
        <v>0</v>
      </c>
    </row>
    <row r="29" spans="2:9">
      <c r="B29" s="4" t="s">
        <v>238</v>
      </c>
      <c r="C29" s="12">
        <f>SUM('FBPQ NL1'!D17:M22)</f>
        <v>102.33270531521633</v>
      </c>
      <c r="E29" s="224" t="s">
        <v>238</v>
      </c>
      <c r="F29" s="12">
        <f>SUM('NL9 - Legal &amp; Safety'!D34:M34,'NL9 - Legal &amp; Safety'!D43:M43)</f>
        <v>0</v>
      </c>
    </row>
    <row r="30" spans="2:9">
      <c r="B30" s="4" t="s">
        <v>244</v>
      </c>
      <c r="C30" s="12">
        <f>SUM('FBPQ NL1'!D23:M28)</f>
        <v>38.099577218071225</v>
      </c>
      <c r="E30" s="224" t="s">
        <v>244</v>
      </c>
      <c r="F30" s="12">
        <f>SUM('NL9 - Legal &amp; Safety'!D35:M35,'NL9 - Legal &amp; Safety'!D44:M44)</f>
        <v>0</v>
      </c>
    </row>
    <row r="31" spans="2:9">
      <c r="B31" s="5" t="s">
        <v>491</v>
      </c>
      <c r="C31" s="13">
        <f>SUM('FBPQ NL1'!D29:M34)</f>
        <v>32.857608691195438</v>
      </c>
      <c r="E31" s="226" t="s">
        <v>491</v>
      </c>
      <c r="F31" s="13">
        <f>SUM('NL9 - Legal &amp; Safety'!D36:M36,'NL9 - Legal &amp; Safety'!D45:M45)</f>
        <v>0</v>
      </c>
    </row>
    <row r="33" spans="1:10" s="1" customFormat="1">
      <c r="A33" s="8" t="s">
        <v>911</v>
      </c>
    </row>
    <row r="35" spans="1:10" ht="5.25" customHeight="1"/>
    <row r="36" spans="1:10" s="2" customFormat="1" ht="26.25" customHeight="1">
      <c r="B36" s="2187" t="s">
        <v>625</v>
      </c>
      <c r="C36" s="2188"/>
      <c r="E36" s="2187" t="s">
        <v>910</v>
      </c>
      <c r="F36" s="2188"/>
      <c r="H36" s="2187" t="s">
        <v>909</v>
      </c>
      <c r="I36" s="2188"/>
    </row>
    <row r="37" spans="1:10" s="852" customFormat="1" ht="27" customHeight="1">
      <c r="B37" s="2189" t="s">
        <v>887</v>
      </c>
      <c r="C37" s="2186"/>
      <c r="E37" s="2190" t="s">
        <v>492</v>
      </c>
      <c r="F37" s="2184"/>
      <c r="H37" s="2190" t="s">
        <v>399</v>
      </c>
      <c r="I37" s="2184"/>
    </row>
    <row r="38" spans="1:10" ht="12.75" customHeight="1">
      <c r="B38" s="14"/>
      <c r="C38" s="11"/>
      <c r="E38" s="3"/>
      <c r="F38" s="11"/>
      <c r="H38" s="3"/>
      <c r="I38" s="11"/>
    </row>
    <row r="39" spans="1:10">
      <c r="B39" s="222" t="s">
        <v>239</v>
      </c>
      <c r="C39" s="12">
        <f>IF(Inputs!$A$20=1,C96,IF(Inputs!$A$20=2,C75,#VALUE!))</f>
        <v>3.0999999999999943</v>
      </c>
      <c r="E39" s="4" t="s">
        <v>239</v>
      </c>
      <c r="F39" s="12">
        <f>SUM('FBPQ LR4'!D11:M11)</f>
        <v>1.8999999999999997</v>
      </c>
      <c r="H39" s="4" t="s">
        <v>239</v>
      </c>
      <c r="I39" s="12">
        <f>SUM('FBPQ LR6'!C28:L28)</f>
        <v>0</v>
      </c>
    </row>
    <row r="40" spans="1:10" ht="38.25">
      <c r="B40" s="222" t="s">
        <v>373</v>
      </c>
      <c r="C40" s="12">
        <f>IF(Inputs!$A$20=1,C97,IF(Inputs!$A$20=2,C76,#VALUE!))</f>
        <v>0.28724606794854218</v>
      </c>
      <c r="D40" s="979" t="s">
        <v>36</v>
      </c>
      <c r="E40" s="222" t="s">
        <v>373</v>
      </c>
      <c r="F40" s="12">
        <f>SUM('FBPQ LR4'!D12:M12)*(C55)</f>
        <v>3.0160837134596958</v>
      </c>
      <c r="G40" s="223" t="s">
        <v>36</v>
      </c>
      <c r="H40" s="222" t="s">
        <v>373</v>
      </c>
      <c r="I40" s="12">
        <f>SUM('FBPQ LR6'!C29:L29)*(C55)</f>
        <v>0</v>
      </c>
      <c r="J40" s="223" t="s">
        <v>36</v>
      </c>
    </row>
    <row r="41" spans="1:10">
      <c r="B41" s="222" t="s">
        <v>238</v>
      </c>
      <c r="C41" s="12">
        <f>IF(Inputs!$A$20=1,C98,IF(Inputs!$A$20=2,C77,#VALUE!))</f>
        <v>0.91275393205145705</v>
      </c>
      <c r="E41" s="224" t="s">
        <v>238</v>
      </c>
      <c r="F41" s="12">
        <f>SUM('FBPQ LR4'!D12:M12)*(1-C55)</f>
        <v>9.5839162865403082</v>
      </c>
      <c r="H41" s="224" t="s">
        <v>238</v>
      </c>
      <c r="I41" s="12">
        <f>SUM('FBPQ LR6'!C29:L29)*(1-C55)</f>
        <v>0</v>
      </c>
    </row>
    <row r="42" spans="1:10">
      <c r="B42" s="222" t="s">
        <v>244</v>
      </c>
      <c r="C42" s="12">
        <f>IF(Inputs!$A$20=1,C99,IF(Inputs!$A$20=2,C78,#VALUE!))</f>
        <v>1.5500000000000016</v>
      </c>
      <c r="E42" s="224" t="s">
        <v>244</v>
      </c>
      <c r="F42" s="12">
        <f>SUM('FBPQ LR4'!D13:M13)</f>
        <v>17.700000000000003</v>
      </c>
      <c r="H42" s="224" t="s">
        <v>244</v>
      </c>
      <c r="I42" s="12">
        <f>SUM('FBPQ LR6'!C30:L30)</f>
        <v>0.7</v>
      </c>
    </row>
    <row r="43" spans="1:10">
      <c r="B43" s="225" t="s">
        <v>491</v>
      </c>
      <c r="C43" s="13">
        <f>IF(Inputs!$A$20=1,C100,IF(Inputs!$A$20=2,C79,#VALUE!))</f>
        <v>0</v>
      </c>
      <c r="E43" s="226" t="s">
        <v>491</v>
      </c>
      <c r="F43" s="13">
        <f>SUM('FBPQ LR4'!D14:M14)</f>
        <v>9.3000000000000007</v>
      </c>
      <c r="H43" s="226" t="s">
        <v>491</v>
      </c>
      <c r="I43" s="13">
        <f>SUM('FBPQ LR6'!C31:L31)</f>
        <v>0</v>
      </c>
    </row>
    <row r="46" spans="1:10" ht="27.75" customHeight="1">
      <c r="B46" s="2187" t="s">
        <v>400</v>
      </c>
      <c r="C46" s="2188"/>
      <c r="E46" s="2191" t="s">
        <v>829</v>
      </c>
      <c r="F46" s="2188"/>
      <c r="H46" s="2195" t="s">
        <v>829</v>
      </c>
      <c r="I46" s="2196"/>
    </row>
    <row r="47" spans="1:10" s="852" customFormat="1" ht="27.75" customHeight="1">
      <c r="B47" s="2189" t="s">
        <v>401</v>
      </c>
      <c r="C47" s="2186"/>
      <c r="E47" s="2185" t="s">
        <v>830</v>
      </c>
      <c r="F47" s="2186"/>
      <c r="H47" s="2194" t="s">
        <v>343</v>
      </c>
      <c r="I47" s="2194"/>
    </row>
    <row r="48" spans="1:10">
      <c r="B48" s="3"/>
      <c r="C48" s="11"/>
      <c r="E48" s="3"/>
      <c r="F48" s="11"/>
      <c r="H48" s="3"/>
      <c r="I48" s="3"/>
    </row>
    <row r="49" spans="2:10">
      <c r="B49" s="224" t="s">
        <v>239</v>
      </c>
      <c r="C49" s="820">
        <f>SUM('FBPQ NL1'!D10:M16)</f>
        <v>44.299918108546763</v>
      </c>
      <c r="E49" s="224" t="s">
        <v>239</v>
      </c>
      <c r="F49" s="12">
        <f>SUM('NL9 - Legal &amp; Safety'!D33:M33,'NL9 - Legal &amp; Safety'!D42:M42)</f>
        <v>0</v>
      </c>
      <c r="H49" s="224" t="s">
        <v>239</v>
      </c>
      <c r="I49" s="12">
        <f>F49+C49</f>
        <v>44.299918108546763</v>
      </c>
      <c r="J49" s="744">
        <f>I49/SUM($I$49:$I$53)</f>
        <v>0.20359371720733485</v>
      </c>
    </row>
    <row r="50" spans="2:10">
      <c r="B50" s="224" t="s">
        <v>373</v>
      </c>
      <c r="C50" s="820">
        <f>SUM('FBPQ NL1'!D21:M22)</f>
        <v>19.764494832303583</v>
      </c>
      <c r="D50" s="227" t="s">
        <v>37</v>
      </c>
      <c r="E50" s="222" t="s">
        <v>373</v>
      </c>
      <c r="F50" s="12">
        <f>SUM('NL9 - Legal &amp; Safety'!D34:M34,'NL9 - Legal &amp; Safety'!D43:M43)*C55</f>
        <v>0</v>
      </c>
      <c r="H50" s="224" t="s">
        <v>373</v>
      </c>
      <c r="I50" s="12">
        <f>F50+C50</f>
        <v>19.764494832303583</v>
      </c>
      <c r="J50" s="744">
        <f>I50/SUM($I$49:$I$53)</f>
        <v>9.0833733863212543E-2</v>
      </c>
    </row>
    <row r="51" spans="2:10">
      <c r="B51" s="222" t="s">
        <v>238</v>
      </c>
      <c r="C51" s="820">
        <f>SUM('FBPQ NL1'!D17:M20)</f>
        <v>82.568210482912733</v>
      </c>
      <c r="E51" s="224" t="s">
        <v>238</v>
      </c>
      <c r="F51" s="12">
        <f>SUM('NL9 - Legal &amp; Safety'!D34:M34,'NL9 - Legal &amp; Safety'!D43:M43)*(1-C55)</f>
        <v>0</v>
      </c>
      <c r="H51" s="224" t="s">
        <v>238</v>
      </c>
      <c r="I51" s="12">
        <f>F51+C51</f>
        <v>82.568210482912733</v>
      </c>
      <c r="J51" s="744">
        <f>I51/SUM($I$49:$I$53)</f>
        <v>0.37946726795710756</v>
      </c>
    </row>
    <row r="52" spans="2:10">
      <c r="B52" s="224" t="s">
        <v>244</v>
      </c>
      <c r="C52" s="820">
        <f>SUM('FBPQ NL1'!D23:M28)</f>
        <v>38.099577218071225</v>
      </c>
      <c r="E52" s="224" t="s">
        <v>244</v>
      </c>
      <c r="F52" s="12">
        <f>SUM('NL9 - Legal &amp; Safety'!D35:M35,'NL9 - Legal &amp; Safety'!D44:M44)</f>
        <v>0</v>
      </c>
      <c r="H52" s="224" t="s">
        <v>244</v>
      </c>
      <c r="I52" s="12">
        <f>F52+C52</f>
        <v>38.099577218071225</v>
      </c>
      <c r="J52" s="744">
        <f>I52/SUM($I$49:$I$53)</f>
        <v>0.17509816904962827</v>
      </c>
    </row>
    <row r="53" spans="2:10">
      <c r="B53" s="226" t="s">
        <v>491</v>
      </c>
      <c r="C53" s="821">
        <f>SUM('FBPQ NL1'!D29:M34)</f>
        <v>32.857608691195438</v>
      </c>
      <c r="E53" s="226" t="s">
        <v>491</v>
      </c>
      <c r="F53" s="13">
        <f>SUM('NL9 - Legal &amp; Safety'!D36:M36,'NL9 - Legal &amp; Safety'!D45:M45)</f>
        <v>0</v>
      </c>
      <c r="H53" s="226" t="s">
        <v>491</v>
      </c>
      <c r="I53" s="13">
        <f>F53+C53</f>
        <v>32.857608691195438</v>
      </c>
      <c r="J53" s="744">
        <f>I53/SUM($I$49:$I$53)</f>
        <v>0.15100711192271685</v>
      </c>
    </row>
    <row r="55" spans="2:10">
      <c r="B55" s="227" t="s">
        <v>38</v>
      </c>
      <c r="C55" s="228">
        <f>C50/C51</f>
        <v>0.23937172329045198</v>
      </c>
    </row>
    <row r="58" spans="2:10">
      <c r="B58" s="852"/>
      <c r="C58" s="852"/>
    </row>
    <row r="59" spans="2:10" ht="18">
      <c r="B59" s="1254" t="s">
        <v>880</v>
      </c>
      <c r="C59" s="852"/>
    </row>
    <row r="60" spans="2:10">
      <c r="B60" s="852"/>
      <c r="C60" s="852"/>
    </row>
    <row r="61" spans="2:10">
      <c r="B61" s="890" t="s">
        <v>882</v>
      </c>
      <c r="C61" s="852"/>
    </row>
    <row r="62" spans="2:10">
      <c r="B62" s="889" t="s">
        <v>884</v>
      </c>
      <c r="C62" s="852"/>
    </row>
    <row r="63" spans="2:10">
      <c r="B63" s="2179" t="s">
        <v>625</v>
      </c>
      <c r="C63" s="2181"/>
    </row>
    <row r="64" spans="2:10">
      <c r="B64" s="2185" t="s">
        <v>323</v>
      </c>
      <c r="C64" s="2186"/>
    </row>
    <row r="65" spans="2:3">
      <c r="B65" s="1255"/>
      <c r="C65" s="1256"/>
    </row>
    <row r="66" spans="2:3">
      <c r="B66" s="1257" t="s">
        <v>239</v>
      </c>
      <c r="C66" s="1258">
        <f>SUM('FBPQ LR1 - V5 opt3'!D227:M227,'FBPQ LR1 - V5 opt3'!I229:M229)-SUM('FBPQ LR1 - V5 opt3'!D250:M250,'FBPQ LR1 - V5 opt3'!I252:M252)</f>
        <v>0</v>
      </c>
    </row>
    <row r="67" spans="2:3">
      <c r="B67" s="1257" t="s">
        <v>238</v>
      </c>
      <c r="C67" s="1258">
        <f>(SUM('FBPQ LR1 - V5 opt3'!D231:H231,'FBPQ LR1 - V5 opt3'!I230:M230,'FBPQ LR1 - V5 opt3'!I233:M233)-SUM('FBPQ LR1 - V5 opt3'!D254:H254,'FBPQ LR1 - V5 opt3'!I253:M253,'FBPQ LR1 - V5 opt3'!I256:M256))</f>
        <v>0</v>
      </c>
    </row>
    <row r="68" spans="2:3">
      <c r="B68" s="1257" t="s">
        <v>244</v>
      </c>
      <c r="C68" s="1258">
        <f>SUM('FBPQ LR1 - V5 opt3'!D235:H235,'FBPQ LR1 - V5 opt3'!I234:M234,'FBPQ LR1 - V5 opt3'!I237:M237)-SUM('FBPQ LR1 - V5 opt3'!D258:H258,'FBPQ LR1 - V5 opt3'!I257:M257,'FBPQ LR1 - V5 opt3'!I260:M260)</f>
        <v>0</v>
      </c>
    </row>
    <row r="69" spans="2:3">
      <c r="B69" s="1259" t="s">
        <v>491</v>
      </c>
      <c r="C69" s="1260">
        <f>SUM('FBPQ LR1 - V5 opt3'!D239:H239,'FBPQ LR1 - V5 opt3'!I238:M238)-SUM('FBPQ LR1 - V5 opt3'!D262:H262,'FBPQ LR1 - V5 opt3'!I261:M261)</f>
        <v>0</v>
      </c>
    </row>
    <row r="70" spans="2:3">
      <c r="B70" s="852"/>
      <c r="C70" s="852"/>
    </row>
    <row r="71" spans="2:3">
      <c r="B71" s="889" t="s">
        <v>883</v>
      </c>
      <c r="C71" s="852"/>
    </row>
    <row r="72" spans="2:3">
      <c r="B72" s="2179" t="s">
        <v>625</v>
      </c>
      <c r="C72" s="2181"/>
    </row>
    <row r="73" spans="2:3">
      <c r="B73" s="2185" t="s">
        <v>323</v>
      </c>
      <c r="C73" s="2186"/>
    </row>
    <row r="74" spans="2:3">
      <c r="B74" s="1255"/>
      <c r="C74" s="1256"/>
    </row>
    <row r="75" spans="2:3">
      <c r="B75" s="1257" t="s">
        <v>239</v>
      </c>
      <c r="C75" s="1258">
        <f>SUM('FBPQ LR1 - V5 opt3'!D227:M227,'FBPQ LR1 - V5 opt3'!I229:M229)-SUM('FBPQ LR1 - V5 opt3'!D250:M250,'FBPQ LR1 - V5 opt3'!I252:M252)</f>
        <v>0</v>
      </c>
    </row>
    <row r="76" spans="2:3">
      <c r="B76" s="1257" t="s">
        <v>373</v>
      </c>
      <c r="C76" s="1258">
        <f>(SUM('FBPQ LR1 - V5 opt3'!D231:H231,'FBPQ LR1 - V5 opt3'!I230:M230,'FBPQ LR1 - V5 opt3'!I233:M233)-SUM('FBPQ LR1 - V5 opt3'!D254:H254,'FBPQ LR1 - V5 opt3'!I253:M253,'FBPQ LR1 - V5 opt3'!I256:M256))*(C110)</f>
        <v>0</v>
      </c>
    </row>
    <row r="77" spans="2:3">
      <c r="B77" s="1257" t="s">
        <v>238</v>
      </c>
      <c r="C77" s="1258">
        <f>(SUM('FBPQ LR1 - V5 opt3'!D231:H231,'FBPQ LR1 - V5 opt3'!I230:M230,'FBPQ LR1 - V5 opt3'!I233:M233)-SUM('FBPQ LR1 - V5 opt3'!D254:H254,'FBPQ LR1 - V5 opt3'!I253:M253,'FBPQ LR1 - V5 opt3'!I256:M256))*(1-C110)</f>
        <v>0</v>
      </c>
    </row>
    <row r="78" spans="2:3">
      <c r="B78" s="1257" t="s">
        <v>244</v>
      </c>
      <c r="C78" s="1258">
        <f>SUM('FBPQ LR1 - V5 opt3'!D235:H235,'FBPQ LR1 - V5 opt3'!I234:M234,'FBPQ LR1 - V5 opt3'!I237:M237)-SUM('FBPQ LR1 - V5 opt3'!D258:H258,'FBPQ LR1 - V5 opt3'!I257:M257,'FBPQ LR1 - V5 opt3'!I260:M260)</f>
        <v>0</v>
      </c>
    </row>
    <row r="79" spans="2:3">
      <c r="B79" s="1259" t="s">
        <v>491</v>
      </c>
      <c r="C79" s="1260">
        <f>SUM('FBPQ LR1 - V5 opt3'!D239:H239,'FBPQ LR1 - V5 opt3'!I238:M238)-SUM('FBPQ LR1 - V5 opt3'!D262:H262,'FBPQ LR1 - V5 opt3'!I261:M261)</f>
        <v>0</v>
      </c>
    </row>
    <row r="80" spans="2:3">
      <c r="B80" s="852"/>
      <c r="C80" s="852"/>
    </row>
    <row r="81" spans="2:3">
      <c r="B81" s="852"/>
      <c r="C81" s="852"/>
    </row>
    <row r="82" spans="2:3">
      <c r="B82" s="890" t="s">
        <v>881</v>
      </c>
      <c r="C82" s="852"/>
    </row>
    <row r="83" spans="2:3">
      <c r="B83" s="889" t="s">
        <v>884</v>
      </c>
      <c r="C83" s="852"/>
    </row>
    <row r="84" spans="2:3">
      <c r="B84" s="2179" t="s">
        <v>625</v>
      </c>
      <c r="C84" s="2181"/>
    </row>
    <row r="85" spans="2:3">
      <c r="B85" s="2185" t="s">
        <v>323</v>
      </c>
      <c r="C85" s="2186"/>
    </row>
    <row r="86" spans="2:3">
      <c r="B86" s="1255"/>
      <c r="C86" s="1325"/>
    </row>
    <row r="87" spans="2:3">
      <c r="B87" s="1257" t="s">
        <v>239</v>
      </c>
      <c r="C87" s="1326">
        <f>SUM('FBPQ LR1'!D82:M82)-SUM('FBPQ LR1'!D110:M110)</f>
        <v>3.0999999999999943</v>
      </c>
    </row>
    <row r="88" spans="2:3">
      <c r="B88" s="1257" t="s">
        <v>238</v>
      </c>
      <c r="C88" s="1326">
        <f>(SUM('FBPQ LR1'!D86:M86)-SUM('FBPQ LR1'!D114:M114))</f>
        <v>1.1999999999999993</v>
      </c>
    </row>
    <row r="89" spans="2:3">
      <c r="B89" s="1257" t="s">
        <v>244</v>
      </c>
      <c r="C89" s="1326">
        <f>(SUM('FBPQ LR1'!D90:M90)-SUM('FBPQ LR1'!D118:M118))</f>
        <v>1.5500000000000016</v>
      </c>
    </row>
    <row r="90" spans="2:3">
      <c r="B90" s="1259" t="s">
        <v>491</v>
      </c>
      <c r="C90" s="1327">
        <f>(SUM('FBPQ LR1'!D94:M94)-SUM('FBPQ LR1'!D122:M122))</f>
        <v>0</v>
      </c>
    </row>
    <row r="91" spans="2:3">
      <c r="B91" s="852"/>
      <c r="C91" s="1328"/>
    </row>
    <row r="92" spans="2:3">
      <c r="B92" s="889" t="s">
        <v>883</v>
      </c>
      <c r="C92" s="852"/>
    </row>
    <row r="93" spans="2:3">
      <c r="B93" s="2179" t="s">
        <v>625</v>
      </c>
      <c r="C93" s="2181"/>
    </row>
    <row r="94" spans="2:3">
      <c r="B94" s="2185" t="s">
        <v>323</v>
      </c>
      <c r="C94" s="2186"/>
    </row>
    <row r="95" spans="2:3">
      <c r="B95" s="1255"/>
      <c r="C95" s="1325"/>
    </row>
    <row r="96" spans="2:3">
      <c r="B96" s="1257" t="s">
        <v>239</v>
      </c>
      <c r="C96" s="1326">
        <f>SUM('FBPQ LR1'!D82:M82)-SUM('FBPQ LR1'!D110:M110)</f>
        <v>3.0999999999999943</v>
      </c>
    </row>
    <row r="97" spans="2:3">
      <c r="B97" s="1257" t="s">
        <v>373</v>
      </c>
      <c r="C97" s="1326">
        <f>(SUM('FBPQ LR1'!D86:M86)-SUM('FBPQ LR1'!D114:M114))*C110</f>
        <v>0.28724606794854218</v>
      </c>
    </row>
    <row r="98" spans="2:3">
      <c r="B98" s="1257" t="s">
        <v>238</v>
      </c>
      <c r="C98" s="1326">
        <f>(SUM('FBPQ LR1'!D86:M86)-SUM('FBPQ LR1'!D114:M114))*(1-C110)</f>
        <v>0.91275393205145705</v>
      </c>
    </row>
    <row r="99" spans="2:3">
      <c r="B99" s="1257" t="s">
        <v>244</v>
      </c>
      <c r="C99" s="1326">
        <f>(SUM('FBPQ LR1'!D90:M90)-SUM('FBPQ LR1'!D118:M118))</f>
        <v>1.5500000000000016</v>
      </c>
    </row>
    <row r="100" spans="2:3">
      <c r="B100" s="1259" t="s">
        <v>491</v>
      </c>
      <c r="C100" s="1327">
        <f>(SUM('FBPQ LR1'!D94:M94)-SUM('FBPQ LR1'!D122:M122))</f>
        <v>0</v>
      </c>
    </row>
    <row r="101" spans="2:3">
      <c r="B101" s="852"/>
      <c r="C101" s="1328"/>
    </row>
    <row r="102" spans="2:3">
      <c r="B102" s="852"/>
      <c r="C102" s="1328"/>
    </row>
    <row r="103" spans="2:3">
      <c r="B103" s="852"/>
      <c r="C103" s="1328"/>
    </row>
    <row r="104" spans="2:3">
      <c r="B104" s="852"/>
      <c r="C104" s="1328"/>
    </row>
    <row r="105" spans="2:3">
      <c r="B105" s="852"/>
      <c r="C105" s="1328"/>
    </row>
    <row r="106" spans="2:3">
      <c r="B106" s="852"/>
      <c r="C106" s="1328"/>
    </row>
    <row r="107" spans="2:3">
      <c r="B107" s="852"/>
      <c r="C107" s="1328"/>
    </row>
    <row r="108" spans="2:3">
      <c r="B108" s="852"/>
      <c r="C108" s="1328"/>
    </row>
    <row r="109" spans="2:3">
      <c r="B109" s="852"/>
      <c r="C109" s="1328"/>
    </row>
    <row r="110" spans="2:3">
      <c r="B110" s="18"/>
      <c r="C110" s="1329">
        <f>C50/C51</f>
        <v>0.23937172329045198</v>
      </c>
    </row>
    <row r="111" spans="2:3">
      <c r="B111" s="852"/>
      <c r="C111" s="1328"/>
    </row>
  </sheetData>
  <sheetProtection sheet="1" objects="1" scenarios="1"/>
  <mergeCells count="36">
    <mergeCell ref="N3:P3"/>
    <mergeCell ref="N4:P4"/>
    <mergeCell ref="J3:L3"/>
    <mergeCell ref="J4:L4"/>
    <mergeCell ref="F3:H3"/>
    <mergeCell ref="F4:H4"/>
    <mergeCell ref="H17:I17"/>
    <mergeCell ref="H16:I16"/>
    <mergeCell ref="H47:I47"/>
    <mergeCell ref="E46:F46"/>
    <mergeCell ref="E47:F47"/>
    <mergeCell ref="H37:I37"/>
    <mergeCell ref="H36:I36"/>
    <mergeCell ref="H46:I46"/>
    <mergeCell ref="B16:C16"/>
    <mergeCell ref="B47:C47"/>
    <mergeCell ref="B26:C26"/>
    <mergeCell ref="E37:F37"/>
    <mergeCell ref="B36:C36"/>
    <mergeCell ref="E36:F36"/>
    <mergeCell ref="B37:C37"/>
    <mergeCell ref="B25:C25"/>
    <mergeCell ref="E17:F17"/>
    <mergeCell ref="B46:C46"/>
    <mergeCell ref="E25:F25"/>
    <mergeCell ref="B17:C17"/>
    <mergeCell ref="E26:F26"/>
    <mergeCell ref="E16:F16"/>
    <mergeCell ref="B85:C85"/>
    <mergeCell ref="B94:C94"/>
    <mergeCell ref="B72:C72"/>
    <mergeCell ref="B73:C73"/>
    <mergeCell ref="B63:C63"/>
    <mergeCell ref="B64:C64"/>
    <mergeCell ref="B84:C84"/>
    <mergeCell ref="B93:C93"/>
  </mergeCells>
  <phoneticPr fontId="2"/>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enableFormatConditionsCalculation="0">
    <tabColor rgb="FFFFFF00"/>
  </sheetPr>
  <dimension ref="A1:BD63"/>
  <sheetViews>
    <sheetView showGridLines="0" workbookViewId="0"/>
  </sheetViews>
  <sheetFormatPr defaultColWidth="8.85546875" defaultRowHeight="12.75"/>
  <cols>
    <col min="1" max="1" width="12.42578125" style="72" customWidth="1"/>
    <col min="2" max="2" width="10.140625" style="72" customWidth="1"/>
    <col min="3" max="3" width="58" style="72" bestFit="1" customWidth="1"/>
    <col min="4" max="4" width="14.85546875" style="72" bestFit="1" customWidth="1"/>
    <col min="5" max="6" width="7.7109375" style="72" bestFit="1" customWidth="1"/>
    <col min="7" max="7" width="7.7109375" style="72" customWidth="1"/>
    <col min="8" max="8" width="6.42578125" style="72" bestFit="1" customWidth="1"/>
    <col min="9" max="9" width="11.85546875" style="72" customWidth="1"/>
    <col min="10" max="10" width="7.7109375" style="72" customWidth="1"/>
    <col min="11" max="11" width="20.42578125" style="72" bestFit="1" customWidth="1"/>
    <col min="12" max="16" width="8.42578125" style="72" customWidth="1"/>
    <col min="17" max="17" width="5.140625" style="72" customWidth="1"/>
    <col min="18" max="18" width="8" style="72" customWidth="1"/>
    <col min="19" max="23" width="8.140625" style="72" customWidth="1"/>
    <col min="24" max="24" width="4.85546875" style="72" customWidth="1"/>
    <col min="25" max="25" width="24.28515625" style="72" customWidth="1"/>
    <col min="26" max="31" width="10.42578125" style="72" customWidth="1"/>
    <col min="32" max="32" width="23" style="72" customWidth="1"/>
    <col min="33" max="36" width="12.42578125" style="72" customWidth="1"/>
    <col min="37" max="37" width="6.85546875" style="72" customWidth="1"/>
    <col min="38" max="38" width="16.42578125" style="72" customWidth="1"/>
    <col min="39" max="40" width="8.140625" style="72" customWidth="1"/>
    <col min="41" max="41" width="4.140625" style="72" customWidth="1"/>
    <col min="42" max="42" width="23.7109375" style="72" customWidth="1"/>
    <col min="43" max="43" width="12.140625" style="72" customWidth="1"/>
    <col min="44" max="44" width="10.85546875" style="72" customWidth="1"/>
    <col min="45" max="45" width="13.42578125" style="72" customWidth="1"/>
    <col min="46" max="47" width="9.42578125" style="72" customWidth="1"/>
    <col min="48" max="48" width="5.42578125" style="72" customWidth="1"/>
    <col min="49" max="49" width="23.42578125" style="72" customWidth="1"/>
    <col min="50" max="53" width="8.42578125" style="72" customWidth="1"/>
    <col min="54" max="54" width="4.28515625" style="72" customWidth="1"/>
    <col min="55" max="55" width="22.7109375" style="72" bestFit="1" customWidth="1"/>
    <col min="56" max="56" width="24.140625" style="72" customWidth="1"/>
    <col min="57" max="16384" width="8.85546875" style="72"/>
  </cols>
  <sheetData>
    <row r="1" spans="1:56" s="1263" customFormat="1" ht="19.5">
      <c r="A1" s="1261" t="str">
        <f>"Calc DNO Opex Allocation for Method M ("&amp;'Calc-Net capex'!B5&amp;") for "&amp;Inputs!B6&amp;" in "&amp;Inputs!C6&amp;"  Status: "&amp;Inputs!D6&amp;""</f>
        <v>Calc DNO Opex Allocation for Method M (LR1) for WPD South Wales in 2015/16  Status: 2014/15</v>
      </c>
    </row>
    <row r="2" spans="1:56">
      <c r="A2" s="230"/>
    </row>
    <row r="3" spans="1:56" s="207" customFormat="1" ht="58.5" customHeight="1">
      <c r="D3" s="2201" t="s">
        <v>329</v>
      </c>
      <c r="E3" s="2201"/>
      <c r="F3" s="2201"/>
      <c r="G3" s="2201"/>
      <c r="H3" s="2201"/>
      <c r="I3" s="2201"/>
      <c r="K3" s="2205" t="s">
        <v>897</v>
      </c>
      <c r="L3" s="2206"/>
      <c r="M3" s="2206"/>
      <c r="N3" s="2206"/>
      <c r="O3" s="2206"/>
      <c r="P3" s="2206"/>
      <c r="Q3" s="853"/>
      <c r="S3" s="2208" t="s">
        <v>898</v>
      </c>
      <c r="T3" s="2209"/>
      <c r="U3" s="2209"/>
      <c r="V3" s="2209"/>
      <c r="W3" s="2209"/>
      <c r="Z3" s="2205" t="s">
        <v>899</v>
      </c>
      <c r="AA3" s="2205"/>
      <c r="AB3" s="2205"/>
      <c r="AC3" s="2205"/>
      <c r="AD3" s="2205"/>
      <c r="AG3" s="2205" t="s">
        <v>901</v>
      </c>
      <c r="AH3" s="2206"/>
      <c r="AI3" s="2206"/>
      <c r="AJ3" s="2206"/>
      <c r="AL3" s="2209" t="s">
        <v>330</v>
      </c>
      <c r="AM3" s="2209"/>
      <c r="AN3" s="2209"/>
      <c r="AO3" s="2209"/>
      <c r="AP3" s="2209"/>
      <c r="AQ3" s="2209"/>
      <c r="AR3" s="2209"/>
      <c r="AS3" s="2209"/>
      <c r="AT3" s="2209"/>
      <c r="AU3" s="2209"/>
      <c r="AV3" s="2209"/>
      <c r="AW3" s="2209"/>
      <c r="AX3" s="2209"/>
      <c r="AY3" s="2209"/>
      <c r="AZ3" s="2209"/>
      <c r="BA3" s="2209"/>
    </row>
    <row r="4" spans="1:56" s="852" customFormat="1" ht="28.5" customHeight="1">
      <c r="A4" s="847"/>
      <c r="B4" s="847"/>
      <c r="C4" s="848"/>
      <c r="D4" s="849"/>
      <c r="E4" s="2210" t="s">
        <v>705</v>
      </c>
      <c r="F4" s="2211"/>
      <c r="G4" s="2211"/>
      <c r="H4" s="2211"/>
      <c r="I4" s="2212"/>
      <c r="J4" s="854"/>
      <c r="K4" s="2202" t="s">
        <v>416</v>
      </c>
      <c r="L4" s="2203"/>
      <c r="M4" s="2203"/>
      <c r="N4" s="2203"/>
      <c r="O4" s="2203"/>
      <c r="P4" s="2204"/>
      <c r="Q4" s="855"/>
      <c r="R4" s="856"/>
      <c r="S4" s="2207" t="s">
        <v>680</v>
      </c>
      <c r="T4" s="2207"/>
      <c r="U4" s="2207"/>
      <c r="V4" s="2207"/>
      <c r="W4" s="2207"/>
      <c r="X4" s="855"/>
      <c r="Y4" s="848"/>
      <c r="Z4" s="2189" t="s">
        <v>900</v>
      </c>
      <c r="AA4" s="2183"/>
      <c r="AB4" s="2183"/>
      <c r="AC4" s="2183"/>
      <c r="AD4" s="2184"/>
      <c r="AE4" s="850"/>
      <c r="AF4" s="850"/>
      <c r="AG4" s="2218" t="s">
        <v>902</v>
      </c>
      <c r="AH4" s="2219"/>
      <c r="AI4" s="2219"/>
      <c r="AJ4" s="2219"/>
      <c r="AK4" s="851"/>
      <c r="AL4" s="2189" t="s">
        <v>903</v>
      </c>
      <c r="AM4" s="2216"/>
      <c r="AN4" s="2217"/>
      <c r="AO4" s="868"/>
      <c r="AP4" s="856"/>
      <c r="AQ4" s="2220" t="s">
        <v>904</v>
      </c>
      <c r="AR4" s="2221"/>
      <c r="AS4" s="2221"/>
      <c r="AT4" s="2221"/>
      <c r="AU4" s="2221"/>
      <c r="AV4" s="841"/>
      <c r="AW4" s="856"/>
      <c r="AX4" s="2213" t="s">
        <v>404</v>
      </c>
      <c r="AY4" s="2214"/>
      <c r="AZ4" s="2214"/>
      <c r="BA4" s="2215"/>
      <c r="BC4" s="847"/>
      <c r="BD4" s="847"/>
    </row>
    <row r="5" spans="1:56" s="75" customFormat="1" ht="67.5" customHeight="1">
      <c r="A5" s="73"/>
      <c r="B5" s="73"/>
      <c r="C5" s="73"/>
      <c r="D5" s="838" t="s">
        <v>325</v>
      </c>
      <c r="E5" s="2234" t="s">
        <v>896</v>
      </c>
      <c r="F5" s="2235"/>
      <c r="G5" s="2235"/>
      <c r="H5" s="2235"/>
      <c r="I5" s="838" t="s">
        <v>326</v>
      </c>
      <c r="J5" s="73"/>
      <c r="K5" s="85" t="s">
        <v>423</v>
      </c>
      <c r="L5" s="2228" t="s">
        <v>417</v>
      </c>
      <c r="M5" s="2229"/>
      <c r="N5" s="2229"/>
      <c r="O5" s="2229"/>
      <c r="P5" s="2230"/>
      <c r="Q5" s="46"/>
      <c r="R5" s="74"/>
      <c r="S5" s="97"/>
      <c r="T5" s="98"/>
      <c r="U5" s="98"/>
      <c r="V5" s="98"/>
      <c r="W5" s="99"/>
      <c r="X5" s="73"/>
      <c r="Y5" s="74"/>
      <c r="Z5" s="97"/>
      <c r="AA5" s="98"/>
      <c r="AB5" s="98"/>
      <c r="AC5" s="98"/>
      <c r="AD5" s="99"/>
      <c r="AE5" s="73"/>
      <c r="AF5" s="74"/>
      <c r="AG5" s="97"/>
      <c r="AH5" s="98"/>
      <c r="AI5" s="98"/>
      <c r="AJ5" s="99"/>
      <c r="AK5" s="74"/>
      <c r="AL5" s="869" t="s">
        <v>354</v>
      </c>
      <c r="AM5" s="864" t="s">
        <v>512</v>
      </c>
      <c r="AN5" s="870" t="s">
        <v>511</v>
      </c>
      <c r="AO5" s="73"/>
      <c r="AP5" s="73"/>
      <c r="AQ5" s="838" t="s">
        <v>244</v>
      </c>
      <c r="AR5" s="838" t="s">
        <v>238</v>
      </c>
      <c r="AS5" s="838" t="s">
        <v>405</v>
      </c>
      <c r="AT5" s="838" t="s">
        <v>619</v>
      </c>
      <c r="AU5" s="838" t="s">
        <v>879</v>
      </c>
      <c r="AV5" s="824"/>
      <c r="AW5" s="74"/>
      <c r="AX5" s="838" t="s">
        <v>244</v>
      </c>
      <c r="AY5" s="838" t="s">
        <v>238</v>
      </c>
      <c r="AZ5" s="838" t="s">
        <v>405</v>
      </c>
      <c r="BA5" s="838" t="s">
        <v>239</v>
      </c>
      <c r="BC5" s="196"/>
      <c r="BD5" s="76"/>
    </row>
    <row r="6" spans="1:56" s="18" customFormat="1" ht="25.5">
      <c r="A6" s="846"/>
      <c r="B6" s="839"/>
      <c r="C6" s="839"/>
      <c r="D6" s="840"/>
      <c r="E6" s="840" t="s">
        <v>244</v>
      </c>
      <c r="F6" s="840" t="s">
        <v>238</v>
      </c>
      <c r="G6" s="840" t="s">
        <v>405</v>
      </c>
      <c r="H6" s="840" t="s">
        <v>239</v>
      </c>
      <c r="I6" s="840"/>
      <c r="J6" s="839"/>
      <c r="K6" s="94"/>
      <c r="L6" s="95" t="s">
        <v>244</v>
      </c>
      <c r="M6" s="94" t="s">
        <v>238</v>
      </c>
      <c r="N6" s="94" t="s">
        <v>405</v>
      </c>
      <c r="O6" s="94" t="s">
        <v>619</v>
      </c>
      <c r="P6" s="94" t="s">
        <v>879</v>
      </c>
      <c r="Q6" s="46"/>
      <c r="R6" s="841"/>
      <c r="S6" s="840" t="s">
        <v>244</v>
      </c>
      <c r="T6" s="840" t="s">
        <v>238</v>
      </c>
      <c r="U6" s="840" t="s">
        <v>405</v>
      </c>
      <c r="V6" s="840" t="s">
        <v>619</v>
      </c>
      <c r="W6" s="840" t="s">
        <v>879</v>
      </c>
      <c r="X6" s="841"/>
      <c r="Y6" s="841"/>
      <c r="Z6" s="840" t="s">
        <v>244</v>
      </c>
      <c r="AA6" s="840" t="s">
        <v>238</v>
      </c>
      <c r="AB6" s="840" t="s">
        <v>405</v>
      </c>
      <c r="AC6" s="840" t="s">
        <v>619</v>
      </c>
      <c r="AD6" s="840" t="s">
        <v>879</v>
      </c>
      <c r="AE6" s="841"/>
      <c r="AF6" s="841"/>
      <c r="AG6" s="840" t="s">
        <v>244</v>
      </c>
      <c r="AH6" s="840" t="s">
        <v>238</v>
      </c>
      <c r="AI6" s="840" t="s">
        <v>405</v>
      </c>
      <c r="AJ6" s="840" t="s">
        <v>619</v>
      </c>
      <c r="AK6" s="841"/>
      <c r="AL6" s="842"/>
      <c r="AM6" s="840"/>
      <c r="AN6" s="843"/>
      <c r="AO6" s="839"/>
      <c r="AP6" s="839"/>
      <c r="AQ6" s="840"/>
      <c r="AR6" s="840"/>
      <c r="AS6" s="840"/>
      <c r="AT6" s="840"/>
      <c r="AU6" s="840"/>
      <c r="AV6" s="841"/>
      <c r="AW6" s="841"/>
      <c r="AX6" s="840"/>
      <c r="AY6" s="840"/>
      <c r="AZ6" s="840"/>
      <c r="BA6" s="840"/>
      <c r="BC6" s="844"/>
      <c r="BD6" s="845"/>
    </row>
    <row r="7" spans="1:56" s="43" customFormat="1" ht="12.75" customHeight="1">
      <c r="A7" s="2242" t="s">
        <v>406</v>
      </c>
      <c r="B7" s="2236" t="s">
        <v>654</v>
      </c>
      <c r="C7" s="80" t="s">
        <v>634</v>
      </c>
      <c r="D7" s="85">
        <f>'RRP 1.3'!D$12</f>
        <v>-0.50000000000000178</v>
      </c>
      <c r="E7" s="85">
        <f>'RRP 2.4'!L13+'RRP 2.4'!L14+'RRP 2.4'!L18+'RRP 2.4'!L19</f>
        <v>4.7</v>
      </c>
      <c r="F7" s="85">
        <f>'RRP 2.4'!L12+'RRP 2.4'!L17-'Calc DNO Opex Allocation'!G7</f>
        <v>3.8</v>
      </c>
      <c r="G7" s="85">
        <v>0</v>
      </c>
      <c r="H7" s="85">
        <f>'RRP 2.4'!L11+'RRP 2.4'!L16+'RRP 2.4'!L24</f>
        <v>-9</v>
      </c>
      <c r="I7" s="85">
        <f t="shared" ref="I7:I40" si="0">D7-E7-F7-G7-H7</f>
        <v>0</v>
      </c>
      <c r="J7" s="46"/>
      <c r="K7" s="85" t="s">
        <v>478</v>
      </c>
      <c r="L7" s="169">
        <f>IF(ISERROR(VLOOKUP($K7,'Calc-Drivers'!$B$17:$G$27,L$43,FALSE))," ",VLOOKUP($K7,'Calc-Drivers'!$B$17:$G$27,L$43,FALSE))</f>
        <v>0.19189948900396195</v>
      </c>
      <c r="M7" s="169">
        <f>IF(ISERROR(VLOOKUP($K7,'Calc-Drivers'!$B$17:$G$27,M$43,FALSE))," ",VLOOKUP($K7,'Calc-Drivers'!$B$17:$G$27,M$43,FALSE))</f>
        <v>0.28852097487445499</v>
      </c>
      <c r="N7" s="169">
        <f>IF(ISERROR(VLOOKUP($K7,'Calc-Drivers'!$B$17:$G$27,N$43,FALSE))," ",VLOOKUP($K7,'Calc-Drivers'!$B$17:$G$27,N$43,FALSE))</f>
        <v>7.0613423528999547E-2</v>
      </c>
      <c r="O7" s="169">
        <f>IF(ISERROR(VLOOKUP($K7,'Calc-Drivers'!$B$17:$G$27,O$43,FALSE))," ",VLOOKUP($K7,'Calc-Drivers'!$B$17:$G$27,O$43,FALSE))</f>
        <v>0.28236489337795212</v>
      </c>
      <c r="P7" s="169">
        <f>IF(ISERROR(VLOOKUP($K7,'Calc-Drivers'!$B$17:$G$27,P$43,FALSE))," ",VLOOKUP($K7,'Calc-Drivers'!$B$17:$G$27,P$43,FALSE))</f>
        <v>0.16660121921463145</v>
      </c>
      <c r="Q7" s="108"/>
      <c r="R7" s="48"/>
      <c r="S7" s="104">
        <f t="shared" ref="S7:S39" si="1">IF(ISERROR($I7*L7)," ",$I7*L7)</f>
        <v>0</v>
      </c>
      <c r="T7" s="104">
        <f t="shared" ref="T7:T39" si="2">IF(ISERROR($I7*M7)," ",$I7*M7)</f>
        <v>0</v>
      </c>
      <c r="U7" s="104">
        <f t="shared" ref="U7:U39" si="3">IF(ISERROR($I7*N7)," ",$I7*N7)</f>
        <v>0</v>
      </c>
      <c r="V7" s="100">
        <f t="shared" ref="V7:W39" si="4">IF(ISERROR($I7*O7)," ",$I7*O7)</f>
        <v>0</v>
      </c>
      <c r="W7" s="100">
        <f t="shared" si="4"/>
        <v>0</v>
      </c>
      <c r="X7" s="50"/>
      <c r="Y7" s="44"/>
      <c r="Z7" s="49">
        <f t="shared" ref="Z7:Z39" si="5">IF($K7="Do not allocate"," ",S7+E7)</f>
        <v>4.7</v>
      </c>
      <c r="AA7" s="49">
        <f t="shared" ref="AA7:AA39" si="6">IF($K7="Do not allocate"," ",T7+F7)</f>
        <v>3.8</v>
      </c>
      <c r="AB7" s="49">
        <f t="shared" ref="AB7:AB39" si="7">IF($K7="Do not allocate"," ",U7+G7)</f>
        <v>0</v>
      </c>
      <c r="AC7" s="866">
        <f t="shared" ref="AC7:AC39" si="8">IF($K7="Do not allocate"," ",($H7*O7/($O7+$P7)+V7))</f>
        <v>-5.6603025687768769</v>
      </c>
      <c r="AD7" s="101">
        <f t="shared" ref="AD7:AD39" si="9">IF($K7="Do not allocate"," ",($H7*P7/($O7+$P7)+W7))</f>
        <v>-3.3396974312231231</v>
      </c>
      <c r="AE7" s="50"/>
      <c r="AF7" s="50"/>
      <c r="AG7" s="51">
        <f>IF(ISERROR(Z7*100000000/'Calc-Units'!$E$23)," ",Z7*100000000/'Calc-Units'!$E$23)</f>
        <v>3.7852360544718015E-2</v>
      </c>
      <c r="AH7" s="51">
        <f>IF(ISERROR(AA7*100000000/'Calc-Units'!$D$23)," ",AA7*100000000/'Calc-Units'!$D$23)</f>
        <v>3.9528082196430385E-2</v>
      </c>
      <c r="AI7" s="51">
        <f>IF(ISERROR(AB7*100000000/'Calc-Units'!$C$23)," ",AB7*100000000/'Calc-Units'!$C$23)</f>
        <v>0</v>
      </c>
      <c r="AJ7" s="171">
        <f>IF(ISERROR(AC7*100000000/'Calc-Units'!$C$23)," ",AC7*100000000/'Calc-Units'!$C$23)</f>
        <v>-7.8438780503065728E-2</v>
      </c>
      <c r="AK7" s="52"/>
      <c r="AL7" s="45">
        <v>1</v>
      </c>
      <c r="AM7" s="84">
        <f t="shared" ref="AM7:AM39" si="10">AL7*D7</f>
        <v>-0.50000000000000178</v>
      </c>
      <c r="AN7" s="47">
        <f t="shared" ref="AN7:AN39" si="11">D7*(1-AL7)</f>
        <v>0</v>
      </c>
      <c r="AO7" s="46"/>
      <c r="AP7" s="46"/>
      <c r="AQ7" s="49">
        <f>IF(ISERROR(Z7*(1-$AL7))," ",Z7*(1-$AL7))</f>
        <v>0</v>
      </c>
      <c r="AR7" s="49">
        <f>IF(ISERROR(AA7*(1-$AL7))," ",AA7*(1-$AL7))</f>
        <v>0</v>
      </c>
      <c r="AS7" s="49">
        <f>IF(ISERROR(AB7*(1-$AL7))," ",AB7*(1-$AL7))</f>
        <v>0</v>
      </c>
      <c r="AT7" s="101">
        <f>IF(ISERROR(AC7*(1-$AL7))," ",AC7*(1-$AL7))</f>
        <v>0</v>
      </c>
      <c r="AU7" s="101">
        <f>IF(ISERROR(AD7*(1-$AL7))," ",AD7*(1-$AL7))</f>
        <v>0</v>
      </c>
      <c r="AV7" s="50"/>
      <c r="AW7" s="52"/>
      <c r="AX7" s="198">
        <f>IF(ISERROR(AQ7*100000000/'Calc-Units'!$E$23)," ",AQ7*100000000/'Calc-Units'!$E$23)</f>
        <v>0</v>
      </c>
      <c r="AY7" s="198">
        <f>IF(ISERROR(AR7*100000000/'Calc-Units'!$D$23)," ",AR7*100000000/'Calc-Units'!$D$23)</f>
        <v>0</v>
      </c>
      <c r="AZ7" s="198">
        <f>IF(ISERROR(AS7*100000000/'Calc-Units'!$C$23)," ",AS7*100000000/'Calc-Units'!$C$23)</f>
        <v>0</v>
      </c>
      <c r="BA7" s="199">
        <f>IF(ISERROR(AT7*100000000/'Calc-Units'!$C$23)," ",AT7*100000000/'Calc-Units'!$C$23)</f>
        <v>0</v>
      </c>
      <c r="BC7" s="55"/>
      <c r="BD7" s="44"/>
    </row>
    <row r="8" spans="1:56" s="43" customFormat="1" ht="12.75" customHeight="1">
      <c r="A8" s="2243"/>
      <c r="B8" s="2237"/>
      <c r="C8" s="81" t="s">
        <v>464</v>
      </c>
      <c r="D8" s="84">
        <f>'RRP 1.3'!E$12</f>
        <v>32.299999999999997</v>
      </c>
      <c r="E8" s="110">
        <f>SUM('RRP 2.4'!G44:G55)+'RRP 2.4'!G71+'RRP 2.4'!H71</f>
        <v>8.5</v>
      </c>
      <c r="F8" s="84">
        <f>SUM('RRP 2.4'!G38:G40)+'RRP 2.4'!F71</f>
        <v>14.299999999999999</v>
      </c>
      <c r="G8" s="84">
        <f>'RRP 2.4'!G41+'RRP 2.4'!G42+'RRP 2.4'!G43</f>
        <v>4.2</v>
      </c>
      <c r="H8" s="84">
        <f>SUM('RRP 2.4'!G31:G37)+'RRP 2.4'!E71</f>
        <v>5.1999999999999993</v>
      </c>
      <c r="I8" s="84">
        <f t="shared" si="0"/>
        <v>9.9999999999998757E-2</v>
      </c>
      <c r="J8" s="46"/>
      <c r="K8" s="84" t="s">
        <v>478</v>
      </c>
      <c r="L8" s="96">
        <f>IF(ISERROR(VLOOKUP($K8,'Calc-Drivers'!$B$17:$G$27,L$43,FALSE))," ",VLOOKUP($K8,'Calc-Drivers'!$B$17:$G$27,L$43,FALSE))</f>
        <v>0.19189948900396195</v>
      </c>
      <c r="M8" s="96">
        <f>IF(ISERROR(VLOOKUP($K8,'Calc-Drivers'!$B$17:$G$27,M$43,FALSE))," ",VLOOKUP($K8,'Calc-Drivers'!$B$17:$G$27,M$43,FALSE))</f>
        <v>0.28852097487445499</v>
      </c>
      <c r="N8" s="96">
        <f>IF(ISERROR(VLOOKUP($K8,'Calc-Drivers'!$B$17:$G$27,N$43,FALSE))," ",VLOOKUP($K8,'Calc-Drivers'!$B$17:$G$27,N$43,FALSE))</f>
        <v>7.0613423528999547E-2</v>
      </c>
      <c r="O8" s="96">
        <f>IF(ISERROR(VLOOKUP($K8,'Calc-Drivers'!$B$17:$G$27,O$43,FALSE))," ",VLOOKUP($K8,'Calc-Drivers'!$B$17:$G$27,O$43,FALSE))</f>
        <v>0.28236489337795212</v>
      </c>
      <c r="P8" s="96">
        <f>IF(ISERROR(VLOOKUP($K8,'Calc-Drivers'!$B$17:$G$27,P$43,FALSE))," ",VLOOKUP($K8,'Calc-Drivers'!$B$17:$G$27,P$43,FALSE))</f>
        <v>0.16660121921463145</v>
      </c>
      <c r="Q8" s="108"/>
      <c r="R8" s="48"/>
      <c r="S8" s="49">
        <f t="shared" si="1"/>
        <v>1.9189948900395958E-2</v>
      </c>
      <c r="T8" s="49">
        <f t="shared" si="2"/>
        <v>2.885209748744514E-2</v>
      </c>
      <c r="U8" s="49">
        <f t="shared" si="3"/>
        <v>7.0613423528998673E-3</v>
      </c>
      <c r="V8" s="101">
        <f t="shared" si="4"/>
        <v>2.8236489337794862E-2</v>
      </c>
      <c r="W8" s="101">
        <f t="shared" si="4"/>
        <v>1.6660121921462937E-2</v>
      </c>
      <c r="X8" s="50"/>
      <c r="Y8" s="44"/>
      <c r="Z8" s="49">
        <f t="shared" si="5"/>
        <v>8.5191899489003955</v>
      </c>
      <c r="AA8" s="49">
        <f t="shared" si="6"/>
        <v>14.328852097487443</v>
      </c>
      <c r="AB8" s="49">
        <f t="shared" si="7"/>
        <v>4.2070613423529002</v>
      </c>
      <c r="AC8" s="101">
        <f t="shared" si="8"/>
        <v>3.2986335290755453</v>
      </c>
      <c r="AD8" s="101">
        <f t="shared" si="9"/>
        <v>1.9462630821837121</v>
      </c>
      <c r="AE8" s="50"/>
      <c r="AF8" s="50"/>
      <c r="AG8" s="51">
        <f>IF(ISERROR(Z8*100000000/'Calc-Units'!$E$23)," ",Z8*100000000/'Calc-Units'!$E$23)</f>
        <v>6.8610946701003317E-2</v>
      </c>
      <c r="AH8" s="51">
        <f>IF(ISERROR(AA8*100000000/'Calc-Units'!$D$23)," ",AA8*100000000/'Calc-Units'!$D$23)</f>
        <v>0.14905053776052041</v>
      </c>
      <c r="AI8" s="51">
        <f>IF(ISERROR(AB8*100000000/'Calc-Units'!$C$23)," ",AB8*100000000/'Calc-Units'!$C$23)</f>
        <v>5.8300198122988416E-2</v>
      </c>
      <c r="AJ8" s="171">
        <f>IF(ISERROR(AC8*100000000/'Calc-Units'!$C$23)," ",AC8*100000000/'Calc-Units'!$C$23)</f>
        <v>4.5711477116870902E-2</v>
      </c>
      <c r="AK8" s="52"/>
      <c r="AL8" s="45">
        <v>1</v>
      </c>
      <c r="AM8" s="84">
        <f t="shared" si="10"/>
        <v>32.299999999999997</v>
      </c>
      <c r="AN8" s="47">
        <f t="shared" si="11"/>
        <v>0</v>
      </c>
      <c r="AO8" s="46"/>
      <c r="AP8" s="46"/>
      <c r="AQ8" s="49">
        <f t="shared" ref="AQ8:AQ39" si="12">IF(ISERROR(Z8*(1-$AL8))," ",Z8*(1-$AL8))</f>
        <v>0</v>
      </c>
      <c r="AR8" s="49">
        <f t="shared" ref="AR8:AR39" si="13">IF(ISERROR(AA8*(1-$AL8))," ",AA8*(1-$AL8))</f>
        <v>0</v>
      </c>
      <c r="AS8" s="49">
        <f t="shared" ref="AS8:AS39" si="14">IF(ISERROR(AB8*(1-$AL8))," ",AB8*(1-$AL8))</f>
        <v>0</v>
      </c>
      <c r="AT8" s="101">
        <f t="shared" ref="AT8:AT39" si="15">IF(ISERROR(AC8*(1-$AL8))," ",AC8*(1-$AL8))</f>
        <v>0</v>
      </c>
      <c r="AU8" s="101">
        <f t="shared" ref="AU8:AU39" si="16">IF(ISERROR(AD8*(1-$AL8))," ",AD8*(1-$AL8))</f>
        <v>0</v>
      </c>
      <c r="AV8" s="50"/>
      <c r="AW8" s="52"/>
      <c r="AX8" s="51">
        <f>IF(ISERROR(AQ8*100000000/'Calc-Units'!$E$23)," ",AQ8*100000000/'Calc-Units'!$E$23)</f>
        <v>0</v>
      </c>
      <c r="AY8" s="51">
        <f>IF(ISERROR(AR8*100000000/'Calc-Units'!$D$23)," ",AR8*100000000/'Calc-Units'!$D$23)</f>
        <v>0</v>
      </c>
      <c r="AZ8" s="51">
        <f>IF(ISERROR(AS8*100000000/'Calc-Units'!$C$23)," ",AS8*100000000/'Calc-Units'!$C$23)</f>
        <v>0</v>
      </c>
      <c r="BA8" s="171">
        <f>IF(ISERROR(AT8*100000000/'Calc-Units'!$C$23)," ",AT8*100000000/'Calc-Units'!$C$23)</f>
        <v>0</v>
      </c>
      <c r="BC8" s="55"/>
      <c r="BD8" s="44"/>
    </row>
    <row r="9" spans="1:56" s="43" customFormat="1">
      <c r="A9" s="2243"/>
      <c r="B9" s="2237"/>
      <c r="C9" s="81" t="s">
        <v>465</v>
      </c>
      <c r="D9" s="84">
        <f>'RRP 1.3'!F$12</f>
        <v>3</v>
      </c>
      <c r="E9" s="84">
        <v>0</v>
      </c>
      <c r="F9" s="84">
        <v>0</v>
      </c>
      <c r="G9" s="84">
        <v>0</v>
      </c>
      <c r="H9" s="84">
        <v>0</v>
      </c>
      <c r="I9" s="84">
        <f t="shared" si="0"/>
        <v>3</v>
      </c>
      <c r="J9" s="46"/>
      <c r="K9" s="84" t="s">
        <v>478</v>
      </c>
      <c r="L9" s="96">
        <f>IF(ISERROR(VLOOKUP($K9,'Calc-Drivers'!$B$17:$G$27,L$43,FALSE))," ",VLOOKUP($K9,'Calc-Drivers'!$B$17:$G$27,L$43,FALSE))</f>
        <v>0.19189948900396195</v>
      </c>
      <c r="M9" s="96">
        <f>IF(ISERROR(VLOOKUP($K9,'Calc-Drivers'!$B$17:$G$27,M$43,FALSE))," ",VLOOKUP($K9,'Calc-Drivers'!$B$17:$G$27,M$43,FALSE))</f>
        <v>0.28852097487445499</v>
      </c>
      <c r="N9" s="96">
        <f>IF(ISERROR(VLOOKUP($K9,'Calc-Drivers'!$B$17:$G$27,N$43,FALSE))," ",VLOOKUP($K9,'Calc-Drivers'!$B$17:$G$27,N$43,FALSE))</f>
        <v>7.0613423528999547E-2</v>
      </c>
      <c r="O9" s="96">
        <f>IF(ISERROR(VLOOKUP($K9,'Calc-Drivers'!$B$17:$G$27,O$43,FALSE))," ",VLOOKUP($K9,'Calc-Drivers'!$B$17:$G$27,O$43,FALSE))</f>
        <v>0.28236489337795212</v>
      </c>
      <c r="P9" s="96">
        <f>IF(ISERROR(VLOOKUP($K9,'Calc-Drivers'!$B$17:$G$27,P$43,FALSE))," ",VLOOKUP($K9,'Calc-Drivers'!$B$17:$G$27,P$43,FALSE))</f>
        <v>0.16660121921463145</v>
      </c>
      <c r="Q9" s="108"/>
      <c r="R9" s="48"/>
      <c r="S9" s="49">
        <f t="shared" si="1"/>
        <v>0.57569846701188587</v>
      </c>
      <c r="T9" s="49">
        <f t="shared" si="2"/>
        <v>0.86556292462336493</v>
      </c>
      <c r="U9" s="49">
        <f t="shared" si="3"/>
        <v>0.21184027058699864</v>
      </c>
      <c r="V9" s="101">
        <f t="shared" si="4"/>
        <v>0.84709468013385636</v>
      </c>
      <c r="W9" s="101">
        <f t="shared" si="4"/>
        <v>0.49980365764389434</v>
      </c>
      <c r="X9" s="50"/>
      <c r="Y9" s="44"/>
      <c r="Z9" s="49">
        <f t="shared" si="5"/>
        <v>0.57569846701188587</v>
      </c>
      <c r="AA9" s="49">
        <f t="shared" si="6"/>
        <v>0.86556292462336493</v>
      </c>
      <c r="AB9" s="49">
        <f t="shared" si="7"/>
        <v>0.21184027058699864</v>
      </c>
      <c r="AC9" s="101">
        <f t="shared" si="8"/>
        <v>0.84709468013385636</v>
      </c>
      <c r="AD9" s="101">
        <f t="shared" si="9"/>
        <v>0.49980365764389434</v>
      </c>
      <c r="AE9" s="50"/>
      <c r="AF9" s="50"/>
      <c r="AG9" s="51">
        <f>IF(ISERROR(Z9*100000000/'Calc-Units'!$E$23)," ",Z9*100000000/'Calc-Units'!$E$23)</f>
        <v>4.6364991358245431E-3</v>
      </c>
      <c r="AH9" s="51">
        <f>IF(ISERROR(AA9*100000000/'Calc-Units'!$D$23)," ",AA9*100000000/'Calc-Units'!$D$23)</f>
        <v>9.0036953764986976E-3</v>
      </c>
      <c r="AI9" s="51">
        <f>IF(ISERROR(AB9*100000000/'Calc-Units'!$C$23)," ",AB9*100000000/'Calc-Units'!$C$23)</f>
        <v>2.9356191271369195E-3</v>
      </c>
      <c r="AJ9" s="171">
        <f>IF(ISERROR(AC9*100000000/'Calc-Units'!$C$23)," ",AC9*100000000/'Calc-Units'!$C$23)</f>
        <v>1.1738784786321453E-2</v>
      </c>
      <c r="AK9" s="52"/>
      <c r="AL9" s="45">
        <v>0.23499999999999999</v>
      </c>
      <c r="AM9" s="84">
        <f t="shared" si="10"/>
        <v>0.70499999999999996</v>
      </c>
      <c r="AN9" s="47">
        <f t="shared" si="11"/>
        <v>2.2949999999999999</v>
      </c>
      <c r="AO9" s="46"/>
      <c r="AP9" s="46"/>
      <c r="AQ9" s="49">
        <f t="shared" si="12"/>
        <v>0.44040932726409271</v>
      </c>
      <c r="AR9" s="49">
        <f t="shared" si="13"/>
        <v>0.66215563733687421</v>
      </c>
      <c r="AS9" s="49">
        <f t="shared" si="14"/>
        <v>0.16205780699905398</v>
      </c>
      <c r="AT9" s="101">
        <f t="shared" si="15"/>
        <v>0.64802743030240018</v>
      </c>
      <c r="AU9" s="101">
        <f t="shared" si="16"/>
        <v>0.38234979809757919</v>
      </c>
      <c r="AV9" s="50"/>
      <c r="AW9" s="52"/>
      <c r="AX9" s="51">
        <f>IF(ISERROR(AQ9*100000000/'Calc-Units'!$E$23)," ",AQ9*100000000/'Calc-Units'!$E$23)</f>
        <v>3.5469218389057758E-3</v>
      </c>
      <c r="AY9" s="51">
        <f>IF(ISERROR(AR9*100000000/'Calc-Units'!$D$23)," ",AR9*100000000/'Calc-Units'!$D$23)</f>
        <v>6.8878269630215034E-3</v>
      </c>
      <c r="AZ9" s="51">
        <f>IF(ISERROR(AS9*100000000/'Calc-Units'!$C$23)," ",AS9*100000000/'Calc-Units'!$C$23)</f>
        <v>2.2457486322597434E-3</v>
      </c>
      <c r="BA9" s="171">
        <f>IF(ISERROR(AT9*100000000/'Calc-Units'!$C$23)," ",AT9*100000000/'Calc-Units'!$C$23)</f>
        <v>8.9801703615359114E-3</v>
      </c>
      <c r="BC9" s="55"/>
      <c r="BD9" s="44"/>
    </row>
    <row r="10" spans="1:56" s="43" customFormat="1">
      <c r="A10" s="2243"/>
      <c r="B10" s="2237"/>
      <c r="C10" s="81" t="s">
        <v>212</v>
      </c>
      <c r="D10" s="84">
        <f>'RRP 1.3'!G$12</f>
        <v>8.3000000000000007</v>
      </c>
      <c r="E10" s="84">
        <f>SUM('RRP 2.3'!I20:I27)</f>
        <v>0.60000000000000009</v>
      </c>
      <c r="F10" s="84">
        <f>SUM('RRP 2.3'!I17:I18)</f>
        <v>2.2999999999999998</v>
      </c>
      <c r="G10" s="84">
        <f>SUM('RRP 2.3'!I19)</f>
        <v>0.2</v>
      </c>
      <c r="H10" s="84">
        <f>SUM('RRP 2.3'!I11:I16)</f>
        <v>4.8999999999999995</v>
      </c>
      <c r="I10" s="84">
        <f t="shared" si="0"/>
        <v>0.3000000000000016</v>
      </c>
      <c r="J10" s="46"/>
      <c r="K10" s="84" t="s">
        <v>478</v>
      </c>
      <c r="L10" s="96">
        <f>IF(ISERROR(VLOOKUP($K10,'Calc-Drivers'!$B$17:$G$27,L$43,FALSE))," ",VLOOKUP($K10,'Calc-Drivers'!$B$17:$G$27,L$43,FALSE))</f>
        <v>0.19189948900396195</v>
      </c>
      <c r="M10" s="96">
        <f>IF(ISERROR(VLOOKUP($K10,'Calc-Drivers'!$B$17:$G$27,M$43,FALSE))," ",VLOOKUP($K10,'Calc-Drivers'!$B$17:$G$27,M$43,FALSE))</f>
        <v>0.28852097487445499</v>
      </c>
      <c r="N10" s="96">
        <f>IF(ISERROR(VLOOKUP($K10,'Calc-Drivers'!$B$17:$G$27,N$43,FALSE))," ",VLOOKUP($K10,'Calc-Drivers'!$B$17:$G$27,N$43,FALSE))</f>
        <v>7.0613423528999547E-2</v>
      </c>
      <c r="O10" s="96">
        <f>IF(ISERROR(VLOOKUP($K10,'Calc-Drivers'!$B$17:$G$27,O$43,FALSE))," ",VLOOKUP($K10,'Calc-Drivers'!$B$17:$G$27,O$43,FALSE))</f>
        <v>0.28236489337795212</v>
      </c>
      <c r="P10" s="96">
        <f>IF(ISERROR(VLOOKUP($K10,'Calc-Drivers'!$B$17:$G$27,P$43,FALSE))," ",VLOOKUP($K10,'Calc-Drivers'!$B$17:$G$27,P$43,FALSE))</f>
        <v>0.16660121921463145</v>
      </c>
      <c r="Q10" s="108"/>
      <c r="R10" s="48"/>
      <c r="S10" s="49">
        <f t="shared" si="1"/>
        <v>5.7569846701188893E-2</v>
      </c>
      <c r="T10" s="49">
        <f t="shared" si="2"/>
        <v>8.6556292462336953E-2</v>
      </c>
      <c r="U10" s="49">
        <f t="shared" si="3"/>
        <v>2.1184027058699977E-2</v>
      </c>
      <c r="V10" s="101">
        <f t="shared" si="4"/>
        <v>8.4709468013386094E-2</v>
      </c>
      <c r="W10" s="101">
        <f t="shared" si="4"/>
        <v>4.9980365764389703E-2</v>
      </c>
      <c r="X10" s="50"/>
      <c r="Y10" s="44"/>
      <c r="Z10" s="49">
        <f t="shared" si="5"/>
        <v>0.65756984670118901</v>
      </c>
      <c r="AA10" s="49">
        <f t="shared" si="6"/>
        <v>2.3865562924623367</v>
      </c>
      <c r="AB10" s="49">
        <f t="shared" si="7"/>
        <v>0.22118402705869999</v>
      </c>
      <c r="AC10" s="101">
        <f t="shared" si="8"/>
        <v>3.1664297554585739</v>
      </c>
      <c r="AD10" s="101">
        <f t="shared" si="9"/>
        <v>1.8682600783192012</v>
      </c>
      <c r="AE10" s="50"/>
      <c r="AF10" s="50"/>
      <c r="AG10" s="51">
        <f>IF(ISERROR(Z10*100000000/'Calc-Units'!$E$23)," ",Z10*100000000/'Calc-Units'!$E$23)</f>
        <v>5.2958661533336936E-3</v>
      </c>
      <c r="AH10" s="51">
        <f>IF(ISERROR(AA10*100000000/'Calc-Units'!$D$23)," ",AA10*100000000/'Calc-Units'!$D$23)</f>
        <v>2.4825261393384052E-2</v>
      </c>
      <c r="AI10" s="51">
        <f>IF(ISERROR(AB10*100000000/'Calc-Units'!$C$23)," ",AB10*100000000/'Calc-Units'!$C$23)</f>
        <v>3.0651021104319723E-3</v>
      </c>
      <c r="AJ10" s="171">
        <f>IF(ISERROR(AC10*100000000/'Calc-Units'!$C$23)," ",AC10*100000000/'Calc-Units'!$C$23)</f>
        <v>4.3879436752523482E-2</v>
      </c>
      <c r="AK10" s="52"/>
      <c r="AL10" s="45">
        <v>0.23499999999999999</v>
      </c>
      <c r="AM10" s="84">
        <f t="shared" si="10"/>
        <v>1.9505000000000001</v>
      </c>
      <c r="AN10" s="47">
        <f t="shared" si="11"/>
        <v>6.3495000000000008</v>
      </c>
      <c r="AO10" s="46"/>
      <c r="AP10" s="46"/>
      <c r="AQ10" s="49">
        <f t="shared" si="12"/>
        <v>0.5030409327264096</v>
      </c>
      <c r="AR10" s="49">
        <f t="shared" si="13"/>
        <v>1.8257155637336877</v>
      </c>
      <c r="AS10" s="49">
        <f t="shared" si="14"/>
        <v>0.16920578069990549</v>
      </c>
      <c r="AT10" s="101">
        <f t="shared" si="15"/>
        <v>2.4223187629258089</v>
      </c>
      <c r="AU10" s="101">
        <f t="shared" si="16"/>
        <v>1.4292189599141889</v>
      </c>
      <c r="AV10" s="50"/>
      <c r="AW10" s="52"/>
      <c r="AX10" s="51">
        <f>IF(ISERROR(AQ10*100000000/'Calc-Units'!$E$23)," ",AQ10*100000000/'Calc-Units'!$E$23)</f>
        <v>4.0513376073002755E-3</v>
      </c>
      <c r="AY10" s="51">
        <f>IF(ISERROR(AR10*100000000/'Calc-Units'!$D$23)," ",AR10*100000000/'Calc-Units'!$D$23)</f>
        <v>1.8991324965938802E-2</v>
      </c>
      <c r="AZ10" s="51">
        <f>IF(ISERROR(AS10*100000000/'Calc-Units'!$C$23)," ",AS10*100000000/'Calc-Units'!$C$23)</f>
        <v>2.3448031144804589E-3</v>
      </c>
      <c r="BA10" s="171">
        <f>IF(ISERROR(AT10*100000000/'Calc-Units'!$C$23)," ",AT10*100000000/'Calc-Units'!$C$23)</f>
        <v>3.3567769115680469E-2</v>
      </c>
      <c r="BC10" s="55"/>
      <c r="BD10" s="44"/>
    </row>
    <row r="11" spans="1:56" s="43" customFormat="1">
      <c r="A11" s="2243"/>
      <c r="B11" s="2237"/>
      <c r="C11" s="81" t="s">
        <v>357</v>
      </c>
      <c r="D11" s="84">
        <f>'RRP 1.3'!H$12</f>
        <v>5.5</v>
      </c>
      <c r="E11" s="84">
        <f>SUM('RRP 2.3'!G20:G27)</f>
        <v>2.3000000000000003</v>
      </c>
      <c r="F11" s="84">
        <f>SUM('RRP 2.3'!G17:G18)</f>
        <v>0.6</v>
      </c>
      <c r="G11" s="110">
        <f>SUM('RRP 2.3'!G19)</f>
        <v>1.6</v>
      </c>
      <c r="H11" s="84">
        <f>SUM('RRP 2.3'!G11:G16)</f>
        <v>0.70000000000000007</v>
      </c>
      <c r="I11" s="84">
        <f t="shared" si="0"/>
        <v>0.29999999999999949</v>
      </c>
      <c r="J11" s="46"/>
      <c r="K11" s="86" t="s">
        <v>478</v>
      </c>
      <c r="L11" s="96">
        <f>IF(ISERROR(VLOOKUP($K11,'Calc-Drivers'!$B$17:$G$27,L$43,FALSE))," ",VLOOKUP($K11,'Calc-Drivers'!$B$17:$G$27,L$43,FALSE))</f>
        <v>0.19189948900396195</v>
      </c>
      <c r="M11" s="96">
        <f>IF(ISERROR(VLOOKUP($K11,'Calc-Drivers'!$B$17:$G$27,M$43,FALSE))," ",VLOOKUP($K11,'Calc-Drivers'!$B$17:$G$27,M$43,FALSE))</f>
        <v>0.28852097487445499</v>
      </c>
      <c r="N11" s="96">
        <f>IF(ISERROR(VLOOKUP($K11,'Calc-Drivers'!$B$17:$G$27,N$43,FALSE))," ",VLOOKUP($K11,'Calc-Drivers'!$B$17:$G$27,N$43,FALSE))</f>
        <v>7.0613423528999547E-2</v>
      </c>
      <c r="O11" s="96">
        <f>IF(ISERROR(VLOOKUP($K11,'Calc-Drivers'!$B$17:$G$27,O$43,FALSE))," ",VLOOKUP($K11,'Calc-Drivers'!$B$17:$G$27,O$43,FALSE))</f>
        <v>0.28236489337795212</v>
      </c>
      <c r="P11" s="96">
        <f>IF(ISERROR(VLOOKUP($K11,'Calc-Drivers'!$B$17:$G$27,P$43,FALSE))," ",VLOOKUP($K11,'Calc-Drivers'!$B$17:$G$27,P$43,FALSE))</f>
        <v>0.16660121921463145</v>
      </c>
      <c r="Q11" s="108"/>
      <c r="R11" s="48"/>
      <c r="S11" s="49">
        <f t="shared" si="1"/>
        <v>5.7569846701188483E-2</v>
      </c>
      <c r="T11" s="49">
        <f t="shared" si="2"/>
        <v>8.6556292462336357E-2</v>
      </c>
      <c r="U11" s="49">
        <f t="shared" si="3"/>
        <v>2.1184027058699827E-2</v>
      </c>
      <c r="V11" s="101">
        <f t="shared" si="4"/>
        <v>8.4709468013385497E-2</v>
      </c>
      <c r="W11" s="101">
        <f t="shared" si="4"/>
        <v>4.9980365764389349E-2</v>
      </c>
      <c r="X11" s="50"/>
      <c r="Y11" s="44"/>
      <c r="Z11" s="49">
        <f t="shared" si="5"/>
        <v>2.357569846701189</v>
      </c>
      <c r="AA11" s="49">
        <f t="shared" si="6"/>
        <v>0.68655629246233629</v>
      </c>
      <c r="AB11" s="49">
        <f t="shared" si="7"/>
        <v>1.6211840270586999</v>
      </c>
      <c r="AC11" s="101">
        <f t="shared" si="8"/>
        <v>0.52495522336269818</v>
      </c>
      <c r="AD11" s="101">
        <f t="shared" si="9"/>
        <v>0.30973461041507677</v>
      </c>
      <c r="AE11" s="50"/>
      <c r="AF11" s="50"/>
      <c r="AG11" s="51">
        <f>IF(ISERROR(Z11*100000000/'Calc-Units'!$E$23)," ",Z11*100000000/'Calc-Units'!$E$23)</f>
        <v>1.8987145499295529E-2</v>
      </c>
      <c r="AH11" s="51">
        <f>IF(ISERROR(AA11*100000000/'Calc-Units'!$D$23)," ",AA11*100000000/'Calc-Units'!$D$23)</f>
        <v>7.1416456739283492E-3</v>
      </c>
      <c r="AI11" s="51">
        <f>IF(ISERROR(AB11*100000000/'Calc-Units'!$C$23)," ",AB11*100000000/'Calc-Units'!$C$23)</f>
        <v>2.2465883494459923E-2</v>
      </c>
      <c r="AJ11" s="171">
        <f>IF(ISERROR(AC11*100000000/'Calc-Units'!$C$23)," ",AC11*100000000/'Calc-Units'!$C$23)</f>
        <v>7.2746725177594788E-3</v>
      </c>
      <c r="AK11" s="52"/>
      <c r="AL11" s="45">
        <v>0.23499999999999999</v>
      </c>
      <c r="AM11" s="84">
        <f t="shared" si="10"/>
        <v>1.2925</v>
      </c>
      <c r="AN11" s="47">
        <f t="shared" si="11"/>
        <v>4.2075000000000005</v>
      </c>
      <c r="AO11" s="46"/>
      <c r="AP11" s="46"/>
      <c r="AQ11" s="105">
        <f t="shared" si="12"/>
        <v>1.8035409327264096</v>
      </c>
      <c r="AR11" s="105">
        <f t="shared" si="13"/>
        <v>0.52521556373368727</v>
      </c>
      <c r="AS11" s="105">
        <f t="shared" si="14"/>
        <v>1.2402057806999054</v>
      </c>
      <c r="AT11" s="102">
        <f t="shared" si="15"/>
        <v>0.40159074587246413</v>
      </c>
      <c r="AU11" s="102">
        <f t="shared" si="16"/>
        <v>0.23694697696753372</v>
      </c>
      <c r="AV11" s="50"/>
      <c r="AW11" s="52"/>
      <c r="AX11" s="172">
        <f>IF(ISERROR(AQ11*100000000/'Calc-Units'!$E$23)," ",AQ11*100000000/'Calc-Units'!$E$23)</f>
        <v>1.4525166306961081E-2</v>
      </c>
      <c r="AY11" s="172">
        <f>IF(ISERROR(AR11*100000000/'Calc-Units'!$D$23)," ",AR11*100000000/'Calc-Units'!$D$23)</f>
        <v>5.4633589405551873E-3</v>
      </c>
      <c r="AZ11" s="172">
        <f>IF(ISERROR(AS11*100000000/'Calc-Units'!$C$23)," ",AS11*100000000/'Calc-Units'!$C$23)</f>
        <v>1.7186400873261842E-2</v>
      </c>
      <c r="BA11" s="173">
        <f>IF(ISERROR(AT11*100000000/'Calc-Units'!$C$23)," ",AT11*100000000/'Calc-Units'!$C$23)</f>
        <v>5.5651244760860008E-3</v>
      </c>
      <c r="BC11" s="55"/>
      <c r="BD11" s="44"/>
    </row>
    <row r="12" spans="1:56" s="43" customFormat="1" ht="16.5" customHeight="1">
      <c r="A12" s="2244"/>
      <c r="B12" s="2238"/>
      <c r="C12" s="168" t="s">
        <v>214</v>
      </c>
      <c r="D12" s="94">
        <f>'RRP 1.3'!I$12</f>
        <v>4.0999999999999996</v>
      </c>
      <c r="E12" s="94">
        <f>'RRP 2.3'!G46+'RRP 2.3'!G47</f>
        <v>0.6297770891609763</v>
      </c>
      <c r="F12" s="94">
        <f>'RRP 2.3'!G45</f>
        <v>2.3630693363750601</v>
      </c>
      <c r="G12" s="95">
        <v>0</v>
      </c>
      <c r="H12" s="94">
        <f>'RRP 2.3'!G44</f>
        <v>1.1655181170566711</v>
      </c>
      <c r="I12" s="94">
        <f t="shared" si="0"/>
        <v>-5.8364542592707735E-2</v>
      </c>
      <c r="J12" s="46"/>
      <c r="K12" s="103" t="s">
        <v>478</v>
      </c>
      <c r="L12" s="170">
        <f>IF(ISERROR(VLOOKUP($K12,'Calc-Drivers'!$B$17:$G$27,L$43,FALSE))," ",VLOOKUP($K12,'Calc-Drivers'!$B$17:$G$27,L$43,FALSE))</f>
        <v>0.19189948900396195</v>
      </c>
      <c r="M12" s="170">
        <f>IF(ISERROR(VLOOKUP($K12,'Calc-Drivers'!$B$17:$G$27,M$43,FALSE))," ",VLOOKUP($K12,'Calc-Drivers'!$B$17:$G$27,M$43,FALSE))</f>
        <v>0.28852097487445499</v>
      </c>
      <c r="N12" s="170">
        <f>IF(ISERROR(VLOOKUP($K12,'Calc-Drivers'!$B$17:$G$27,N$43,FALSE))," ",VLOOKUP($K12,'Calc-Drivers'!$B$17:$G$27,N$43,FALSE))</f>
        <v>7.0613423528999547E-2</v>
      </c>
      <c r="O12" s="170">
        <f>IF(ISERROR(VLOOKUP($K12,'Calc-Drivers'!$B$17:$G$27,O$43,FALSE))," ",VLOOKUP($K12,'Calc-Drivers'!$B$17:$G$27,O$43,FALSE))</f>
        <v>0.28236489337795212</v>
      </c>
      <c r="P12" s="170">
        <f>IF(ISERROR(VLOOKUP($K12,'Calc-Drivers'!$B$17:$G$27,P$43,FALSE))," ",VLOOKUP($K12,'Calc-Drivers'!$B$17:$G$27,P$43,FALSE))</f>
        <v>0.16660121921463145</v>
      </c>
      <c r="Q12" s="108"/>
      <c r="R12" s="48"/>
      <c r="S12" s="105">
        <f t="shared" si="1"/>
        <v>-1.1200125899490586E-2</v>
      </c>
      <c r="T12" s="105">
        <f t="shared" si="2"/>
        <v>-1.6839394726949689E-2</v>
      </c>
      <c r="U12" s="105">
        <f t="shared" si="3"/>
        <v>-4.1213201651752046E-3</v>
      </c>
      <c r="V12" s="102">
        <f t="shared" si="4"/>
        <v>-1.6480097846242867E-2</v>
      </c>
      <c r="W12" s="102">
        <f t="shared" si="4"/>
        <v>-9.7236039548493948E-3</v>
      </c>
      <c r="X12" s="50"/>
      <c r="Y12" s="44"/>
      <c r="Z12" s="105">
        <f t="shared" si="5"/>
        <v>0.6185769632614857</v>
      </c>
      <c r="AA12" s="105">
        <f t="shared" si="6"/>
        <v>2.3462299416481103</v>
      </c>
      <c r="AB12" s="105">
        <f t="shared" si="7"/>
        <v>-4.1213201651752046E-3</v>
      </c>
      <c r="AC12" s="102">
        <f t="shared" si="8"/>
        <v>0.71654047903507534</v>
      </c>
      <c r="AD12" s="102">
        <f t="shared" si="9"/>
        <v>0.42277393622050358</v>
      </c>
      <c r="AE12" s="50"/>
      <c r="AF12" s="50"/>
      <c r="AG12" s="172">
        <f>IF(ISERROR(Z12*100000000/'Calc-Units'!$E$23)," ",Z12*100000000/'Calc-Units'!$E$23)</f>
        <v>4.981829412346925E-3</v>
      </c>
      <c r="AH12" s="172">
        <f>IF(ISERROR(AA12*100000000/'Calc-Units'!$D$23)," ",AA12*100000000/'Calc-Units'!$D$23)</f>
        <v>2.4405781575050675E-2</v>
      </c>
      <c r="AI12" s="172">
        <f>IF(ISERROR(AB12*100000000/'Calc-Units'!$C$23)," ",AB12*100000000/'Calc-Units'!$C$23)</f>
        <v>-5.7112022527250083E-5</v>
      </c>
      <c r="AJ12" s="173">
        <f>IF(ISERROR(AC12*100000000/'Calc-Units'!$C$23)," ",AC12*100000000/'Calc-Units'!$C$23)</f>
        <v>9.9296037046901139E-3</v>
      </c>
      <c r="AK12" s="52"/>
      <c r="AL12" s="174">
        <v>0.23499999999999999</v>
      </c>
      <c r="AM12" s="94">
        <f t="shared" si="10"/>
        <v>0.96349999999999991</v>
      </c>
      <c r="AN12" s="175">
        <f t="shared" si="11"/>
        <v>3.1364999999999998</v>
      </c>
      <c r="AO12" s="46"/>
      <c r="AP12" s="46"/>
      <c r="AQ12" s="104">
        <f t="shared" si="12"/>
        <v>0.47321137689503656</v>
      </c>
      <c r="AR12" s="104">
        <f t="shared" si="13"/>
        <v>1.7948659053608045</v>
      </c>
      <c r="AS12" s="104">
        <f t="shared" si="14"/>
        <v>-3.1528099263590315E-3</v>
      </c>
      <c r="AT12" s="100">
        <f t="shared" si="15"/>
        <v>0.54815346646183261</v>
      </c>
      <c r="AU12" s="100">
        <f t="shared" si="16"/>
        <v>0.32342206120868522</v>
      </c>
      <c r="AV12" s="50"/>
      <c r="AW12" s="52"/>
      <c r="AX12" s="198">
        <f>IF(ISERROR(AQ12*100000000/'Calc-Units'!$E$23)," ",AQ12*100000000/'Calc-Units'!$E$23)</f>
        <v>3.811099500445397E-3</v>
      </c>
      <c r="AY12" s="198">
        <f>IF(ISERROR(AR12*100000000/'Calc-Units'!$D$23)," ",AR12*100000000/'Calc-Units'!$D$23)</f>
        <v>1.8670422904913768E-2</v>
      </c>
      <c r="AZ12" s="198">
        <f>IF(ISERROR(AS12*100000000/'Calc-Units'!$C$23)," ",AS12*100000000/'Calc-Units'!$C$23)</f>
        <v>-4.3690697233346305E-5</v>
      </c>
      <c r="BA12" s="199">
        <f>IF(ISERROR(AT12*100000000/'Calc-Units'!$C$23)," ",AT12*100000000/'Calc-Units'!$C$23)</f>
        <v>7.5961468340879374E-3</v>
      </c>
      <c r="BC12" s="55"/>
      <c r="BD12" s="44"/>
    </row>
    <row r="13" spans="1:56" s="58" customFormat="1" ht="12.75" customHeight="1">
      <c r="A13" s="59"/>
      <c r="B13" s="2239" t="s">
        <v>71</v>
      </c>
      <c r="C13" s="82" t="s">
        <v>59</v>
      </c>
      <c r="D13" s="86">
        <f>'RRP 1.3'!J$12</f>
        <v>0.6</v>
      </c>
      <c r="E13" s="86">
        <v>0</v>
      </c>
      <c r="F13" s="86">
        <v>0</v>
      </c>
      <c r="G13" s="86">
        <v>0</v>
      </c>
      <c r="H13" s="86">
        <v>0</v>
      </c>
      <c r="I13" s="86">
        <f t="shared" si="0"/>
        <v>0.6</v>
      </c>
      <c r="J13" s="54"/>
      <c r="K13" s="86" t="s">
        <v>478</v>
      </c>
      <c r="L13" s="96">
        <f>IF(ISERROR(VLOOKUP($K13,'Calc-Drivers'!$B$17:$G$27,L$43,FALSE))," ",VLOOKUP($K13,'Calc-Drivers'!$B$17:$G$27,L$43,FALSE))</f>
        <v>0.19189948900396195</v>
      </c>
      <c r="M13" s="96">
        <f>IF(ISERROR(VLOOKUP($K13,'Calc-Drivers'!$B$17:$G$27,M$43,FALSE))," ",VLOOKUP($K13,'Calc-Drivers'!$B$17:$G$27,M$43,FALSE))</f>
        <v>0.28852097487445499</v>
      </c>
      <c r="N13" s="96">
        <f>IF(ISERROR(VLOOKUP($K13,'Calc-Drivers'!$B$17:$G$27,N$43,FALSE))," ",VLOOKUP($K13,'Calc-Drivers'!$B$17:$G$27,N$43,FALSE))</f>
        <v>7.0613423528999547E-2</v>
      </c>
      <c r="O13" s="96">
        <f>IF(ISERROR(VLOOKUP($K13,'Calc-Drivers'!$B$17:$G$27,O$43,FALSE))," ",VLOOKUP($K13,'Calc-Drivers'!$B$17:$G$27,O$43,FALSE))</f>
        <v>0.28236489337795212</v>
      </c>
      <c r="P13" s="96">
        <f>IF(ISERROR(VLOOKUP($K13,'Calc-Drivers'!$B$17:$G$27,P$43,FALSE))," ",VLOOKUP($K13,'Calc-Drivers'!$B$17:$G$27,P$43,FALSE))</f>
        <v>0.16660121921463145</v>
      </c>
      <c r="Q13" s="108"/>
      <c r="R13" s="48"/>
      <c r="S13" s="49">
        <f t="shared" si="1"/>
        <v>0.11513969340237716</v>
      </c>
      <c r="T13" s="49">
        <f t="shared" si="2"/>
        <v>0.17311258492467299</v>
      </c>
      <c r="U13" s="49">
        <f t="shared" si="3"/>
        <v>4.2368054117399724E-2</v>
      </c>
      <c r="V13" s="101">
        <f t="shared" si="4"/>
        <v>0.16941893602677127</v>
      </c>
      <c r="W13" s="101">
        <f t="shared" si="4"/>
        <v>9.9960731528778865E-2</v>
      </c>
      <c r="X13" s="50"/>
      <c r="Y13" s="55"/>
      <c r="Z13" s="104">
        <f t="shared" si="5"/>
        <v>0.11513969340237716</v>
      </c>
      <c r="AA13" s="104">
        <f t="shared" si="6"/>
        <v>0.17311258492467299</v>
      </c>
      <c r="AB13" s="104">
        <f t="shared" si="7"/>
        <v>4.2368054117399724E-2</v>
      </c>
      <c r="AC13" s="100">
        <f t="shared" si="8"/>
        <v>0.16941893602677127</v>
      </c>
      <c r="AD13" s="100">
        <f t="shared" si="9"/>
        <v>9.9960731528778865E-2</v>
      </c>
      <c r="AE13" s="50"/>
      <c r="AF13" s="56"/>
      <c r="AG13" s="198">
        <f>IF(ISERROR(Z13*100000000/'Calc-Units'!$E$23)," ",Z13*100000000/'Calc-Units'!$E$23)</f>
        <v>9.2729982716490853E-4</v>
      </c>
      <c r="AH13" s="198">
        <f>IF(ISERROR(AA13*100000000/'Calc-Units'!$D$23)," ",AA13*100000000/'Calc-Units'!$D$23)</f>
        <v>1.8007390752997393E-3</v>
      </c>
      <c r="AI13" s="198">
        <f>IF(ISERROR(AB13*100000000/'Calc-Units'!$C$23)," ",AB13*100000000/'Calc-Units'!$C$23)</f>
        <v>5.8712382542738383E-4</v>
      </c>
      <c r="AJ13" s="199">
        <f>IF(ISERROR(AC13*100000000/'Calc-Units'!$C$23)," ",AC13*100000000/'Calc-Units'!$C$23)</f>
        <v>2.3477569572642903E-3</v>
      </c>
      <c r="AK13" s="57"/>
      <c r="AL13" s="200">
        <v>0.52569999999999995</v>
      </c>
      <c r="AM13" s="85">
        <f t="shared" si="10"/>
        <v>0.31541999999999998</v>
      </c>
      <c r="AN13" s="195">
        <f t="shared" si="11"/>
        <v>0.28458</v>
      </c>
      <c r="AO13" s="46"/>
      <c r="AP13" s="46"/>
      <c r="AQ13" s="49">
        <f t="shared" si="12"/>
        <v>5.4610756580747495E-2</v>
      </c>
      <c r="AR13" s="49">
        <f t="shared" si="13"/>
        <v>8.2107299029772415E-2</v>
      </c>
      <c r="AS13" s="49">
        <f t="shared" si="14"/>
        <v>2.0095168067882693E-2</v>
      </c>
      <c r="AT13" s="101">
        <f t="shared" si="15"/>
        <v>8.0355401357497622E-2</v>
      </c>
      <c r="AU13" s="101">
        <f t="shared" si="16"/>
        <v>4.741137496409982E-2</v>
      </c>
      <c r="AV13" s="50"/>
      <c r="AW13" s="57"/>
      <c r="AX13" s="51">
        <f>IF(ISERROR(AQ13*100000000/'Calc-Units'!$E$23)," ",AQ13*100000000/'Calc-Units'!$E$23)</f>
        <v>4.398183080243162E-4</v>
      </c>
      <c r="AY13" s="51">
        <f>IF(ISERROR(AR13*100000000/'Calc-Units'!$D$23)," ",AR13*100000000/'Calc-Units'!$D$23)</f>
        <v>8.5409054341466651E-4</v>
      </c>
      <c r="AZ13" s="51">
        <f>IF(ISERROR(AS13*100000000/'Calc-Units'!$C$23)," ",AS13*100000000/'Calc-Units'!$C$23)</f>
        <v>2.7847283040020822E-4</v>
      </c>
      <c r="BA13" s="171">
        <f>IF(ISERROR(AT13*100000000/'Calc-Units'!$C$23)," ",AT13*100000000/'Calc-Units'!$C$23)</f>
        <v>1.1135411248304531E-3</v>
      </c>
      <c r="BC13" s="55"/>
      <c r="BD13" s="55"/>
    </row>
    <row r="14" spans="1:56" s="58" customFormat="1">
      <c r="A14" s="59"/>
      <c r="B14" s="2240"/>
      <c r="C14" s="82" t="s">
        <v>60</v>
      </c>
      <c r="D14" s="86">
        <f>'RRP 1.3'!K$12</f>
        <v>3.5</v>
      </c>
      <c r="E14" s="86">
        <v>0</v>
      </c>
      <c r="F14" s="86">
        <v>0</v>
      </c>
      <c r="G14" s="86">
        <v>0</v>
      </c>
      <c r="H14" s="86">
        <v>0</v>
      </c>
      <c r="I14" s="86">
        <f t="shared" si="0"/>
        <v>3.5</v>
      </c>
      <c r="J14" s="54"/>
      <c r="K14" s="86" t="s">
        <v>478</v>
      </c>
      <c r="L14" s="96">
        <f>IF(ISERROR(VLOOKUP($K14,'Calc-Drivers'!$B$17:$G$27,L$43,FALSE))," ",VLOOKUP($K14,'Calc-Drivers'!$B$17:$G$27,L$43,FALSE))</f>
        <v>0.19189948900396195</v>
      </c>
      <c r="M14" s="96">
        <f>IF(ISERROR(VLOOKUP($K14,'Calc-Drivers'!$B$17:$G$27,M$43,FALSE))," ",VLOOKUP($K14,'Calc-Drivers'!$B$17:$G$27,M$43,FALSE))</f>
        <v>0.28852097487445499</v>
      </c>
      <c r="N14" s="96">
        <f>IF(ISERROR(VLOOKUP($K14,'Calc-Drivers'!$B$17:$G$27,N$43,FALSE))," ",VLOOKUP($K14,'Calc-Drivers'!$B$17:$G$27,N$43,FALSE))</f>
        <v>7.0613423528999547E-2</v>
      </c>
      <c r="O14" s="96">
        <f>IF(ISERROR(VLOOKUP($K14,'Calc-Drivers'!$B$17:$G$27,O$43,FALSE))," ",VLOOKUP($K14,'Calc-Drivers'!$B$17:$G$27,O$43,FALSE))</f>
        <v>0.28236489337795212</v>
      </c>
      <c r="P14" s="96">
        <f>IF(ISERROR(VLOOKUP($K14,'Calc-Drivers'!$B$17:$G$27,P$43,FALSE))," ",VLOOKUP($K14,'Calc-Drivers'!$B$17:$G$27,P$43,FALSE))</f>
        <v>0.16660121921463145</v>
      </c>
      <c r="Q14" s="108"/>
      <c r="R14" s="48"/>
      <c r="S14" s="49">
        <f t="shared" si="1"/>
        <v>0.67164821151386678</v>
      </c>
      <c r="T14" s="49">
        <f t="shared" si="2"/>
        <v>1.0098234120605925</v>
      </c>
      <c r="U14" s="49">
        <f t="shared" si="3"/>
        <v>0.2471469823514984</v>
      </c>
      <c r="V14" s="101">
        <f t="shared" si="4"/>
        <v>0.98827712682283242</v>
      </c>
      <c r="W14" s="101">
        <f t="shared" si="4"/>
        <v>0.58310426725121012</v>
      </c>
      <c r="X14" s="50"/>
      <c r="Y14" s="55"/>
      <c r="Z14" s="49">
        <f t="shared" si="5"/>
        <v>0.67164821151386678</v>
      </c>
      <c r="AA14" s="49">
        <f t="shared" si="6"/>
        <v>1.0098234120605925</v>
      </c>
      <c r="AB14" s="49">
        <f t="shared" si="7"/>
        <v>0.2471469823514984</v>
      </c>
      <c r="AC14" s="101">
        <f t="shared" si="8"/>
        <v>0.98827712682283242</v>
      </c>
      <c r="AD14" s="101">
        <f t="shared" si="9"/>
        <v>0.58310426725121012</v>
      </c>
      <c r="AE14" s="50"/>
      <c r="AF14" s="56"/>
      <c r="AG14" s="51">
        <f>IF(ISERROR(Z14*100000000/'Calc-Units'!$E$23)," ",Z14*100000000/'Calc-Units'!$E$23)</f>
        <v>5.4092489917952997E-3</v>
      </c>
      <c r="AH14" s="51">
        <f>IF(ISERROR(AA14*100000000/'Calc-Units'!$D$23)," ",AA14*100000000/'Calc-Units'!$D$23)</f>
        <v>1.0504311272581814E-2</v>
      </c>
      <c r="AI14" s="51">
        <f>IF(ISERROR(AB14*100000000/'Calc-Units'!$C$23)," ",AB14*100000000/'Calc-Units'!$C$23)</f>
        <v>3.4248889816597392E-3</v>
      </c>
      <c r="AJ14" s="171">
        <f>IF(ISERROR(AC14*100000000/'Calc-Units'!$C$23)," ",AC14*100000000/'Calc-Units'!$C$23)</f>
        <v>1.3695248917375027E-2</v>
      </c>
      <c r="AK14" s="57"/>
      <c r="AL14" s="53">
        <v>0.52569999999999995</v>
      </c>
      <c r="AM14" s="84">
        <f t="shared" si="10"/>
        <v>1.8399499999999998</v>
      </c>
      <c r="AN14" s="47">
        <f t="shared" si="11"/>
        <v>1.6600500000000002</v>
      </c>
      <c r="AO14" s="46"/>
      <c r="AP14" s="46"/>
      <c r="AQ14" s="49">
        <f t="shared" si="12"/>
        <v>0.31856274672102702</v>
      </c>
      <c r="AR14" s="49">
        <f t="shared" si="13"/>
        <v>0.47895924434033904</v>
      </c>
      <c r="AS14" s="49">
        <f t="shared" si="14"/>
        <v>0.1172218137293157</v>
      </c>
      <c r="AT14" s="101">
        <f t="shared" si="15"/>
        <v>0.46873984125206947</v>
      </c>
      <c r="AU14" s="101">
        <f t="shared" si="16"/>
        <v>0.27656635395724899</v>
      </c>
      <c r="AV14" s="50"/>
      <c r="AW14" s="57"/>
      <c r="AX14" s="51">
        <f>IF(ISERROR(AQ14*100000000/'Calc-Units'!$E$23)," ",AQ14*100000000/'Calc-Units'!$E$23)</f>
        <v>2.5656067968085109E-3</v>
      </c>
      <c r="AY14" s="51">
        <f>IF(ISERROR(AR14*100000000/'Calc-Units'!$D$23)," ",AR14*100000000/'Calc-Units'!$D$23)</f>
        <v>4.982194836585554E-3</v>
      </c>
      <c r="AZ14" s="51">
        <f>IF(ISERROR(AS14*100000000/'Calc-Units'!$C$23)," ",AS14*100000000/'Calc-Units'!$C$23)</f>
        <v>1.6244248440012144E-3</v>
      </c>
      <c r="BA14" s="171">
        <f>IF(ISERROR(AT14*100000000/'Calc-Units'!$C$23)," ",AT14*100000000/'Calc-Units'!$C$23)</f>
        <v>6.4956565615109764E-3</v>
      </c>
      <c r="BC14" s="55"/>
      <c r="BD14" s="55"/>
    </row>
    <row r="15" spans="1:56" s="58" customFormat="1">
      <c r="A15" s="59"/>
      <c r="B15" s="2240"/>
      <c r="C15" s="82" t="s">
        <v>61</v>
      </c>
      <c r="D15" s="86">
        <f>'RRP 1.3'!L$12</f>
        <v>2.9</v>
      </c>
      <c r="E15" s="86">
        <v>0</v>
      </c>
      <c r="F15" s="86">
        <v>0</v>
      </c>
      <c r="G15" s="86">
        <v>0</v>
      </c>
      <c r="H15" s="86">
        <v>0</v>
      </c>
      <c r="I15" s="86">
        <f t="shared" si="0"/>
        <v>2.9</v>
      </c>
      <c r="J15" s="54"/>
      <c r="K15" s="86" t="s">
        <v>478</v>
      </c>
      <c r="L15" s="96">
        <f>IF(ISERROR(VLOOKUP($K15,'Calc-Drivers'!$B$17:$G$27,L$43,FALSE))," ",VLOOKUP($K15,'Calc-Drivers'!$B$17:$G$27,L$43,FALSE))</f>
        <v>0.19189948900396195</v>
      </c>
      <c r="M15" s="96">
        <f>IF(ISERROR(VLOOKUP($K15,'Calc-Drivers'!$B$17:$G$27,M$43,FALSE))," ",VLOOKUP($K15,'Calc-Drivers'!$B$17:$G$27,M$43,FALSE))</f>
        <v>0.28852097487445499</v>
      </c>
      <c r="N15" s="96">
        <f>IF(ISERROR(VLOOKUP($K15,'Calc-Drivers'!$B$17:$G$27,N$43,FALSE))," ",VLOOKUP($K15,'Calc-Drivers'!$B$17:$G$27,N$43,FALSE))</f>
        <v>7.0613423528999547E-2</v>
      </c>
      <c r="O15" s="96">
        <f>IF(ISERROR(VLOOKUP($K15,'Calc-Drivers'!$B$17:$G$27,O$43,FALSE))," ",VLOOKUP($K15,'Calc-Drivers'!$B$17:$G$27,O$43,FALSE))</f>
        <v>0.28236489337795212</v>
      </c>
      <c r="P15" s="96">
        <f>IF(ISERROR(VLOOKUP($K15,'Calc-Drivers'!$B$17:$G$27,P$43,FALSE))," ",VLOOKUP($K15,'Calc-Drivers'!$B$17:$G$27,P$43,FALSE))</f>
        <v>0.16660121921463145</v>
      </c>
      <c r="Q15" s="108"/>
      <c r="R15" s="48"/>
      <c r="S15" s="49">
        <f t="shared" si="1"/>
        <v>0.5565085181114896</v>
      </c>
      <c r="T15" s="49">
        <f t="shared" si="2"/>
        <v>0.83671082713591949</v>
      </c>
      <c r="U15" s="49">
        <f t="shared" si="3"/>
        <v>0.20477892823409868</v>
      </c>
      <c r="V15" s="101">
        <f t="shared" si="4"/>
        <v>0.81885819079606115</v>
      </c>
      <c r="W15" s="101">
        <f t="shared" si="4"/>
        <v>0.48314353572243118</v>
      </c>
      <c r="X15" s="50"/>
      <c r="Y15" s="55"/>
      <c r="Z15" s="49">
        <f t="shared" si="5"/>
        <v>0.5565085181114896</v>
      </c>
      <c r="AA15" s="49">
        <f t="shared" si="6"/>
        <v>0.83671082713591949</v>
      </c>
      <c r="AB15" s="49">
        <f t="shared" si="7"/>
        <v>0.20477892823409868</v>
      </c>
      <c r="AC15" s="101">
        <f t="shared" si="8"/>
        <v>0.81885819079606115</v>
      </c>
      <c r="AD15" s="101">
        <f t="shared" si="9"/>
        <v>0.48314353572243118</v>
      </c>
      <c r="AE15" s="50"/>
      <c r="AF15" s="56"/>
      <c r="AG15" s="51">
        <f>IF(ISERROR(Z15*100000000/'Calc-Units'!$E$23)," ",Z15*100000000/'Calc-Units'!$E$23)</f>
        <v>4.4819491646303916E-3</v>
      </c>
      <c r="AH15" s="51">
        <f>IF(ISERROR(AA15*100000000/'Calc-Units'!$D$23)," ",AA15*100000000/'Calc-Units'!$D$23)</f>
        <v>8.7035721972820741E-3</v>
      </c>
      <c r="AI15" s="51">
        <f>IF(ISERROR(AB15*100000000/'Calc-Units'!$C$23)," ",AB15*100000000/'Calc-Units'!$C$23)</f>
        <v>2.8377651562323551E-3</v>
      </c>
      <c r="AJ15" s="171">
        <f>IF(ISERROR(AC15*100000000/'Calc-Units'!$C$23)," ",AC15*100000000/'Calc-Units'!$C$23)</f>
        <v>1.1347491960110737E-2</v>
      </c>
      <c r="AK15" s="57"/>
      <c r="AL15" s="53">
        <v>0.52569999999999995</v>
      </c>
      <c r="AM15" s="84">
        <f t="shared" si="10"/>
        <v>1.5245299999999997</v>
      </c>
      <c r="AN15" s="47">
        <f t="shared" si="11"/>
        <v>1.3754700000000002</v>
      </c>
      <c r="AO15" s="46"/>
      <c r="AP15" s="46"/>
      <c r="AQ15" s="49">
        <f t="shared" si="12"/>
        <v>0.26395199014027954</v>
      </c>
      <c r="AR15" s="49">
        <f t="shared" si="13"/>
        <v>0.39685194531056667</v>
      </c>
      <c r="AS15" s="49">
        <f t="shared" si="14"/>
        <v>9.7126645661433017E-2</v>
      </c>
      <c r="AT15" s="101">
        <f t="shared" si="15"/>
        <v>0.38838443989457183</v>
      </c>
      <c r="AU15" s="101">
        <f t="shared" si="16"/>
        <v>0.22915497899314913</v>
      </c>
      <c r="AV15" s="50"/>
      <c r="AW15" s="57"/>
      <c r="AX15" s="51">
        <f>IF(ISERROR(AQ15*100000000/'Calc-Units'!$E$23)," ",AQ15*100000000/'Calc-Units'!$E$23)</f>
        <v>2.1257884887841945E-3</v>
      </c>
      <c r="AY15" s="51">
        <f>IF(ISERROR(AR15*100000000/'Calc-Units'!$D$23)," ",AR15*100000000/'Calc-Units'!$D$23)</f>
        <v>4.1281042931708882E-3</v>
      </c>
      <c r="AZ15" s="51">
        <f>IF(ISERROR(AS15*100000000/'Calc-Units'!$C$23)," ",AS15*100000000/'Calc-Units'!$C$23)</f>
        <v>1.3459520136010065E-3</v>
      </c>
      <c r="BA15" s="171">
        <f>IF(ISERROR(AT15*100000000/'Calc-Units'!$C$23)," ",AT15*100000000/'Calc-Units'!$C$23)</f>
        <v>5.3821154366805232E-3</v>
      </c>
      <c r="BC15" s="55"/>
      <c r="BD15" s="55"/>
    </row>
    <row r="16" spans="1:56" s="58" customFormat="1">
      <c r="A16" s="59"/>
      <c r="B16" s="2240"/>
      <c r="C16" s="82" t="s">
        <v>62</v>
      </c>
      <c r="D16" s="86">
        <f>'RRP 1.3'!M$12</f>
        <v>7.2</v>
      </c>
      <c r="E16" s="86">
        <v>0</v>
      </c>
      <c r="F16" s="86">
        <v>0</v>
      </c>
      <c r="G16" s="86">
        <v>0</v>
      </c>
      <c r="H16" s="86">
        <v>0</v>
      </c>
      <c r="I16" s="86">
        <f t="shared" si="0"/>
        <v>7.2</v>
      </c>
      <c r="J16" s="54"/>
      <c r="K16" s="86" t="s">
        <v>478</v>
      </c>
      <c r="L16" s="96">
        <f>IF(ISERROR(VLOOKUP($K16,'Calc-Drivers'!$B$17:$G$27,L$43,FALSE))," ",VLOOKUP($K16,'Calc-Drivers'!$B$17:$G$27,L$43,FALSE))</f>
        <v>0.19189948900396195</v>
      </c>
      <c r="M16" s="96">
        <f>IF(ISERROR(VLOOKUP($K16,'Calc-Drivers'!$B$17:$G$27,M$43,FALSE))," ",VLOOKUP($K16,'Calc-Drivers'!$B$17:$G$27,M$43,FALSE))</f>
        <v>0.28852097487445499</v>
      </c>
      <c r="N16" s="96">
        <f>IF(ISERROR(VLOOKUP($K16,'Calc-Drivers'!$B$17:$G$27,N$43,FALSE))," ",VLOOKUP($K16,'Calc-Drivers'!$B$17:$G$27,N$43,FALSE))</f>
        <v>7.0613423528999547E-2</v>
      </c>
      <c r="O16" s="96">
        <f>IF(ISERROR(VLOOKUP($K16,'Calc-Drivers'!$B$17:$G$27,O$43,FALSE))," ",VLOOKUP($K16,'Calc-Drivers'!$B$17:$G$27,O$43,FALSE))</f>
        <v>0.28236489337795212</v>
      </c>
      <c r="P16" s="96">
        <f>IF(ISERROR(VLOOKUP($K16,'Calc-Drivers'!$B$17:$G$27,P$43,FALSE))," ",VLOOKUP($K16,'Calc-Drivers'!$B$17:$G$27,P$43,FALSE))</f>
        <v>0.16660121921463145</v>
      </c>
      <c r="Q16" s="108"/>
      <c r="R16" s="48"/>
      <c r="S16" s="49">
        <f t="shared" si="1"/>
        <v>1.3816763208285261</v>
      </c>
      <c r="T16" s="49">
        <f t="shared" si="2"/>
        <v>2.077351019096076</v>
      </c>
      <c r="U16" s="49">
        <f t="shared" si="3"/>
        <v>0.50841664940879672</v>
      </c>
      <c r="V16" s="101">
        <f t="shared" si="4"/>
        <v>2.0330272323212553</v>
      </c>
      <c r="W16" s="101">
        <f t="shared" si="4"/>
        <v>1.1995287783453465</v>
      </c>
      <c r="X16" s="50"/>
      <c r="Y16" s="55"/>
      <c r="Z16" s="49">
        <f t="shared" si="5"/>
        <v>1.3816763208285261</v>
      </c>
      <c r="AA16" s="49">
        <f t="shared" si="6"/>
        <v>2.077351019096076</v>
      </c>
      <c r="AB16" s="49">
        <f t="shared" si="7"/>
        <v>0.50841664940879672</v>
      </c>
      <c r="AC16" s="101">
        <f t="shared" si="8"/>
        <v>2.0330272323212553</v>
      </c>
      <c r="AD16" s="101">
        <f t="shared" si="9"/>
        <v>1.1995287783453465</v>
      </c>
      <c r="AE16" s="50"/>
      <c r="AF16" s="56"/>
      <c r="AG16" s="51">
        <f>IF(ISERROR(Z16*100000000/'Calc-Units'!$E$23)," ",Z16*100000000/'Calc-Units'!$E$23)</f>
        <v>1.1127597925978904E-2</v>
      </c>
      <c r="AH16" s="51">
        <f>IF(ISERROR(AA16*100000000/'Calc-Units'!$D$23)," ",AA16*100000000/'Calc-Units'!$D$23)</f>
        <v>2.1608868903596871E-2</v>
      </c>
      <c r="AI16" s="51">
        <f>IF(ISERROR(AB16*100000000/'Calc-Units'!$C$23)," ",AB16*100000000/'Calc-Units'!$C$23)</f>
        <v>7.0454859051286064E-3</v>
      </c>
      <c r="AJ16" s="171">
        <f>IF(ISERROR(AC16*100000000/'Calc-Units'!$C$23)," ",AC16*100000000/'Calc-Units'!$C$23)</f>
        <v>2.8173083487171485E-2</v>
      </c>
      <c r="AK16" s="57"/>
      <c r="AL16" s="53">
        <v>0.52569999999999995</v>
      </c>
      <c r="AM16" s="84">
        <f t="shared" si="10"/>
        <v>3.7850399999999995</v>
      </c>
      <c r="AN16" s="47">
        <f t="shared" si="11"/>
        <v>3.4149600000000007</v>
      </c>
      <c r="AO16" s="46"/>
      <c r="AP16" s="46"/>
      <c r="AQ16" s="49">
        <f t="shared" si="12"/>
        <v>0.65532907896896997</v>
      </c>
      <c r="AR16" s="49">
        <f t="shared" si="13"/>
        <v>0.98528758835726893</v>
      </c>
      <c r="AS16" s="49">
        <f t="shared" si="14"/>
        <v>0.2411420168145923</v>
      </c>
      <c r="AT16" s="101">
        <f t="shared" si="15"/>
        <v>0.96426481628997152</v>
      </c>
      <c r="AU16" s="101">
        <f t="shared" si="16"/>
        <v>0.5689364995691979</v>
      </c>
      <c r="AV16" s="50"/>
      <c r="AW16" s="57"/>
      <c r="AX16" s="51">
        <f>IF(ISERROR(AQ16*100000000/'Calc-Units'!$E$23)," ",AQ16*100000000/'Calc-Units'!$E$23)</f>
        <v>5.2778196962917946E-3</v>
      </c>
      <c r="AY16" s="51">
        <f>IF(ISERROR(AR16*100000000/'Calc-Units'!$D$23)," ",AR16*100000000/'Calc-Units'!$D$23)</f>
        <v>1.0249086520975998E-2</v>
      </c>
      <c r="AZ16" s="51">
        <f>IF(ISERROR(AS16*100000000/'Calc-Units'!$C$23)," ",AS16*100000000/'Calc-Units'!$C$23)</f>
        <v>3.3416739648024982E-3</v>
      </c>
      <c r="BA16" s="171">
        <f>IF(ISERROR(AT16*100000000/'Calc-Units'!$C$23)," ",AT16*100000000/'Calc-Units'!$C$23)</f>
        <v>1.3362493497965436E-2</v>
      </c>
      <c r="BC16" s="55"/>
      <c r="BD16" s="55"/>
    </row>
    <row r="17" spans="1:56" s="58" customFormat="1">
      <c r="A17" s="59"/>
      <c r="B17" s="2240"/>
      <c r="C17" s="82" t="s">
        <v>63</v>
      </c>
      <c r="D17" s="86">
        <f>'RRP 1.3'!N$12</f>
        <v>1.9</v>
      </c>
      <c r="E17" s="86">
        <v>0</v>
      </c>
      <c r="F17" s="86">
        <v>0</v>
      </c>
      <c r="G17" s="86">
        <v>0</v>
      </c>
      <c r="H17" s="86">
        <v>0</v>
      </c>
      <c r="I17" s="86">
        <f t="shared" si="0"/>
        <v>1.9</v>
      </c>
      <c r="J17" s="54"/>
      <c r="K17" s="86" t="s">
        <v>478</v>
      </c>
      <c r="L17" s="96">
        <f>IF(ISERROR(VLOOKUP($K17,'Calc-Drivers'!$B$17:$G$27,L$43,FALSE))," ",VLOOKUP($K17,'Calc-Drivers'!$B$17:$G$27,L$43,FALSE))</f>
        <v>0.19189948900396195</v>
      </c>
      <c r="M17" s="96">
        <f>IF(ISERROR(VLOOKUP($K17,'Calc-Drivers'!$B$17:$G$27,M$43,FALSE))," ",VLOOKUP($K17,'Calc-Drivers'!$B$17:$G$27,M$43,FALSE))</f>
        <v>0.28852097487445499</v>
      </c>
      <c r="N17" s="96">
        <f>IF(ISERROR(VLOOKUP($K17,'Calc-Drivers'!$B$17:$G$27,N$43,FALSE))," ",VLOOKUP($K17,'Calc-Drivers'!$B$17:$G$27,N$43,FALSE))</f>
        <v>7.0613423528999547E-2</v>
      </c>
      <c r="O17" s="96">
        <f>IF(ISERROR(VLOOKUP($K17,'Calc-Drivers'!$B$17:$G$27,O$43,FALSE))," ",VLOOKUP($K17,'Calc-Drivers'!$B$17:$G$27,O$43,FALSE))</f>
        <v>0.28236489337795212</v>
      </c>
      <c r="P17" s="96">
        <f>IF(ISERROR(VLOOKUP($K17,'Calc-Drivers'!$B$17:$G$27,P$43,FALSE))," ",VLOOKUP($K17,'Calc-Drivers'!$B$17:$G$27,P$43,FALSE))</f>
        <v>0.16660121921463145</v>
      </c>
      <c r="Q17" s="108"/>
      <c r="R17" s="48"/>
      <c r="S17" s="49">
        <f t="shared" si="1"/>
        <v>0.36460902910752768</v>
      </c>
      <c r="T17" s="49">
        <f t="shared" si="2"/>
        <v>0.54818985226146444</v>
      </c>
      <c r="U17" s="49">
        <f t="shared" si="3"/>
        <v>0.13416550470509914</v>
      </c>
      <c r="V17" s="101">
        <f t="shared" si="4"/>
        <v>0.53649329741810903</v>
      </c>
      <c r="W17" s="101">
        <f t="shared" si="4"/>
        <v>0.31654231650779974</v>
      </c>
      <c r="X17" s="50"/>
      <c r="Y17" s="55"/>
      <c r="Z17" s="49">
        <f t="shared" si="5"/>
        <v>0.36460902910752768</v>
      </c>
      <c r="AA17" s="49">
        <f t="shared" si="6"/>
        <v>0.54818985226146444</v>
      </c>
      <c r="AB17" s="49">
        <f t="shared" si="7"/>
        <v>0.13416550470509914</v>
      </c>
      <c r="AC17" s="101">
        <f t="shared" si="8"/>
        <v>0.53649329741810903</v>
      </c>
      <c r="AD17" s="101">
        <f t="shared" si="9"/>
        <v>0.31654231650779974</v>
      </c>
      <c r="AE17" s="50"/>
      <c r="AF17" s="56"/>
      <c r="AG17" s="51">
        <f>IF(ISERROR(Z17*100000000/'Calc-Units'!$E$23)," ",Z17*100000000/'Calc-Units'!$E$23)</f>
        <v>2.9364494526888771E-3</v>
      </c>
      <c r="AH17" s="51">
        <f>IF(ISERROR(AA17*100000000/'Calc-Units'!$D$23)," ",AA17*100000000/'Calc-Units'!$D$23)</f>
        <v>5.7023404051158412E-3</v>
      </c>
      <c r="AI17" s="51">
        <f>IF(ISERROR(AB17*100000000/'Calc-Units'!$C$23)," ",AB17*100000000/'Calc-Units'!$C$23)</f>
        <v>1.8592254471867155E-3</v>
      </c>
      <c r="AJ17" s="171">
        <f>IF(ISERROR(AC17*100000000/'Calc-Units'!$C$23)," ",AC17*100000000/'Calc-Units'!$C$23)</f>
        <v>7.4345636980035863E-3</v>
      </c>
      <c r="AK17" s="57"/>
      <c r="AL17" s="53">
        <v>0.52569999999999995</v>
      </c>
      <c r="AM17" s="84">
        <f t="shared" si="10"/>
        <v>0.99882999999999988</v>
      </c>
      <c r="AN17" s="47">
        <f t="shared" si="11"/>
        <v>0.90117000000000003</v>
      </c>
      <c r="AO17" s="46"/>
      <c r="AP17" s="46"/>
      <c r="AQ17" s="49">
        <f t="shared" si="12"/>
        <v>0.1729340625057004</v>
      </c>
      <c r="AR17" s="49">
        <f t="shared" si="13"/>
        <v>0.2600064469276126</v>
      </c>
      <c r="AS17" s="49">
        <f t="shared" si="14"/>
        <v>6.3634698881628524E-2</v>
      </c>
      <c r="AT17" s="101">
        <f t="shared" si="15"/>
        <v>0.25445877096540914</v>
      </c>
      <c r="AU17" s="101">
        <f t="shared" si="16"/>
        <v>0.15013602071964943</v>
      </c>
      <c r="AV17" s="50"/>
      <c r="AW17" s="57"/>
      <c r="AX17" s="51">
        <f>IF(ISERROR(AQ17*100000000/'Calc-Units'!$E$23)," ",AQ17*100000000/'Calc-Units'!$E$23)</f>
        <v>1.3927579754103346E-3</v>
      </c>
      <c r="AY17" s="51">
        <f>IF(ISERROR(AR17*100000000/'Calc-Units'!$D$23)," ",AR17*100000000/'Calc-Units'!$D$23)</f>
        <v>2.7046200541464439E-3</v>
      </c>
      <c r="AZ17" s="51">
        <f>IF(ISERROR(AS17*100000000/'Calc-Units'!$C$23)," ",AS17*100000000/'Calc-Units'!$C$23)</f>
        <v>8.8183062960065926E-4</v>
      </c>
      <c r="BA17" s="171">
        <f>IF(ISERROR(AT17*100000000/'Calc-Units'!$C$23)," ",AT17*100000000/'Calc-Units'!$C$23)</f>
        <v>3.5262135619631013E-3</v>
      </c>
      <c r="BC17" s="55"/>
      <c r="BD17" s="55"/>
    </row>
    <row r="18" spans="1:56" s="58" customFormat="1">
      <c r="A18" s="59"/>
      <c r="B18" s="2240"/>
      <c r="C18" s="82" t="s">
        <v>64</v>
      </c>
      <c r="D18" s="86">
        <f>'RRP 1.3'!O$12</f>
        <v>1</v>
      </c>
      <c r="E18" s="86">
        <v>0</v>
      </c>
      <c r="F18" s="86">
        <v>0</v>
      </c>
      <c r="G18" s="86">
        <v>0</v>
      </c>
      <c r="H18" s="86">
        <v>0</v>
      </c>
      <c r="I18" s="86">
        <f t="shared" si="0"/>
        <v>1</v>
      </c>
      <c r="J18" s="54"/>
      <c r="K18" s="86" t="s">
        <v>478</v>
      </c>
      <c r="L18" s="96">
        <f>IF(ISERROR(VLOOKUP($K18,'Calc-Drivers'!$B$17:$G$27,L$43,FALSE))," ",VLOOKUP($K18,'Calc-Drivers'!$B$17:$G$27,L$43,FALSE))</f>
        <v>0.19189948900396195</v>
      </c>
      <c r="M18" s="96">
        <f>IF(ISERROR(VLOOKUP($K18,'Calc-Drivers'!$B$17:$G$27,M$43,FALSE))," ",VLOOKUP($K18,'Calc-Drivers'!$B$17:$G$27,M$43,FALSE))</f>
        <v>0.28852097487445499</v>
      </c>
      <c r="N18" s="96">
        <f>IF(ISERROR(VLOOKUP($K18,'Calc-Drivers'!$B$17:$G$27,N$43,FALSE))," ",VLOOKUP($K18,'Calc-Drivers'!$B$17:$G$27,N$43,FALSE))</f>
        <v>7.0613423528999547E-2</v>
      </c>
      <c r="O18" s="96">
        <f>IF(ISERROR(VLOOKUP($K18,'Calc-Drivers'!$B$17:$G$27,O$43,FALSE))," ",VLOOKUP($K18,'Calc-Drivers'!$B$17:$G$27,O$43,FALSE))</f>
        <v>0.28236489337795212</v>
      </c>
      <c r="P18" s="96">
        <f>IF(ISERROR(VLOOKUP($K18,'Calc-Drivers'!$B$17:$G$27,P$43,FALSE))," ",VLOOKUP($K18,'Calc-Drivers'!$B$17:$G$27,P$43,FALSE))</f>
        <v>0.16660121921463145</v>
      </c>
      <c r="Q18" s="108"/>
      <c r="R18" s="48"/>
      <c r="S18" s="49">
        <f t="shared" si="1"/>
        <v>0.19189948900396195</v>
      </c>
      <c r="T18" s="49">
        <f t="shared" si="2"/>
        <v>0.28852097487445499</v>
      </c>
      <c r="U18" s="49">
        <f t="shared" si="3"/>
        <v>7.0613423528999547E-2</v>
      </c>
      <c r="V18" s="101">
        <f t="shared" si="4"/>
        <v>0.28236489337795212</v>
      </c>
      <c r="W18" s="101">
        <f t="shared" si="4"/>
        <v>0.16660121921463145</v>
      </c>
      <c r="X18" s="50"/>
      <c r="Y18" s="55"/>
      <c r="Z18" s="49">
        <f t="shared" si="5"/>
        <v>0.19189948900396195</v>
      </c>
      <c r="AA18" s="49">
        <f t="shared" si="6"/>
        <v>0.28852097487445499</v>
      </c>
      <c r="AB18" s="49">
        <f t="shared" si="7"/>
        <v>7.0613423528999547E-2</v>
      </c>
      <c r="AC18" s="101">
        <f t="shared" si="8"/>
        <v>0.28236489337795212</v>
      </c>
      <c r="AD18" s="101">
        <f t="shared" si="9"/>
        <v>0.16660121921463145</v>
      </c>
      <c r="AE18" s="50"/>
      <c r="AF18" s="56"/>
      <c r="AG18" s="51">
        <f>IF(ISERROR(Z18*100000000/'Calc-Units'!$E$23)," ",Z18*100000000/'Calc-Units'!$E$23)</f>
        <v>1.5454997119415143E-3</v>
      </c>
      <c r="AH18" s="51">
        <f>IF(ISERROR(AA18*100000000/'Calc-Units'!$D$23)," ",AA18*100000000/'Calc-Units'!$D$23)</f>
        <v>3.0012317921662324E-3</v>
      </c>
      <c r="AI18" s="51">
        <f>IF(ISERROR(AB18*100000000/'Calc-Units'!$C$23)," ",AB18*100000000/'Calc-Units'!$C$23)</f>
        <v>9.7853970904563975E-4</v>
      </c>
      <c r="AJ18" s="171">
        <f>IF(ISERROR(AC18*100000000/'Calc-Units'!$C$23)," ",AC18*100000000/'Calc-Units'!$C$23)</f>
        <v>3.9129282621071506E-3</v>
      </c>
      <c r="AK18" s="57"/>
      <c r="AL18" s="53">
        <v>0.52569999999999995</v>
      </c>
      <c r="AM18" s="84">
        <f t="shared" si="10"/>
        <v>0.52569999999999995</v>
      </c>
      <c r="AN18" s="47">
        <f t="shared" si="11"/>
        <v>0.47430000000000005</v>
      </c>
      <c r="AO18" s="46"/>
      <c r="AP18" s="46"/>
      <c r="AQ18" s="49">
        <f t="shared" si="12"/>
        <v>9.1017927634579165E-2</v>
      </c>
      <c r="AR18" s="49">
        <f t="shared" si="13"/>
        <v>0.13684549838295401</v>
      </c>
      <c r="AS18" s="49">
        <f t="shared" si="14"/>
        <v>3.3491946779804486E-2</v>
      </c>
      <c r="AT18" s="101">
        <f t="shared" si="15"/>
        <v>0.13392566892916272</v>
      </c>
      <c r="AU18" s="101">
        <f t="shared" si="16"/>
        <v>7.9018958273499709E-2</v>
      </c>
      <c r="AV18" s="50"/>
      <c r="AW18" s="57"/>
      <c r="AX18" s="51">
        <f>IF(ISERROR(AQ18*100000000/'Calc-Units'!$E$23)," ",AQ18*100000000/'Calc-Units'!$E$23)</f>
        <v>7.3303051337386042E-4</v>
      </c>
      <c r="AY18" s="51">
        <f>IF(ISERROR(AR18*100000000/'Calc-Units'!$D$23)," ",AR18*100000000/'Calc-Units'!$D$23)</f>
        <v>1.4234842390244442E-3</v>
      </c>
      <c r="AZ18" s="51">
        <f>IF(ISERROR(AS18*100000000/'Calc-Units'!$C$23)," ",AS18*100000000/'Calc-Units'!$C$23)</f>
        <v>4.6412138400034699E-4</v>
      </c>
      <c r="BA18" s="171">
        <f>IF(ISERROR(AT18*100000000/'Calc-Units'!$C$23)," ",AT18*100000000/'Calc-Units'!$C$23)</f>
        <v>1.8559018747174218E-3</v>
      </c>
      <c r="BC18" s="55"/>
      <c r="BD18" s="55"/>
    </row>
    <row r="19" spans="1:56" s="58" customFormat="1">
      <c r="A19" s="59"/>
      <c r="B19" s="2240"/>
      <c r="C19" s="82" t="s">
        <v>219</v>
      </c>
      <c r="D19" s="86">
        <f>'RRP 1.3'!P$12</f>
        <v>0.7</v>
      </c>
      <c r="E19" s="86">
        <v>0</v>
      </c>
      <c r="F19" s="86">
        <v>0</v>
      </c>
      <c r="G19" s="86">
        <v>0</v>
      </c>
      <c r="H19" s="86">
        <v>0</v>
      </c>
      <c r="I19" s="86">
        <f t="shared" si="0"/>
        <v>0.7</v>
      </c>
      <c r="J19" s="54"/>
      <c r="K19" s="86" t="s">
        <v>478</v>
      </c>
      <c r="L19" s="96">
        <f>IF(ISERROR(VLOOKUP($K19,'Calc-Drivers'!$B$17:$G$27,L$43,FALSE))," ",VLOOKUP($K19,'Calc-Drivers'!$B$17:$G$27,L$43,FALSE))</f>
        <v>0.19189948900396195</v>
      </c>
      <c r="M19" s="96">
        <f>IF(ISERROR(VLOOKUP($K19,'Calc-Drivers'!$B$17:$G$27,M$43,FALSE))," ",VLOOKUP($K19,'Calc-Drivers'!$B$17:$G$27,M$43,FALSE))</f>
        <v>0.28852097487445499</v>
      </c>
      <c r="N19" s="96">
        <f>IF(ISERROR(VLOOKUP($K19,'Calc-Drivers'!$B$17:$G$27,N$43,FALSE))," ",VLOOKUP($K19,'Calc-Drivers'!$B$17:$G$27,N$43,FALSE))</f>
        <v>7.0613423528999547E-2</v>
      </c>
      <c r="O19" s="96">
        <f>IF(ISERROR(VLOOKUP($K19,'Calc-Drivers'!$B$17:$G$27,O$43,FALSE))," ",VLOOKUP($K19,'Calc-Drivers'!$B$17:$G$27,O$43,FALSE))</f>
        <v>0.28236489337795212</v>
      </c>
      <c r="P19" s="96">
        <f>IF(ISERROR(VLOOKUP($K19,'Calc-Drivers'!$B$17:$G$27,P$43,FALSE))," ",VLOOKUP($K19,'Calc-Drivers'!$B$17:$G$27,P$43,FALSE))</f>
        <v>0.16660121921463145</v>
      </c>
      <c r="Q19" s="108"/>
      <c r="R19" s="48"/>
      <c r="S19" s="49">
        <f t="shared" si="1"/>
        <v>0.13432964230277336</v>
      </c>
      <c r="T19" s="49">
        <f t="shared" si="2"/>
        <v>0.20196468241211848</v>
      </c>
      <c r="U19" s="49">
        <f t="shared" si="3"/>
        <v>4.9429396470299682E-2</v>
      </c>
      <c r="V19" s="101">
        <f t="shared" si="4"/>
        <v>0.19765542536456648</v>
      </c>
      <c r="W19" s="101">
        <f t="shared" si="4"/>
        <v>0.11662085345024201</v>
      </c>
      <c r="X19" s="50"/>
      <c r="Y19" s="55"/>
      <c r="Z19" s="49">
        <f t="shared" si="5"/>
        <v>0.13432964230277336</v>
      </c>
      <c r="AA19" s="49">
        <f t="shared" si="6"/>
        <v>0.20196468241211848</v>
      </c>
      <c r="AB19" s="49">
        <f t="shared" si="7"/>
        <v>4.9429396470299682E-2</v>
      </c>
      <c r="AC19" s="101">
        <f t="shared" si="8"/>
        <v>0.19765542536456648</v>
      </c>
      <c r="AD19" s="101">
        <f t="shared" si="9"/>
        <v>0.11662085345024201</v>
      </c>
      <c r="AE19" s="50"/>
      <c r="AF19" s="56"/>
      <c r="AG19" s="51">
        <f>IF(ISERROR(Z19*100000000/'Calc-Units'!$E$23)," ",Z19*100000000/'Calc-Units'!$E$23)</f>
        <v>1.08184979835906E-3</v>
      </c>
      <c r="AH19" s="51">
        <f>IF(ISERROR(AA19*100000000/'Calc-Units'!$D$23)," ",AA19*100000000/'Calc-Units'!$D$23)</f>
        <v>2.1008622545163626E-3</v>
      </c>
      <c r="AI19" s="51">
        <f>IF(ISERROR(AB19*100000000/'Calc-Units'!$C$23)," ",AB19*100000000/'Calc-Units'!$C$23)</f>
        <v>6.8497779633194778E-4</v>
      </c>
      <c r="AJ19" s="171">
        <f>IF(ISERROR(AC19*100000000/'Calc-Units'!$C$23)," ",AC19*100000000/'Calc-Units'!$C$23)</f>
        <v>2.7390497834750053E-3</v>
      </c>
      <c r="AK19" s="57"/>
      <c r="AL19" s="53">
        <v>0.52569999999999995</v>
      </c>
      <c r="AM19" s="84">
        <f t="shared" si="10"/>
        <v>0.36798999999999993</v>
      </c>
      <c r="AN19" s="47">
        <f t="shared" si="11"/>
        <v>0.33201000000000003</v>
      </c>
      <c r="AO19" s="46"/>
      <c r="AP19" s="46"/>
      <c r="AQ19" s="49">
        <f t="shared" si="12"/>
        <v>6.3712549344205407E-2</v>
      </c>
      <c r="AR19" s="49">
        <f t="shared" si="13"/>
        <v>9.5791848868067811E-2</v>
      </c>
      <c r="AS19" s="49">
        <f t="shared" si="14"/>
        <v>2.3444362745863142E-2</v>
      </c>
      <c r="AT19" s="101">
        <f t="shared" si="15"/>
        <v>9.3747968250413899E-2</v>
      </c>
      <c r="AU19" s="101">
        <f t="shared" si="16"/>
        <v>5.5313270791449792E-2</v>
      </c>
      <c r="AV19" s="50"/>
      <c r="AW19" s="57"/>
      <c r="AX19" s="51">
        <f>IF(ISERROR(AQ19*100000000/'Calc-Units'!$E$23)," ",AQ19*100000000/'Calc-Units'!$E$23)</f>
        <v>5.1312135936170224E-4</v>
      </c>
      <c r="AY19" s="51">
        <f>IF(ISERROR(AR19*100000000/'Calc-Units'!$D$23)," ",AR19*100000000/'Calc-Units'!$D$23)</f>
        <v>9.9643896731711084E-4</v>
      </c>
      <c r="AZ19" s="51">
        <f>IF(ISERROR(AS19*100000000/'Calc-Units'!$C$23)," ",AS19*100000000/'Calc-Units'!$C$23)</f>
        <v>3.2488496880024294E-4</v>
      </c>
      <c r="BA19" s="171">
        <f>IF(ISERROR(AT19*100000000/'Calc-Units'!$C$23)," ",AT19*100000000/'Calc-Units'!$C$23)</f>
        <v>1.2991313123021952E-3</v>
      </c>
      <c r="BC19" s="55"/>
      <c r="BD19" s="55"/>
    </row>
    <row r="20" spans="1:56" s="58" customFormat="1">
      <c r="A20" s="59"/>
      <c r="B20" s="2240"/>
      <c r="C20" s="82" t="s">
        <v>220</v>
      </c>
      <c r="D20" s="86">
        <f>'RRP 1.3'!Q$12</f>
        <v>0.9</v>
      </c>
      <c r="E20" s="86">
        <v>0</v>
      </c>
      <c r="F20" s="86">
        <v>0</v>
      </c>
      <c r="G20" s="86">
        <v>0</v>
      </c>
      <c r="H20" s="86">
        <v>0</v>
      </c>
      <c r="I20" s="86">
        <f t="shared" si="0"/>
        <v>0.9</v>
      </c>
      <c r="J20" s="54"/>
      <c r="K20" s="86" t="s">
        <v>478</v>
      </c>
      <c r="L20" s="96">
        <f>IF(ISERROR(VLOOKUP($K20,'Calc-Drivers'!$B$17:$G$27,L$43,FALSE))," ",VLOOKUP($K20,'Calc-Drivers'!$B$17:$G$27,L$43,FALSE))</f>
        <v>0.19189948900396195</v>
      </c>
      <c r="M20" s="96">
        <f>IF(ISERROR(VLOOKUP($K20,'Calc-Drivers'!$B$17:$G$27,M$43,FALSE))," ",VLOOKUP($K20,'Calc-Drivers'!$B$17:$G$27,M$43,FALSE))</f>
        <v>0.28852097487445499</v>
      </c>
      <c r="N20" s="96">
        <f>IF(ISERROR(VLOOKUP($K20,'Calc-Drivers'!$B$17:$G$27,N$43,FALSE))," ",VLOOKUP($K20,'Calc-Drivers'!$B$17:$G$27,N$43,FALSE))</f>
        <v>7.0613423528999547E-2</v>
      </c>
      <c r="O20" s="96">
        <f>IF(ISERROR(VLOOKUP($K20,'Calc-Drivers'!$B$17:$G$27,O$43,FALSE))," ",VLOOKUP($K20,'Calc-Drivers'!$B$17:$G$27,O$43,FALSE))</f>
        <v>0.28236489337795212</v>
      </c>
      <c r="P20" s="96">
        <f>IF(ISERROR(VLOOKUP($K20,'Calc-Drivers'!$B$17:$G$27,P$43,FALSE))," ",VLOOKUP($K20,'Calc-Drivers'!$B$17:$G$27,P$43,FALSE))</f>
        <v>0.16660121921463145</v>
      </c>
      <c r="Q20" s="108"/>
      <c r="R20" s="48"/>
      <c r="S20" s="49">
        <f t="shared" si="1"/>
        <v>0.17270954010356576</v>
      </c>
      <c r="T20" s="49">
        <f t="shared" si="2"/>
        <v>0.2596688773870095</v>
      </c>
      <c r="U20" s="49">
        <f t="shared" si="3"/>
        <v>6.355208117609959E-2</v>
      </c>
      <c r="V20" s="101">
        <f t="shared" si="4"/>
        <v>0.25412840404015691</v>
      </c>
      <c r="W20" s="101">
        <f t="shared" si="4"/>
        <v>0.14994109729316832</v>
      </c>
      <c r="X20" s="50"/>
      <c r="Y20" s="55"/>
      <c r="Z20" s="49">
        <f t="shared" si="5"/>
        <v>0.17270954010356576</v>
      </c>
      <c r="AA20" s="49">
        <f t="shared" si="6"/>
        <v>0.2596688773870095</v>
      </c>
      <c r="AB20" s="49">
        <f t="shared" si="7"/>
        <v>6.355208117609959E-2</v>
      </c>
      <c r="AC20" s="101">
        <f t="shared" si="8"/>
        <v>0.25412840404015691</v>
      </c>
      <c r="AD20" s="101">
        <f t="shared" si="9"/>
        <v>0.14994109729316832</v>
      </c>
      <c r="AE20" s="50"/>
      <c r="AF20" s="56"/>
      <c r="AG20" s="51">
        <f>IF(ISERROR(Z20*100000000/'Calc-Units'!$E$23)," ",Z20*100000000/'Calc-Units'!$E$23)</f>
        <v>1.390949740747363E-3</v>
      </c>
      <c r="AH20" s="51">
        <f>IF(ISERROR(AA20*100000000/'Calc-Units'!$D$23)," ",AA20*100000000/'Calc-Units'!$D$23)</f>
        <v>2.7011086129496088E-3</v>
      </c>
      <c r="AI20" s="51">
        <f>IF(ISERROR(AB20*100000000/'Calc-Units'!$C$23)," ",AB20*100000000/'Calc-Units'!$C$23)</f>
        <v>8.806857381410758E-4</v>
      </c>
      <c r="AJ20" s="171">
        <f>IF(ISERROR(AC20*100000000/'Calc-Units'!$C$23)," ",AC20*100000000/'Calc-Units'!$C$23)</f>
        <v>3.5216354358964357E-3</v>
      </c>
      <c r="AK20" s="57"/>
      <c r="AL20" s="53">
        <v>0.52569999999999995</v>
      </c>
      <c r="AM20" s="84">
        <f t="shared" si="10"/>
        <v>0.47312999999999994</v>
      </c>
      <c r="AN20" s="47">
        <f t="shared" si="11"/>
        <v>0.42687000000000008</v>
      </c>
      <c r="AO20" s="46"/>
      <c r="AP20" s="46"/>
      <c r="AQ20" s="49">
        <f t="shared" si="12"/>
        <v>8.1916134871121246E-2</v>
      </c>
      <c r="AR20" s="49">
        <f t="shared" si="13"/>
        <v>0.12316094854465862</v>
      </c>
      <c r="AS20" s="49">
        <f t="shared" si="14"/>
        <v>3.0142752101824037E-2</v>
      </c>
      <c r="AT20" s="101">
        <f t="shared" si="15"/>
        <v>0.12053310203624644</v>
      </c>
      <c r="AU20" s="101">
        <f t="shared" si="16"/>
        <v>7.1117062446149737E-2</v>
      </c>
      <c r="AV20" s="50"/>
      <c r="AW20" s="57"/>
      <c r="AX20" s="51">
        <f>IF(ISERROR(AQ20*100000000/'Calc-Units'!$E$23)," ",AQ20*100000000/'Calc-Units'!$E$23)</f>
        <v>6.5972746203647433E-4</v>
      </c>
      <c r="AY20" s="51">
        <f>IF(ISERROR(AR20*100000000/'Calc-Units'!$D$23)," ",AR20*100000000/'Calc-Units'!$D$23)</f>
        <v>1.2811358151219997E-3</v>
      </c>
      <c r="AZ20" s="51">
        <f>IF(ISERROR(AS20*100000000/'Calc-Units'!$C$23)," ",AS20*100000000/'Calc-Units'!$C$23)</f>
        <v>4.1770924560031227E-4</v>
      </c>
      <c r="BA20" s="171">
        <f>IF(ISERROR(AT20*100000000/'Calc-Units'!$C$23)," ",AT20*100000000/'Calc-Units'!$C$23)</f>
        <v>1.6703116872456795E-3</v>
      </c>
      <c r="BC20" s="55"/>
      <c r="BD20" s="55"/>
    </row>
    <row r="21" spans="1:56" s="58" customFormat="1">
      <c r="A21" s="59"/>
      <c r="B21" s="2240"/>
      <c r="C21" s="82" t="s">
        <v>779</v>
      </c>
      <c r="D21" s="86">
        <f>'RRP 1.3'!R$12</f>
        <v>2.7</v>
      </c>
      <c r="E21" s="86">
        <v>0</v>
      </c>
      <c r="F21" s="86">
        <v>0</v>
      </c>
      <c r="G21" s="86">
        <v>0</v>
      </c>
      <c r="H21" s="86">
        <v>0</v>
      </c>
      <c r="I21" s="86">
        <f t="shared" si="0"/>
        <v>2.7</v>
      </c>
      <c r="J21" s="54"/>
      <c r="K21" s="86" t="s">
        <v>478</v>
      </c>
      <c r="L21" s="96">
        <f>IF(ISERROR(VLOOKUP($K21,'Calc-Drivers'!$B$17:$G$27,L$43,FALSE))," ",VLOOKUP($K21,'Calc-Drivers'!$B$17:$G$27,L$43,FALSE))</f>
        <v>0.19189948900396195</v>
      </c>
      <c r="M21" s="96">
        <f>IF(ISERROR(VLOOKUP($K21,'Calc-Drivers'!$B$17:$G$27,M$43,FALSE))," ",VLOOKUP($K21,'Calc-Drivers'!$B$17:$G$27,M$43,FALSE))</f>
        <v>0.28852097487445499</v>
      </c>
      <c r="N21" s="96">
        <f>IF(ISERROR(VLOOKUP($K21,'Calc-Drivers'!$B$17:$G$27,N$43,FALSE))," ",VLOOKUP($K21,'Calc-Drivers'!$B$17:$G$27,N$43,FALSE))</f>
        <v>7.0613423528999547E-2</v>
      </c>
      <c r="O21" s="96">
        <f>IF(ISERROR(VLOOKUP($K21,'Calc-Drivers'!$B$17:$G$27,O$43,FALSE))," ",VLOOKUP($K21,'Calc-Drivers'!$B$17:$G$27,O$43,FALSE))</f>
        <v>0.28236489337795212</v>
      </c>
      <c r="P21" s="96">
        <f>IF(ISERROR(VLOOKUP($K21,'Calc-Drivers'!$B$17:$G$27,P$43,FALSE))," ",VLOOKUP($K21,'Calc-Drivers'!$B$17:$G$27,P$43,FALSE))</f>
        <v>0.16660121921463145</v>
      </c>
      <c r="Q21" s="108"/>
      <c r="R21" s="48"/>
      <c r="S21" s="49">
        <f t="shared" si="1"/>
        <v>0.51812862031069729</v>
      </c>
      <c r="T21" s="49">
        <f t="shared" si="2"/>
        <v>0.7790066321610285</v>
      </c>
      <c r="U21" s="49">
        <f t="shared" si="3"/>
        <v>0.1906562435282988</v>
      </c>
      <c r="V21" s="101">
        <f t="shared" si="4"/>
        <v>0.76238521212047072</v>
      </c>
      <c r="W21" s="101">
        <f t="shared" si="4"/>
        <v>0.44982329187950493</v>
      </c>
      <c r="X21" s="50"/>
      <c r="Y21" s="55"/>
      <c r="Z21" s="49">
        <f t="shared" si="5"/>
        <v>0.51812862031069729</v>
      </c>
      <c r="AA21" s="49">
        <f t="shared" si="6"/>
        <v>0.7790066321610285</v>
      </c>
      <c r="AB21" s="49">
        <f t="shared" si="7"/>
        <v>0.1906562435282988</v>
      </c>
      <c r="AC21" s="101">
        <f t="shared" si="8"/>
        <v>0.76238521212047072</v>
      </c>
      <c r="AD21" s="101">
        <f t="shared" si="9"/>
        <v>0.44982329187950493</v>
      </c>
      <c r="AE21" s="50"/>
      <c r="AF21" s="56"/>
      <c r="AG21" s="51">
        <f>IF(ISERROR(Z21*100000000/'Calc-Units'!$E$23)," ",Z21*100000000/'Calc-Units'!$E$23)</f>
        <v>4.1728492222420886E-3</v>
      </c>
      <c r="AH21" s="51">
        <f>IF(ISERROR(AA21*100000000/'Calc-Units'!$D$23)," ",AA21*100000000/'Calc-Units'!$D$23)</f>
        <v>8.1033258388488287E-3</v>
      </c>
      <c r="AI21" s="51">
        <f>IF(ISERROR(AB21*100000000/'Calc-Units'!$C$23)," ",AB21*100000000/'Calc-Units'!$C$23)</f>
        <v>2.642057214423228E-3</v>
      </c>
      <c r="AJ21" s="171">
        <f>IF(ISERROR(AC21*100000000/'Calc-Units'!$C$23)," ",AC21*100000000/'Calc-Units'!$C$23)</f>
        <v>1.0564906307689307E-2</v>
      </c>
      <c r="AK21" s="57"/>
      <c r="AL21" s="53">
        <v>0.52569999999999995</v>
      </c>
      <c r="AM21" s="84">
        <f t="shared" si="10"/>
        <v>1.4193899999999999</v>
      </c>
      <c r="AN21" s="47">
        <f t="shared" si="11"/>
        <v>1.2806100000000002</v>
      </c>
      <c r="AO21" s="46"/>
      <c r="AP21" s="46"/>
      <c r="AQ21" s="49">
        <f t="shared" si="12"/>
        <v>0.24574840461336375</v>
      </c>
      <c r="AR21" s="49">
        <f t="shared" si="13"/>
        <v>0.36948284563397588</v>
      </c>
      <c r="AS21" s="49">
        <f t="shared" si="14"/>
        <v>9.0428256305472132E-2</v>
      </c>
      <c r="AT21" s="101">
        <f t="shared" si="15"/>
        <v>0.3615993061087393</v>
      </c>
      <c r="AU21" s="101">
        <f t="shared" si="16"/>
        <v>0.21335118733844921</v>
      </c>
      <c r="AV21" s="50"/>
      <c r="AW21" s="57"/>
      <c r="AX21" s="51">
        <f>IF(ISERROR(AQ21*100000000/'Calc-Units'!$E$23)," ",AQ21*100000000/'Calc-Units'!$E$23)</f>
        <v>1.979182386109423E-3</v>
      </c>
      <c r="AY21" s="51">
        <f>IF(ISERROR(AR21*100000000/'Calc-Units'!$D$23)," ",AR21*100000000/'Calc-Units'!$D$23)</f>
        <v>3.8434074453659994E-3</v>
      </c>
      <c r="AZ21" s="51">
        <f>IF(ISERROR(AS21*100000000/'Calc-Units'!$C$23)," ",AS21*100000000/'Calc-Units'!$C$23)</f>
        <v>1.253127736800937E-3</v>
      </c>
      <c r="BA21" s="171">
        <f>IF(ISERROR(AT21*100000000/'Calc-Units'!$C$23)," ",AT21*100000000/'Calc-Units'!$C$23)</f>
        <v>5.0109350617370384E-3</v>
      </c>
      <c r="BC21" s="55"/>
      <c r="BD21" s="55"/>
    </row>
    <row r="22" spans="1:56" s="58" customFormat="1">
      <c r="A22" s="59"/>
      <c r="B22" s="2240"/>
      <c r="C22" s="82" t="s">
        <v>657</v>
      </c>
      <c r="D22" s="86">
        <f>'RRP 1.3'!S$12</f>
        <v>6.8</v>
      </c>
      <c r="E22" s="86">
        <v>0</v>
      </c>
      <c r="F22" s="86">
        <v>0</v>
      </c>
      <c r="G22" s="86">
        <v>0</v>
      </c>
      <c r="H22" s="86">
        <v>0</v>
      </c>
      <c r="I22" s="86">
        <f t="shared" si="0"/>
        <v>6.8</v>
      </c>
      <c r="J22" s="54"/>
      <c r="K22" s="86" t="s">
        <v>467</v>
      </c>
      <c r="L22" s="96" t="str">
        <f>IF(ISERROR(VLOOKUP($K22,'Calc-Drivers'!$B$17:$G$27,L$43,FALSE))," ",VLOOKUP($K22,'Calc-Drivers'!$B$17:$G$27,L$43,FALSE))</f>
        <v xml:space="preserve"> </v>
      </c>
      <c r="M22" s="96" t="str">
        <f>IF(ISERROR(VLOOKUP($K22,'Calc-Drivers'!$B$17:$G$27,M$43,FALSE))," ",VLOOKUP($K22,'Calc-Drivers'!$B$17:$G$27,M$43,FALSE))</f>
        <v xml:space="preserve"> </v>
      </c>
      <c r="N22" s="96" t="str">
        <f>IF(ISERROR(VLOOKUP($K22,'Calc-Drivers'!$B$17:$G$27,N$43,FALSE))," ",VLOOKUP($K22,'Calc-Drivers'!$B$17:$G$27,N$43,FALSE))</f>
        <v xml:space="preserve"> </v>
      </c>
      <c r="O22" s="96" t="str">
        <f>IF(ISERROR(VLOOKUP($K22,'Calc-Drivers'!$B$17:$G$27,O$43,FALSE))," ",VLOOKUP($K22,'Calc-Drivers'!$B$17:$G$27,O$43,FALSE))</f>
        <v xml:space="preserve"> </v>
      </c>
      <c r="P22" s="96" t="str">
        <f>IF(ISERROR(VLOOKUP($K22,'Calc-Drivers'!$B$17:$G$27,P$43,FALSE))," ",VLOOKUP($K22,'Calc-Drivers'!$B$17:$G$27,P$43,FALSE))</f>
        <v xml:space="preserve"> </v>
      </c>
      <c r="Q22" s="108"/>
      <c r="R22" s="48"/>
      <c r="S22" s="49" t="str">
        <f t="shared" si="1"/>
        <v xml:space="preserve"> </v>
      </c>
      <c r="T22" s="49" t="str">
        <f t="shared" si="2"/>
        <v xml:space="preserve"> </v>
      </c>
      <c r="U22" s="49" t="str">
        <f t="shared" si="3"/>
        <v xml:space="preserve"> </v>
      </c>
      <c r="V22" s="101" t="str">
        <f t="shared" si="4"/>
        <v xml:space="preserve"> </v>
      </c>
      <c r="W22" s="101" t="str">
        <f t="shared" si="4"/>
        <v xml:space="preserve"> </v>
      </c>
      <c r="X22" s="50"/>
      <c r="Y22" s="55"/>
      <c r="Z22" s="49" t="str">
        <f t="shared" si="5"/>
        <v xml:space="preserve"> </v>
      </c>
      <c r="AA22" s="49" t="str">
        <f t="shared" si="6"/>
        <v xml:space="preserve"> </v>
      </c>
      <c r="AB22" s="49" t="str">
        <f t="shared" si="7"/>
        <v xml:space="preserve"> </v>
      </c>
      <c r="AC22" s="101" t="str">
        <f t="shared" si="8"/>
        <v xml:space="preserve"> </v>
      </c>
      <c r="AD22" s="101" t="str">
        <f t="shared" si="9"/>
        <v xml:space="preserve"> </v>
      </c>
      <c r="AE22" s="50"/>
      <c r="AF22" s="56"/>
      <c r="AG22" s="51" t="str">
        <f>IF(ISERROR(Z22*100000000/'Calc-Units'!$E$23)," ",Z22*100000000/'Calc-Units'!$E$23)</f>
        <v xml:space="preserve"> </v>
      </c>
      <c r="AH22" s="51" t="str">
        <f>IF(ISERROR(AA22*100000000/'Calc-Units'!$D$23)," ",AA22*100000000/'Calc-Units'!$D$23)</f>
        <v xml:space="preserve"> </v>
      </c>
      <c r="AI22" s="51" t="str">
        <f>IF(ISERROR(AB22*100000000/'Calc-Units'!$C$23)," ",AB22*100000000/'Calc-Units'!$C$23)</f>
        <v xml:space="preserve"> </v>
      </c>
      <c r="AJ22" s="171" t="str">
        <f>IF(ISERROR(AC22*100000000/'Calc-Units'!$C$23)," ",AC22*100000000/'Calc-Units'!$C$23)</f>
        <v xml:space="preserve"> </v>
      </c>
      <c r="AK22" s="57"/>
      <c r="AL22" s="53">
        <v>0.52569999999999995</v>
      </c>
      <c r="AM22" s="84">
        <f t="shared" si="10"/>
        <v>3.5747599999999995</v>
      </c>
      <c r="AN22" s="47">
        <f t="shared" si="11"/>
        <v>3.2252400000000003</v>
      </c>
      <c r="AO22" s="46"/>
      <c r="AP22" s="46"/>
      <c r="AQ22" s="49" t="str">
        <f t="shared" si="12"/>
        <v xml:space="preserve"> </v>
      </c>
      <c r="AR22" s="49" t="str">
        <f t="shared" si="13"/>
        <v xml:space="preserve"> </v>
      </c>
      <c r="AS22" s="49" t="str">
        <f t="shared" si="14"/>
        <v xml:space="preserve"> </v>
      </c>
      <c r="AT22" s="101" t="str">
        <f t="shared" si="15"/>
        <v xml:space="preserve"> </v>
      </c>
      <c r="AU22" s="101" t="str">
        <f t="shared" si="16"/>
        <v xml:space="preserve"> </v>
      </c>
      <c r="AV22" s="50"/>
      <c r="AW22" s="57"/>
      <c r="AX22" s="51" t="str">
        <f>IF(ISERROR(AQ22*100000000/'Calc-Units'!$E$23)," ",AQ22*100000000/'Calc-Units'!$E$23)</f>
        <v xml:space="preserve"> </v>
      </c>
      <c r="AY22" s="51" t="str">
        <f>IF(ISERROR(AR22*100000000/'Calc-Units'!$D$23)," ",AR22*100000000/'Calc-Units'!$D$23)</f>
        <v xml:space="preserve"> </v>
      </c>
      <c r="AZ22" s="51" t="str">
        <f>IF(ISERROR(AS22*100000000/'Calc-Units'!$C$23)," ",AS22*100000000/'Calc-Units'!$C$23)</f>
        <v xml:space="preserve"> </v>
      </c>
      <c r="BA22" s="171" t="str">
        <f>IF(ISERROR(AT22*100000000/'Calc-Units'!$C$23)," ",AT22*100000000/'Calc-Units'!$C$23)</f>
        <v xml:space="preserve"> </v>
      </c>
      <c r="BC22" s="55"/>
      <c r="BD22" s="55"/>
    </row>
    <row r="23" spans="1:56" s="58" customFormat="1">
      <c r="A23" s="59"/>
      <c r="B23" s="2240"/>
      <c r="C23" s="82" t="s">
        <v>778</v>
      </c>
      <c r="D23" s="86">
        <f>'RRP 1.3'!T$12</f>
        <v>2.1</v>
      </c>
      <c r="E23" s="86">
        <v>0</v>
      </c>
      <c r="F23" s="86">
        <v>0</v>
      </c>
      <c r="G23" s="86">
        <v>0</v>
      </c>
      <c r="H23" s="86">
        <v>0</v>
      </c>
      <c r="I23" s="86">
        <f t="shared" si="0"/>
        <v>2.1</v>
      </c>
      <c r="J23" s="54"/>
      <c r="K23" s="86" t="s">
        <v>467</v>
      </c>
      <c r="L23" s="96" t="str">
        <f>IF(ISERROR(VLOOKUP($K23,'Calc-Drivers'!$B$17:$G$27,L$43,FALSE))," ",VLOOKUP($K23,'Calc-Drivers'!$B$17:$G$27,L$43,FALSE))</f>
        <v xml:space="preserve"> </v>
      </c>
      <c r="M23" s="96" t="str">
        <f>IF(ISERROR(VLOOKUP($K23,'Calc-Drivers'!$B$17:$G$27,M$43,FALSE))," ",VLOOKUP($K23,'Calc-Drivers'!$B$17:$G$27,M$43,FALSE))</f>
        <v xml:space="preserve"> </v>
      </c>
      <c r="N23" s="96" t="str">
        <f>IF(ISERROR(VLOOKUP($K23,'Calc-Drivers'!$B$17:$G$27,N$43,FALSE))," ",VLOOKUP($K23,'Calc-Drivers'!$B$17:$G$27,N$43,FALSE))</f>
        <v xml:space="preserve"> </v>
      </c>
      <c r="O23" s="96" t="str">
        <f>IF(ISERROR(VLOOKUP($K23,'Calc-Drivers'!$B$17:$G$27,O$43,FALSE))," ",VLOOKUP($K23,'Calc-Drivers'!$B$17:$G$27,O$43,FALSE))</f>
        <v xml:space="preserve"> </v>
      </c>
      <c r="P23" s="96" t="str">
        <f>IF(ISERROR(VLOOKUP($K23,'Calc-Drivers'!$B$17:$G$27,P$43,FALSE))," ",VLOOKUP($K23,'Calc-Drivers'!$B$17:$G$27,P$43,FALSE))</f>
        <v xml:space="preserve"> </v>
      </c>
      <c r="Q23" s="108"/>
      <c r="R23" s="48"/>
      <c r="S23" s="49" t="str">
        <f t="shared" si="1"/>
        <v xml:space="preserve"> </v>
      </c>
      <c r="T23" s="49" t="str">
        <f t="shared" si="2"/>
        <v xml:space="preserve"> </v>
      </c>
      <c r="U23" s="49" t="str">
        <f t="shared" si="3"/>
        <v xml:space="preserve"> </v>
      </c>
      <c r="V23" s="101" t="str">
        <f t="shared" si="4"/>
        <v xml:space="preserve"> </v>
      </c>
      <c r="W23" s="101" t="str">
        <f t="shared" si="4"/>
        <v xml:space="preserve"> </v>
      </c>
      <c r="X23" s="50"/>
      <c r="Y23" s="55"/>
      <c r="Z23" s="49" t="str">
        <f t="shared" si="5"/>
        <v xml:space="preserve"> </v>
      </c>
      <c r="AA23" s="49" t="str">
        <f t="shared" si="6"/>
        <v xml:space="preserve"> </v>
      </c>
      <c r="AB23" s="49" t="str">
        <f t="shared" si="7"/>
        <v xml:space="preserve"> </v>
      </c>
      <c r="AC23" s="101" t="str">
        <f t="shared" si="8"/>
        <v xml:space="preserve"> </v>
      </c>
      <c r="AD23" s="101" t="str">
        <f t="shared" si="9"/>
        <v xml:space="preserve"> </v>
      </c>
      <c r="AE23" s="50"/>
      <c r="AF23" s="56"/>
      <c r="AG23" s="51" t="str">
        <f>IF(ISERROR(Z23*100000000/'Calc-Units'!$E$23)," ",Z23*100000000/'Calc-Units'!$E$23)</f>
        <v xml:space="preserve"> </v>
      </c>
      <c r="AH23" s="51" t="str">
        <f>IF(ISERROR(AA23*100000000/'Calc-Units'!$D$23)," ",AA23*100000000/'Calc-Units'!$D$23)</f>
        <v xml:space="preserve"> </v>
      </c>
      <c r="AI23" s="51" t="str">
        <f>IF(ISERROR(AB23*100000000/'Calc-Units'!$C$23)," ",AB23*100000000/'Calc-Units'!$C$23)</f>
        <v xml:space="preserve"> </v>
      </c>
      <c r="AJ23" s="171" t="str">
        <f>IF(ISERROR(AC23*100000000/'Calc-Units'!$C$23)," ",AC23*100000000/'Calc-Units'!$C$23)</f>
        <v xml:space="preserve"> </v>
      </c>
      <c r="AK23" s="57"/>
      <c r="AL23" s="53">
        <v>0.52569999999999995</v>
      </c>
      <c r="AM23" s="84">
        <f t="shared" si="10"/>
        <v>1.1039699999999999</v>
      </c>
      <c r="AN23" s="47">
        <f t="shared" si="11"/>
        <v>0.99603000000000019</v>
      </c>
      <c r="AO23" s="46"/>
      <c r="AP23" s="46"/>
      <c r="AQ23" s="49" t="str">
        <f t="shared" si="12"/>
        <v xml:space="preserve"> </v>
      </c>
      <c r="AR23" s="49" t="str">
        <f t="shared" si="13"/>
        <v xml:space="preserve"> </v>
      </c>
      <c r="AS23" s="49" t="str">
        <f t="shared" si="14"/>
        <v xml:space="preserve"> </v>
      </c>
      <c r="AT23" s="101" t="str">
        <f t="shared" si="15"/>
        <v xml:space="preserve"> </v>
      </c>
      <c r="AU23" s="101" t="str">
        <f t="shared" si="16"/>
        <v xml:space="preserve"> </v>
      </c>
      <c r="AV23" s="50"/>
      <c r="AW23" s="57"/>
      <c r="AX23" s="51" t="str">
        <f>IF(ISERROR(AQ23*100000000/'Calc-Units'!$E$23)," ",AQ23*100000000/'Calc-Units'!$E$23)</f>
        <v xml:space="preserve"> </v>
      </c>
      <c r="AY23" s="51" t="str">
        <f>IF(ISERROR(AR23*100000000/'Calc-Units'!$D$23)," ",AR23*100000000/'Calc-Units'!$D$23)</f>
        <v xml:space="preserve"> </v>
      </c>
      <c r="AZ23" s="51" t="str">
        <f>IF(ISERROR(AS23*100000000/'Calc-Units'!$C$23)," ",AS23*100000000/'Calc-Units'!$C$23)</f>
        <v xml:space="preserve"> </v>
      </c>
      <c r="BA23" s="171" t="str">
        <f>IF(ISERROR(AT23*100000000/'Calc-Units'!$C$23)," ",AT23*100000000/'Calc-Units'!$C$23)</f>
        <v xml:space="preserve"> </v>
      </c>
      <c r="BC23" s="55"/>
      <c r="BD23" s="55"/>
    </row>
    <row r="24" spans="1:56" s="58" customFormat="1">
      <c r="A24" s="59"/>
      <c r="B24" s="2240"/>
      <c r="C24" s="82" t="s">
        <v>73</v>
      </c>
      <c r="D24" s="86">
        <f>'RRP 1.3'!U$12</f>
        <v>0.9</v>
      </c>
      <c r="E24" s="86">
        <v>0</v>
      </c>
      <c r="F24" s="86">
        <v>0</v>
      </c>
      <c r="G24" s="86">
        <v>0</v>
      </c>
      <c r="H24" s="86">
        <v>0</v>
      </c>
      <c r="I24" s="86">
        <f t="shared" si="0"/>
        <v>0.9</v>
      </c>
      <c r="J24" s="54"/>
      <c r="K24" s="86" t="s">
        <v>478</v>
      </c>
      <c r="L24" s="96">
        <f>IF(ISERROR(VLOOKUP($K24,'Calc-Drivers'!$B$17:$G$27,L$43,FALSE))," ",VLOOKUP($K24,'Calc-Drivers'!$B$17:$G$27,L$43,FALSE))</f>
        <v>0.19189948900396195</v>
      </c>
      <c r="M24" s="96">
        <f>IF(ISERROR(VLOOKUP($K24,'Calc-Drivers'!$B$17:$G$27,M$43,FALSE))," ",VLOOKUP($K24,'Calc-Drivers'!$B$17:$G$27,M$43,FALSE))</f>
        <v>0.28852097487445499</v>
      </c>
      <c r="N24" s="96">
        <f>IF(ISERROR(VLOOKUP($K24,'Calc-Drivers'!$B$17:$G$27,N$43,FALSE))," ",VLOOKUP($K24,'Calc-Drivers'!$B$17:$G$27,N$43,FALSE))</f>
        <v>7.0613423528999547E-2</v>
      </c>
      <c r="O24" s="96">
        <f>IF(ISERROR(VLOOKUP($K24,'Calc-Drivers'!$B$17:$G$27,O$43,FALSE))," ",VLOOKUP($K24,'Calc-Drivers'!$B$17:$G$27,O$43,FALSE))</f>
        <v>0.28236489337795212</v>
      </c>
      <c r="P24" s="96">
        <f>IF(ISERROR(VLOOKUP($K24,'Calc-Drivers'!$B$17:$G$27,P$43,FALSE))," ",VLOOKUP($K24,'Calc-Drivers'!$B$17:$G$27,P$43,FALSE))</f>
        <v>0.16660121921463145</v>
      </c>
      <c r="Q24" s="108"/>
      <c r="R24" s="48"/>
      <c r="S24" s="49">
        <f t="shared" si="1"/>
        <v>0.17270954010356576</v>
      </c>
      <c r="T24" s="49">
        <f t="shared" si="2"/>
        <v>0.2596688773870095</v>
      </c>
      <c r="U24" s="49">
        <f t="shared" si="3"/>
        <v>6.355208117609959E-2</v>
      </c>
      <c r="V24" s="101">
        <f t="shared" si="4"/>
        <v>0.25412840404015691</v>
      </c>
      <c r="W24" s="101">
        <f t="shared" si="4"/>
        <v>0.14994109729316832</v>
      </c>
      <c r="X24" s="50"/>
      <c r="Y24" s="55"/>
      <c r="Z24" s="49">
        <f t="shared" si="5"/>
        <v>0.17270954010356576</v>
      </c>
      <c r="AA24" s="49">
        <f t="shared" si="6"/>
        <v>0.2596688773870095</v>
      </c>
      <c r="AB24" s="49">
        <f t="shared" si="7"/>
        <v>6.355208117609959E-2</v>
      </c>
      <c r="AC24" s="101">
        <f t="shared" si="8"/>
        <v>0.25412840404015691</v>
      </c>
      <c r="AD24" s="101">
        <f t="shared" si="9"/>
        <v>0.14994109729316832</v>
      </c>
      <c r="AE24" s="50"/>
      <c r="AF24" s="56"/>
      <c r="AG24" s="51">
        <f>IF(ISERROR(Z24*100000000/'Calc-Units'!$E$23)," ",Z24*100000000/'Calc-Units'!$E$23)</f>
        <v>1.390949740747363E-3</v>
      </c>
      <c r="AH24" s="51">
        <f>IF(ISERROR(AA24*100000000/'Calc-Units'!$D$23)," ",AA24*100000000/'Calc-Units'!$D$23)</f>
        <v>2.7011086129496088E-3</v>
      </c>
      <c r="AI24" s="51">
        <f>IF(ISERROR(AB24*100000000/'Calc-Units'!$C$23)," ",AB24*100000000/'Calc-Units'!$C$23)</f>
        <v>8.806857381410758E-4</v>
      </c>
      <c r="AJ24" s="171">
        <f>IF(ISERROR(AC24*100000000/'Calc-Units'!$C$23)," ",AC24*100000000/'Calc-Units'!$C$23)</f>
        <v>3.5216354358964357E-3</v>
      </c>
      <c r="AK24" s="57"/>
      <c r="AL24" s="53">
        <v>0.52569999999999995</v>
      </c>
      <c r="AM24" s="84">
        <f t="shared" si="10"/>
        <v>0.47312999999999994</v>
      </c>
      <c r="AN24" s="47">
        <f t="shared" si="11"/>
        <v>0.42687000000000008</v>
      </c>
      <c r="AO24" s="46"/>
      <c r="AP24" s="46"/>
      <c r="AQ24" s="49">
        <f t="shared" si="12"/>
        <v>8.1916134871121246E-2</v>
      </c>
      <c r="AR24" s="49">
        <f t="shared" si="13"/>
        <v>0.12316094854465862</v>
      </c>
      <c r="AS24" s="49">
        <f t="shared" si="14"/>
        <v>3.0142752101824037E-2</v>
      </c>
      <c r="AT24" s="101">
        <f t="shared" si="15"/>
        <v>0.12053310203624644</v>
      </c>
      <c r="AU24" s="101">
        <f t="shared" si="16"/>
        <v>7.1117062446149737E-2</v>
      </c>
      <c r="AV24" s="50"/>
      <c r="AW24" s="57"/>
      <c r="AX24" s="51">
        <f>IF(ISERROR(AQ24*100000000/'Calc-Units'!$E$23)," ",AQ24*100000000/'Calc-Units'!$E$23)</f>
        <v>6.5972746203647433E-4</v>
      </c>
      <c r="AY24" s="51">
        <f>IF(ISERROR(AR24*100000000/'Calc-Units'!$D$23)," ",AR24*100000000/'Calc-Units'!$D$23)</f>
        <v>1.2811358151219997E-3</v>
      </c>
      <c r="AZ24" s="51">
        <f>IF(ISERROR(AS24*100000000/'Calc-Units'!$C$23)," ",AS24*100000000/'Calc-Units'!$C$23)</f>
        <v>4.1770924560031227E-4</v>
      </c>
      <c r="BA24" s="171">
        <f>IF(ISERROR(AT24*100000000/'Calc-Units'!$C$23)," ",AT24*100000000/'Calc-Units'!$C$23)</f>
        <v>1.6703116872456795E-3</v>
      </c>
      <c r="BC24" s="55"/>
      <c r="BD24" s="55"/>
    </row>
    <row r="25" spans="1:56" s="58" customFormat="1">
      <c r="A25" s="59"/>
      <c r="B25" s="2240"/>
      <c r="C25" s="82" t="s">
        <v>499</v>
      </c>
      <c r="D25" s="86">
        <f>'RRP 1.3'!V$12</f>
        <v>1.1000000000000001</v>
      </c>
      <c r="E25" s="86">
        <v>0</v>
      </c>
      <c r="F25" s="86">
        <v>0</v>
      </c>
      <c r="G25" s="86">
        <v>0</v>
      </c>
      <c r="H25" s="86">
        <v>0</v>
      </c>
      <c r="I25" s="86">
        <f t="shared" si="0"/>
        <v>1.1000000000000001</v>
      </c>
      <c r="J25" s="54"/>
      <c r="K25" s="86" t="s">
        <v>478</v>
      </c>
      <c r="L25" s="96">
        <f>IF(ISERROR(VLOOKUP($K25,'Calc-Drivers'!$B$17:$G$27,L$43,FALSE))," ",VLOOKUP($K25,'Calc-Drivers'!$B$17:$G$27,L$43,FALSE))</f>
        <v>0.19189948900396195</v>
      </c>
      <c r="M25" s="96">
        <f>IF(ISERROR(VLOOKUP($K25,'Calc-Drivers'!$B$17:$G$27,M$43,FALSE))," ",VLOOKUP($K25,'Calc-Drivers'!$B$17:$G$27,M$43,FALSE))</f>
        <v>0.28852097487445499</v>
      </c>
      <c r="N25" s="96">
        <f>IF(ISERROR(VLOOKUP($K25,'Calc-Drivers'!$B$17:$G$27,N$43,FALSE))," ",VLOOKUP($K25,'Calc-Drivers'!$B$17:$G$27,N$43,FALSE))</f>
        <v>7.0613423528999547E-2</v>
      </c>
      <c r="O25" s="96">
        <f>IF(ISERROR(VLOOKUP($K25,'Calc-Drivers'!$B$17:$G$27,O$43,FALSE))," ",VLOOKUP($K25,'Calc-Drivers'!$B$17:$G$27,O$43,FALSE))</f>
        <v>0.28236489337795212</v>
      </c>
      <c r="P25" s="96">
        <f>IF(ISERROR(VLOOKUP($K25,'Calc-Drivers'!$B$17:$G$27,P$43,FALSE))," ",VLOOKUP($K25,'Calc-Drivers'!$B$17:$G$27,P$43,FALSE))</f>
        <v>0.16660121921463145</v>
      </c>
      <c r="Q25" s="108"/>
      <c r="R25" s="48"/>
      <c r="S25" s="49">
        <f t="shared" si="1"/>
        <v>0.21108943790435816</v>
      </c>
      <c r="T25" s="49">
        <f t="shared" si="2"/>
        <v>0.31737307236190054</v>
      </c>
      <c r="U25" s="49">
        <f t="shared" si="3"/>
        <v>7.7674765881899505E-2</v>
      </c>
      <c r="V25" s="101">
        <f t="shared" si="4"/>
        <v>0.31060138271574733</v>
      </c>
      <c r="W25" s="101">
        <f t="shared" si="4"/>
        <v>0.1832613411360946</v>
      </c>
      <c r="X25" s="50"/>
      <c r="Y25" s="55"/>
      <c r="Z25" s="49">
        <f t="shared" si="5"/>
        <v>0.21108943790435816</v>
      </c>
      <c r="AA25" s="49">
        <f t="shared" si="6"/>
        <v>0.31737307236190054</v>
      </c>
      <c r="AB25" s="49">
        <f t="shared" si="7"/>
        <v>7.7674765881899505E-2</v>
      </c>
      <c r="AC25" s="101">
        <f t="shared" si="8"/>
        <v>0.31060138271574733</v>
      </c>
      <c r="AD25" s="101">
        <f t="shared" si="9"/>
        <v>0.1832613411360946</v>
      </c>
      <c r="AE25" s="50"/>
      <c r="AF25" s="56"/>
      <c r="AG25" s="51">
        <f>IF(ISERROR(Z25*100000000/'Calc-Units'!$E$23)," ",Z25*100000000/'Calc-Units'!$E$23)</f>
        <v>1.700049683135666E-3</v>
      </c>
      <c r="AH25" s="51">
        <f>IF(ISERROR(AA25*100000000/'Calc-Units'!$D$23)," ",AA25*100000000/'Calc-Units'!$D$23)</f>
        <v>3.3013549713828564E-3</v>
      </c>
      <c r="AI25" s="51">
        <f>IF(ISERROR(AB25*100000000/'Calc-Units'!$C$23)," ",AB25*100000000/'Calc-Units'!$C$23)</f>
        <v>1.0763936799502037E-3</v>
      </c>
      <c r="AJ25" s="171">
        <f>IF(ISERROR(AC25*100000000/'Calc-Units'!$C$23)," ",AC25*100000000/'Calc-Units'!$C$23)</f>
        <v>4.3042210883178656E-3</v>
      </c>
      <c r="AK25" s="57"/>
      <c r="AL25" s="53">
        <v>0.52569999999999995</v>
      </c>
      <c r="AM25" s="84">
        <f t="shared" si="10"/>
        <v>0.57826999999999995</v>
      </c>
      <c r="AN25" s="47">
        <f t="shared" si="11"/>
        <v>0.52173000000000014</v>
      </c>
      <c r="AO25" s="46"/>
      <c r="AP25" s="46"/>
      <c r="AQ25" s="49">
        <f t="shared" si="12"/>
        <v>0.10011972039803708</v>
      </c>
      <c r="AR25" s="49">
        <f t="shared" si="13"/>
        <v>0.15053004822124944</v>
      </c>
      <c r="AS25" s="49">
        <f t="shared" si="14"/>
        <v>3.6841141457784943E-2</v>
      </c>
      <c r="AT25" s="101">
        <f t="shared" si="15"/>
        <v>0.14731823582207898</v>
      </c>
      <c r="AU25" s="101">
        <f t="shared" si="16"/>
        <v>8.6920854100849682E-2</v>
      </c>
      <c r="AV25" s="50"/>
      <c r="AW25" s="57"/>
      <c r="AX25" s="51">
        <f>IF(ISERROR(AQ25*100000000/'Calc-Units'!$E$23)," ",AQ25*100000000/'Calc-Units'!$E$23)</f>
        <v>8.0633356471124641E-4</v>
      </c>
      <c r="AY25" s="51">
        <f>IF(ISERROR(AR25*100000000/'Calc-Units'!$D$23)," ",AR25*100000000/'Calc-Units'!$D$23)</f>
        <v>1.5658326629268888E-3</v>
      </c>
      <c r="AZ25" s="51">
        <f>IF(ISERROR(AS25*100000000/'Calc-Units'!$C$23)," ",AS25*100000000/'Calc-Units'!$C$23)</f>
        <v>5.1053352240038182E-4</v>
      </c>
      <c r="BA25" s="171">
        <f>IF(ISERROR(AT25*100000000/'Calc-Units'!$C$23)," ",AT25*100000000/'Calc-Units'!$C$23)</f>
        <v>2.0414920621891638E-3</v>
      </c>
      <c r="BC25" s="55"/>
      <c r="BD25" s="55"/>
    </row>
    <row r="26" spans="1:56" s="58" customFormat="1">
      <c r="A26" s="59"/>
      <c r="B26" s="2240"/>
      <c r="C26" s="82" t="s">
        <v>189</v>
      </c>
      <c r="D26" s="86">
        <f>'RRP 1.3'!W$12</f>
        <v>5.8</v>
      </c>
      <c r="E26" s="86">
        <v>0</v>
      </c>
      <c r="F26" s="86">
        <v>0</v>
      </c>
      <c r="G26" s="86">
        <v>0</v>
      </c>
      <c r="H26" s="86">
        <v>0</v>
      </c>
      <c r="I26" s="86">
        <f t="shared" si="0"/>
        <v>5.8</v>
      </c>
      <c r="J26" s="54"/>
      <c r="K26" s="86" t="s">
        <v>478</v>
      </c>
      <c r="L26" s="96">
        <f>IF(ISERROR(VLOOKUP($K26,'Calc-Drivers'!$B$17:$G$27,L$43,FALSE))," ",VLOOKUP($K26,'Calc-Drivers'!$B$17:$G$27,L$43,FALSE))</f>
        <v>0.19189948900396195</v>
      </c>
      <c r="M26" s="96">
        <f>IF(ISERROR(VLOOKUP($K26,'Calc-Drivers'!$B$17:$G$27,M$43,FALSE))," ",VLOOKUP($K26,'Calc-Drivers'!$B$17:$G$27,M$43,FALSE))</f>
        <v>0.28852097487445499</v>
      </c>
      <c r="N26" s="96">
        <f>IF(ISERROR(VLOOKUP($K26,'Calc-Drivers'!$B$17:$G$27,N$43,FALSE))," ",VLOOKUP($K26,'Calc-Drivers'!$B$17:$G$27,N$43,FALSE))</f>
        <v>7.0613423528999547E-2</v>
      </c>
      <c r="O26" s="96">
        <f>IF(ISERROR(VLOOKUP($K26,'Calc-Drivers'!$B$17:$G$27,O$43,FALSE))," ",VLOOKUP($K26,'Calc-Drivers'!$B$17:$G$27,O$43,FALSE))</f>
        <v>0.28236489337795212</v>
      </c>
      <c r="P26" s="96">
        <f>IF(ISERROR(VLOOKUP($K26,'Calc-Drivers'!$B$17:$G$27,P$43,FALSE))," ",VLOOKUP($K26,'Calc-Drivers'!$B$17:$G$27,P$43,FALSE))</f>
        <v>0.16660121921463145</v>
      </c>
      <c r="Q26" s="108"/>
      <c r="R26" s="48"/>
      <c r="S26" s="49">
        <f t="shared" si="1"/>
        <v>1.1130170362229792</v>
      </c>
      <c r="T26" s="49">
        <f t="shared" si="2"/>
        <v>1.673421654271839</v>
      </c>
      <c r="U26" s="49">
        <f t="shared" si="3"/>
        <v>0.40955785646819737</v>
      </c>
      <c r="V26" s="101">
        <f t="shared" si="4"/>
        <v>1.6377163815921223</v>
      </c>
      <c r="W26" s="101">
        <f t="shared" si="4"/>
        <v>0.96628707144486237</v>
      </c>
      <c r="X26" s="50"/>
      <c r="Y26" s="55"/>
      <c r="Z26" s="49">
        <f t="shared" si="5"/>
        <v>1.1130170362229792</v>
      </c>
      <c r="AA26" s="49">
        <f t="shared" si="6"/>
        <v>1.673421654271839</v>
      </c>
      <c r="AB26" s="49">
        <f t="shared" si="7"/>
        <v>0.40955785646819737</v>
      </c>
      <c r="AC26" s="101">
        <f t="shared" si="8"/>
        <v>1.6377163815921223</v>
      </c>
      <c r="AD26" s="101">
        <f t="shared" si="9"/>
        <v>0.96628707144486237</v>
      </c>
      <c r="AE26" s="50"/>
      <c r="AF26" s="56"/>
      <c r="AG26" s="51">
        <f>IF(ISERROR(Z26*100000000/'Calc-Units'!$E$23)," ",Z26*100000000/'Calc-Units'!$E$23)</f>
        <v>8.9638983292607832E-3</v>
      </c>
      <c r="AH26" s="51">
        <f>IF(ISERROR(AA26*100000000/'Calc-Units'!$D$23)," ",AA26*100000000/'Calc-Units'!$D$23)</f>
        <v>1.7407144394564148E-2</v>
      </c>
      <c r="AI26" s="51">
        <f>IF(ISERROR(AB26*100000000/'Calc-Units'!$C$23)," ",AB26*100000000/'Calc-Units'!$C$23)</f>
        <v>5.6755303124647102E-3</v>
      </c>
      <c r="AJ26" s="171">
        <f>IF(ISERROR(AC26*100000000/'Calc-Units'!$C$23)," ",AC26*100000000/'Calc-Units'!$C$23)</f>
        <v>2.2694983920221474E-2</v>
      </c>
      <c r="AK26" s="57"/>
      <c r="AL26" s="53">
        <v>0.52569999999999995</v>
      </c>
      <c r="AM26" s="84">
        <f t="shared" si="10"/>
        <v>3.0490599999999994</v>
      </c>
      <c r="AN26" s="47">
        <f t="shared" si="11"/>
        <v>2.7509400000000004</v>
      </c>
      <c r="AO26" s="46"/>
      <c r="AP26" s="46"/>
      <c r="AQ26" s="49">
        <f t="shared" si="12"/>
        <v>0.52790398028055907</v>
      </c>
      <c r="AR26" s="49">
        <f t="shared" si="13"/>
        <v>0.79370389062113333</v>
      </c>
      <c r="AS26" s="49">
        <f t="shared" si="14"/>
        <v>0.19425329132286603</v>
      </c>
      <c r="AT26" s="101">
        <f t="shared" si="15"/>
        <v>0.77676887978914366</v>
      </c>
      <c r="AU26" s="101">
        <f t="shared" si="16"/>
        <v>0.45830995798629826</v>
      </c>
      <c r="AV26" s="50"/>
      <c r="AW26" s="57"/>
      <c r="AX26" s="51">
        <f>IF(ISERROR(AQ26*100000000/'Calc-Units'!$E$23)," ",AQ26*100000000/'Calc-Units'!$E$23)</f>
        <v>4.2515769775683891E-3</v>
      </c>
      <c r="AY26" s="51">
        <f>IF(ISERROR(AR26*100000000/'Calc-Units'!$D$23)," ",AR26*100000000/'Calc-Units'!$D$23)</f>
        <v>8.2562085863417765E-3</v>
      </c>
      <c r="AZ26" s="51">
        <f>IF(ISERROR(AS26*100000000/'Calc-Units'!$C$23)," ",AS26*100000000/'Calc-Units'!$C$23)</f>
        <v>2.6919040272020129E-3</v>
      </c>
      <c r="BA26" s="171">
        <f>IF(ISERROR(AT26*100000000/'Calc-Units'!$C$23)," ",AT26*100000000/'Calc-Units'!$C$23)</f>
        <v>1.0764230873361046E-2</v>
      </c>
      <c r="BC26" s="55"/>
      <c r="BD26" s="55"/>
    </row>
    <row r="27" spans="1:56" s="58" customFormat="1">
      <c r="A27" s="62"/>
      <c r="B27" s="2241"/>
      <c r="C27" s="82" t="s">
        <v>468</v>
      </c>
      <c r="D27" s="86">
        <f>'RRP 1.3'!X$12</f>
        <v>1.8</v>
      </c>
      <c r="E27" s="86">
        <v>0</v>
      </c>
      <c r="F27" s="86">
        <v>0</v>
      </c>
      <c r="G27" s="86">
        <v>0</v>
      </c>
      <c r="H27" s="86">
        <v>0</v>
      </c>
      <c r="I27" s="86">
        <f t="shared" si="0"/>
        <v>1.8</v>
      </c>
      <c r="J27" s="54"/>
      <c r="K27" s="103" t="s">
        <v>478</v>
      </c>
      <c r="L27" s="96">
        <f>IF(ISERROR(VLOOKUP($K27,'Calc-Drivers'!$B$17:$G$27,L$43,FALSE))," ",VLOOKUP($K27,'Calc-Drivers'!$B$17:$G$27,L$43,FALSE))</f>
        <v>0.19189948900396195</v>
      </c>
      <c r="M27" s="96">
        <f>IF(ISERROR(VLOOKUP($K27,'Calc-Drivers'!$B$17:$G$27,M$43,FALSE))," ",VLOOKUP($K27,'Calc-Drivers'!$B$17:$G$27,M$43,FALSE))</f>
        <v>0.28852097487445499</v>
      </c>
      <c r="N27" s="96">
        <f>IF(ISERROR(VLOOKUP($K27,'Calc-Drivers'!$B$17:$G$27,N$43,FALSE))," ",VLOOKUP($K27,'Calc-Drivers'!$B$17:$G$27,N$43,FALSE))</f>
        <v>7.0613423528999547E-2</v>
      </c>
      <c r="O27" s="96">
        <f>IF(ISERROR(VLOOKUP($K27,'Calc-Drivers'!$B$17:$G$27,O$43,FALSE))," ",VLOOKUP($K27,'Calc-Drivers'!$B$17:$G$27,O$43,FALSE))</f>
        <v>0.28236489337795212</v>
      </c>
      <c r="P27" s="96">
        <f>IF(ISERROR(VLOOKUP($K27,'Calc-Drivers'!$B$17:$G$27,P$43,FALSE))," ",VLOOKUP($K27,'Calc-Drivers'!$B$17:$G$27,P$43,FALSE))</f>
        <v>0.16660121921463145</v>
      </c>
      <c r="Q27" s="108"/>
      <c r="R27" s="48"/>
      <c r="S27" s="49">
        <f t="shared" si="1"/>
        <v>0.34541908020713152</v>
      </c>
      <c r="T27" s="49">
        <f t="shared" si="2"/>
        <v>0.519337754774019</v>
      </c>
      <c r="U27" s="49">
        <f t="shared" si="3"/>
        <v>0.12710416235219918</v>
      </c>
      <c r="V27" s="101">
        <f t="shared" si="4"/>
        <v>0.50825680808031382</v>
      </c>
      <c r="W27" s="101">
        <f t="shared" si="4"/>
        <v>0.29988219458633664</v>
      </c>
      <c r="X27" s="50"/>
      <c r="Y27" s="55"/>
      <c r="Z27" s="105">
        <f t="shared" si="5"/>
        <v>0.34541908020713152</v>
      </c>
      <c r="AA27" s="105">
        <f t="shared" si="6"/>
        <v>0.519337754774019</v>
      </c>
      <c r="AB27" s="105">
        <f t="shared" si="7"/>
        <v>0.12710416235219918</v>
      </c>
      <c r="AC27" s="102">
        <f t="shared" si="8"/>
        <v>0.50825680808031382</v>
      </c>
      <c r="AD27" s="102">
        <f t="shared" si="9"/>
        <v>0.29988219458633664</v>
      </c>
      <c r="AE27" s="50"/>
      <c r="AF27" s="56"/>
      <c r="AG27" s="172">
        <f>IF(ISERROR(Z27*100000000/'Calc-Units'!$E$23)," ",Z27*100000000/'Calc-Units'!$E$23)</f>
        <v>2.781899481494726E-3</v>
      </c>
      <c r="AH27" s="172">
        <f>IF(ISERROR(AA27*100000000/'Calc-Units'!$D$23)," ",AA27*100000000/'Calc-Units'!$D$23)</f>
        <v>5.4022172258992177E-3</v>
      </c>
      <c r="AI27" s="172">
        <f>IF(ISERROR(AB27*100000000/'Calc-Units'!$C$23)," ",AB27*100000000/'Calc-Units'!$C$23)</f>
        <v>1.7613714762821516E-3</v>
      </c>
      <c r="AJ27" s="173">
        <f>IF(ISERROR(AC27*100000000/'Calc-Units'!$C$23)," ",AC27*100000000/'Calc-Units'!$C$23)</f>
        <v>7.0432708717928713E-3</v>
      </c>
      <c r="AK27" s="57"/>
      <c r="AL27" s="201">
        <v>0.52569999999999995</v>
      </c>
      <c r="AM27" s="94">
        <f t="shared" si="10"/>
        <v>0.94625999999999988</v>
      </c>
      <c r="AN27" s="175">
        <f t="shared" si="11"/>
        <v>0.85374000000000017</v>
      </c>
      <c r="AO27" s="46"/>
      <c r="AP27" s="46"/>
      <c r="AQ27" s="105">
        <f t="shared" si="12"/>
        <v>0.16383226974224249</v>
      </c>
      <c r="AR27" s="105">
        <f t="shared" si="13"/>
        <v>0.24632189708931723</v>
      </c>
      <c r="AS27" s="105">
        <f t="shared" si="14"/>
        <v>6.0285504203648074E-2</v>
      </c>
      <c r="AT27" s="102">
        <f t="shared" si="15"/>
        <v>0.24106620407249288</v>
      </c>
      <c r="AU27" s="102">
        <f t="shared" si="16"/>
        <v>0.14223412489229947</v>
      </c>
      <c r="AV27" s="50"/>
      <c r="AW27" s="57"/>
      <c r="AX27" s="172">
        <f>IF(ISERROR(AQ27*100000000/'Calc-Units'!$E$23)," ",AQ27*100000000/'Calc-Units'!$E$23)</f>
        <v>1.3194549240729487E-3</v>
      </c>
      <c r="AY27" s="172">
        <f>IF(ISERROR(AR27*100000000/'Calc-Units'!$D$23)," ",AR27*100000000/'Calc-Units'!$D$23)</f>
        <v>2.5622716302439994E-3</v>
      </c>
      <c r="AZ27" s="172">
        <f>IF(ISERROR(AS27*100000000/'Calc-Units'!$C$23)," ",AS27*100000000/'Calc-Units'!$C$23)</f>
        <v>8.3541849120062454E-4</v>
      </c>
      <c r="BA27" s="173">
        <f>IF(ISERROR(AT27*100000000/'Calc-Units'!$C$23)," ",AT27*100000000/'Calc-Units'!$C$23)</f>
        <v>3.340623374491359E-3</v>
      </c>
      <c r="BC27" s="55"/>
      <c r="BD27" s="55"/>
    </row>
    <row r="28" spans="1:56" s="43" customFormat="1" ht="12.75" customHeight="1">
      <c r="A28" s="61" t="s">
        <v>324</v>
      </c>
      <c r="B28" s="78"/>
      <c r="C28" s="61" t="s">
        <v>469</v>
      </c>
      <c r="D28" s="87">
        <f>'RRP 1.3'!Y$12</f>
        <v>4.3</v>
      </c>
      <c r="E28" s="87">
        <v>0</v>
      </c>
      <c r="F28" s="87">
        <v>0</v>
      </c>
      <c r="G28" s="87">
        <v>0</v>
      </c>
      <c r="H28" s="87">
        <v>0</v>
      </c>
      <c r="I28" s="87">
        <f t="shared" si="0"/>
        <v>4.3</v>
      </c>
      <c r="J28" s="46"/>
      <c r="K28" s="88" t="s">
        <v>467</v>
      </c>
      <c r="L28" s="96" t="str">
        <f>IF(ISERROR(VLOOKUP($K28,'Calc-Drivers'!$B$17:$G$27,L$43,FALSE))," ",VLOOKUP($K28,'Calc-Drivers'!$B$17:$G$27,L$43,FALSE))</f>
        <v xml:space="preserve"> </v>
      </c>
      <c r="M28" s="96" t="str">
        <f>IF(ISERROR(VLOOKUP($K28,'Calc-Drivers'!$B$17:$G$27,M$43,FALSE))," ",VLOOKUP($K28,'Calc-Drivers'!$B$17:$G$27,M$43,FALSE))</f>
        <v xml:space="preserve"> </v>
      </c>
      <c r="N28" s="96" t="str">
        <f>IF(ISERROR(VLOOKUP($K28,'Calc-Drivers'!$B$17:$G$27,N$43,FALSE))," ",VLOOKUP($K28,'Calc-Drivers'!$B$17:$G$27,N$43,FALSE))</f>
        <v xml:space="preserve"> </v>
      </c>
      <c r="O28" s="96" t="str">
        <f>IF(ISERROR(VLOOKUP($K28,'Calc-Drivers'!$B$17:$G$27,O$43,FALSE))," ",VLOOKUP($K28,'Calc-Drivers'!$B$17:$G$27,O$43,FALSE))</f>
        <v xml:space="preserve"> </v>
      </c>
      <c r="P28" s="96" t="str">
        <f>IF(ISERROR(VLOOKUP($K28,'Calc-Drivers'!$B$17:$G$27,P$43,FALSE))," ",VLOOKUP($K28,'Calc-Drivers'!$B$17:$G$27,P$43,FALSE))</f>
        <v xml:space="preserve"> </v>
      </c>
      <c r="Q28" s="108"/>
      <c r="R28" s="48"/>
      <c r="S28" s="104" t="str">
        <f t="shared" si="1"/>
        <v xml:space="preserve"> </v>
      </c>
      <c r="T28" s="104" t="str">
        <f t="shared" si="2"/>
        <v xml:space="preserve"> </v>
      </c>
      <c r="U28" s="104" t="str">
        <f t="shared" si="3"/>
        <v xml:space="preserve"> </v>
      </c>
      <c r="V28" s="100" t="str">
        <f t="shared" si="4"/>
        <v xml:space="preserve"> </v>
      </c>
      <c r="W28" s="100" t="str">
        <f t="shared" si="4"/>
        <v xml:space="preserve"> </v>
      </c>
      <c r="X28" s="50"/>
      <c r="Y28" s="44"/>
      <c r="Z28" s="104" t="str">
        <f t="shared" si="5"/>
        <v xml:space="preserve"> </v>
      </c>
      <c r="AA28" s="104" t="str">
        <f t="shared" si="6"/>
        <v xml:space="preserve"> </v>
      </c>
      <c r="AB28" s="104" t="str">
        <f t="shared" si="7"/>
        <v xml:space="preserve"> </v>
      </c>
      <c r="AC28" s="100" t="str">
        <f t="shared" si="8"/>
        <v xml:space="preserve"> </v>
      </c>
      <c r="AD28" s="100" t="str">
        <f t="shared" si="9"/>
        <v xml:space="preserve"> </v>
      </c>
      <c r="AE28" s="50"/>
      <c r="AF28" s="50"/>
      <c r="AG28" s="198" t="str">
        <f>IF(ISERROR(Z28*100000000/'Calc-Units'!$E$23)," ",Z28*100000000/'Calc-Units'!$E$23)</f>
        <v xml:space="preserve"> </v>
      </c>
      <c r="AH28" s="198" t="str">
        <f>IF(ISERROR(AA28*100000000/'Calc-Units'!$D$23)," ",AA28*100000000/'Calc-Units'!$D$23)</f>
        <v xml:space="preserve"> </v>
      </c>
      <c r="AI28" s="198" t="str">
        <f>IF(ISERROR(AB28*100000000/'Calc-Units'!$C$23)," ",AB28*100000000/'Calc-Units'!$C$23)</f>
        <v xml:space="preserve"> </v>
      </c>
      <c r="AJ28" s="199" t="str">
        <f>IF(ISERROR(AC28*100000000/'Calc-Units'!$C$23)," ",AC28*100000000/'Calc-Units'!$C$23)</f>
        <v xml:space="preserve"> </v>
      </c>
      <c r="AK28" s="52"/>
      <c r="AL28" s="60">
        <v>0</v>
      </c>
      <c r="AM28" s="84">
        <f t="shared" si="10"/>
        <v>0</v>
      </c>
      <c r="AN28" s="47">
        <f t="shared" si="11"/>
        <v>4.3</v>
      </c>
      <c r="AO28" s="46"/>
      <c r="AP28" s="46"/>
      <c r="AQ28" s="104" t="str">
        <f t="shared" si="12"/>
        <v xml:space="preserve"> </v>
      </c>
      <c r="AR28" s="104" t="str">
        <f t="shared" si="13"/>
        <v xml:space="preserve"> </v>
      </c>
      <c r="AS28" s="104" t="str">
        <f t="shared" si="14"/>
        <v xml:space="preserve"> </v>
      </c>
      <c r="AT28" s="100" t="str">
        <f t="shared" si="15"/>
        <v xml:space="preserve"> </v>
      </c>
      <c r="AU28" s="100" t="str">
        <f t="shared" si="16"/>
        <v xml:space="preserve"> </v>
      </c>
      <c r="AV28" s="50"/>
      <c r="AW28" s="52"/>
      <c r="AX28" s="198" t="str">
        <f>IF(ISERROR(AQ28*100000000/'Calc-Units'!$E$23)," ",AQ28*100000000/'Calc-Units'!$E$23)</f>
        <v xml:space="preserve"> </v>
      </c>
      <c r="AY28" s="198" t="str">
        <f>IF(ISERROR(AR28*100000000/'Calc-Units'!$D$23)," ",AR28*100000000/'Calc-Units'!$D$23)</f>
        <v xml:space="preserve"> </v>
      </c>
      <c r="AZ28" s="198" t="str">
        <f>IF(ISERROR(AS28*100000000/'Calc-Units'!$C$23)," ",AS28*100000000/'Calc-Units'!$C$23)</f>
        <v xml:space="preserve"> </v>
      </c>
      <c r="BA28" s="199" t="str">
        <f>IF(ISERROR(AT28*100000000/'Calc-Units'!$C$23)," ",AT28*100000000/'Calc-Units'!$C$23)</f>
        <v xml:space="preserve"> </v>
      </c>
      <c r="BC28" s="55"/>
      <c r="BD28" s="44"/>
    </row>
    <row r="29" spans="1:56" s="43" customFormat="1">
      <c r="A29" s="59"/>
      <c r="B29" s="79"/>
      <c r="C29" s="59" t="s">
        <v>470</v>
      </c>
      <c r="D29" s="88">
        <f>'RRP 1.3'!Z$12</f>
        <v>13.4</v>
      </c>
      <c r="E29" s="88">
        <v>0</v>
      </c>
      <c r="F29" s="88">
        <v>0</v>
      </c>
      <c r="G29" s="88">
        <v>0</v>
      </c>
      <c r="H29" s="88">
        <v>0</v>
      </c>
      <c r="I29" s="88">
        <f t="shared" si="0"/>
        <v>13.4</v>
      </c>
      <c r="J29" s="46"/>
      <c r="K29" s="87" t="s">
        <v>467</v>
      </c>
      <c r="L29" s="169" t="str">
        <f>IF(ISERROR(VLOOKUP($K29,'Calc-Drivers'!$B$17:$G$27,L$43,FALSE))," ",VLOOKUP($K29,'Calc-Drivers'!$B$17:$G$27,L$43,FALSE))</f>
        <v xml:space="preserve"> </v>
      </c>
      <c r="M29" s="169" t="str">
        <f>IF(ISERROR(VLOOKUP($K29,'Calc-Drivers'!$B$17:$G$27,M$43,FALSE))," ",VLOOKUP($K29,'Calc-Drivers'!$B$17:$G$27,M$43,FALSE))</f>
        <v xml:space="preserve"> </v>
      </c>
      <c r="N29" s="169" t="str">
        <f>IF(ISERROR(VLOOKUP($K29,'Calc-Drivers'!$B$17:$G$27,N$43,FALSE))," ",VLOOKUP($K29,'Calc-Drivers'!$B$17:$G$27,N$43,FALSE))</f>
        <v xml:space="preserve"> </v>
      </c>
      <c r="O29" s="169" t="str">
        <f>IF(ISERROR(VLOOKUP($K29,'Calc-Drivers'!$B$17:$G$27,O$43,FALSE))," ",VLOOKUP($K29,'Calc-Drivers'!$B$17:$G$27,O$43,FALSE))</f>
        <v xml:space="preserve"> </v>
      </c>
      <c r="P29" s="169" t="str">
        <f>IF(ISERROR(VLOOKUP($K29,'Calc-Drivers'!$B$17:$G$27,P$43,FALSE))," ",VLOOKUP($K29,'Calc-Drivers'!$B$17:$G$27,P$43,FALSE))</f>
        <v xml:space="preserve"> </v>
      </c>
      <c r="Q29" s="108"/>
      <c r="R29" s="48"/>
      <c r="S29" s="49" t="str">
        <f t="shared" si="1"/>
        <v xml:space="preserve"> </v>
      </c>
      <c r="T29" s="49" t="str">
        <f t="shared" si="2"/>
        <v xml:space="preserve"> </v>
      </c>
      <c r="U29" s="49" t="str">
        <f t="shared" si="3"/>
        <v xml:space="preserve"> </v>
      </c>
      <c r="V29" s="101" t="str">
        <f t="shared" si="4"/>
        <v xml:space="preserve"> </v>
      </c>
      <c r="W29" s="101" t="str">
        <f t="shared" si="4"/>
        <v xml:space="preserve"> </v>
      </c>
      <c r="X29" s="50"/>
      <c r="Y29" s="44"/>
      <c r="Z29" s="49" t="str">
        <f t="shared" si="5"/>
        <v xml:space="preserve"> </v>
      </c>
      <c r="AA29" s="49" t="str">
        <f t="shared" si="6"/>
        <v xml:space="preserve"> </v>
      </c>
      <c r="AB29" s="49" t="str">
        <f t="shared" si="7"/>
        <v xml:space="preserve"> </v>
      </c>
      <c r="AC29" s="101" t="str">
        <f t="shared" si="8"/>
        <v xml:space="preserve"> </v>
      </c>
      <c r="AD29" s="101" t="str">
        <f t="shared" si="9"/>
        <v xml:space="preserve"> </v>
      </c>
      <c r="AE29" s="50"/>
      <c r="AF29" s="50"/>
      <c r="AG29" s="51" t="str">
        <f>IF(ISERROR(Z29*100000000/'Calc-Units'!$E$23)," ",Z29*100000000/'Calc-Units'!$E$23)</f>
        <v xml:space="preserve"> </v>
      </c>
      <c r="AH29" s="51" t="str">
        <f>IF(ISERROR(AA29*100000000/'Calc-Units'!$D$23)," ",AA29*100000000/'Calc-Units'!$D$23)</f>
        <v xml:space="preserve"> </v>
      </c>
      <c r="AI29" s="51" t="str">
        <f>IF(ISERROR(AB29*100000000/'Calc-Units'!$C$23)," ",AB29*100000000/'Calc-Units'!$C$23)</f>
        <v xml:space="preserve"> </v>
      </c>
      <c r="AJ29" s="171" t="str">
        <f>IF(ISERROR(AC29*100000000/'Calc-Units'!$C$23)," ",AC29*100000000/'Calc-Units'!$C$23)</f>
        <v xml:space="preserve"> </v>
      </c>
      <c r="AK29" s="52"/>
      <c r="AL29" s="60">
        <v>0.57699999999999996</v>
      </c>
      <c r="AM29" s="84">
        <f t="shared" si="10"/>
        <v>7.7317999999999998</v>
      </c>
      <c r="AN29" s="47">
        <f t="shared" si="11"/>
        <v>5.6682000000000006</v>
      </c>
      <c r="AO29" s="46"/>
      <c r="AP29" s="46"/>
      <c r="AQ29" s="49" t="str">
        <f t="shared" si="12"/>
        <v xml:space="preserve"> </v>
      </c>
      <c r="AR29" s="49" t="str">
        <f t="shared" si="13"/>
        <v xml:space="preserve"> </v>
      </c>
      <c r="AS29" s="49" t="str">
        <f t="shared" si="14"/>
        <v xml:space="preserve"> </v>
      </c>
      <c r="AT29" s="101" t="str">
        <f t="shared" si="15"/>
        <v xml:space="preserve"> </v>
      </c>
      <c r="AU29" s="101" t="str">
        <f t="shared" si="16"/>
        <v xml:space="preserve"> </v>
      </c>
      <c r="AV29" s="50"/>
      <c r="AW29" s="52"/>
      <c r="AX29" s="51" t="str">
        <f>IF(ISERROR(AQ29*100000000/'Calc-Units'!$E$23)," ",AQ29*100000000/'Calc-Units'!$E$23)</f>
        <v xml:space="preserve"> </v>
      </c>
      <c r="AY29" s="51" t="str">
        <f>IF(ISERROR(AR29*100000000/'Calc-Units'!$D$23)," ",AR29*100000000/'Calc-Units'!$D$23)</f>
        <v xml:space="preserve"> </v>
      </c>
      <c r="AZ29" s="51" t="str">
        <f>IF(ISERROR(AS29*100000000/'Calc-Units'!$C$23)," ",AS29*100000000/'Calc-Units'!$C$23)</f>
        <v xml:space="preserve"> </v>
      </c>
      <c r="BA29" s="171" t="str">
        <f>IF(ISERROR(AT29*100000000/'Calc-Units'!$C$23)," ",AT29*100000000/'Calc-Units'!$C$23)</f>
        <v xml:space="preserve"> </v>
      </c>
      <c r="BC29" s="55"/>
      <c r="BD29" s="44"/>
    </row>
    <row r="30" spans="1:56" s="43" customFormat="1">
      <c r="A30" s="59"/>
      <c r="B30" s="79"/>
      <c r="C30" s="59" t="s">
        <v>768</v>
      </c>
      <c r="D30" s="88">
        <f>'RRP 1.3'!AA$12</f>
        <v>1.8</v>
      </c>
      <c r="E30" s="88">
        <v>0</v>
      </c>
      <c r="F30" s="88">
        <v>0</v>
      </c>
      <c r="G30" s="88">
        <v>0</v>
      </c>
      <c r="H30" s="88">
        <v>0</v>
      </c>
      <c r="I30" s="88">
        <f t="shared" si="0"/>
        <v>1.8</v>
      </c>
      <c r="J30" s="46"/>
      <c r="K30" s="88" t="s">
        <v>467</v>
      </c>
      <c r="L30" s="96" t="str">
        <f>IF(ISERROR(VLOOKUP($K30,'Calc-Drivers'!$B$17:$G$27,L$43,FALSE))," ",VLOOKUP($K30,'Calc-Drivers'!$B$17:$G$27,L$43,FALSE))</f>
        <v xml:space="preserve"> </v>
      </c>
      <c r="M30" s="96" t="str">
        <f>IF(ISERROR(VLOOKUP($K30,'Calc-Drivers'!$B$17:$G$27,M$43,FALSE))," ",VLOOKUP($K30,'Calc-Drivers'!$B$17:$G$27,M$43,FALSE))</f>
        <v xml:space="preserve"> </v>
      </c>
      <c r="N30" s="96" t="str">
        <f>IF(ISERROR(VLOOKUP($K30,'Calc-Drivers'!$B$17:$G$27,N$43,FALSE))," ",VLOOKUP($K30,'Calc-Drivers'!$B$17:$G$27,N$43,FALSE))</f>
        <v xml:space="preserve"> </v>
      </c>
      <c r="O30" s="96" t="str">
        <f>IF(ISERROR(VLOOKUP($K30,'Calc-Drivers'!$B$17:$G$27,O$43,FALSE))," ",VLOOKUP($K30,'Calc-Drivers'!$B$17:$G$27,O$43,FALSE))</f>
        <v xml:space="preserve"> </v>
      </c>
      <c r="P30" s="96" t="str">
        <f>IF(ISERROR(VLOOKUP($K30,'Calc-Drivers'!$B$17:$G$27,P$43,FALSE))," ",VLOOKUP($K30,'Calc-Drivers'!$B$17:$G$27,P$43,FALSE))</f>
        <v xml:space="preserve"> </v>
      </c>
      <c r="Q30" s="108"/>
      <c r="R30" s="48"/>
      <c r="S30" s="49" t="str">
        <f t="shared" si="1"/>
        <v xml:space="preserve"> </v>
      </c>
      <c r="T30" s="49" t="str">
        <f t="shared" si="2"/>
        <v xml:space="preserve"> </v>
      </c>
      <c r="U30" s="49" t="str">
        <f t="shared" si="3"/>
        <v xml:space="preserve"> </v>
      </c>
      <c r="V30" s="101" t="str">
        <f t="shared" si="4"/>
        <v xml:space="preserve"> </v>
      </c>
      <c r="W30" s="101" t="str">
        <f t="shared" si="4"/>
        <v xml:space="preserve"> </v>
      </c>
      <c r="X30" s="50"/>
      <c r="Y30" s="44"/>
      <c r="Z30" s="49" t="str">
        <f t="shared" si="5"/>
        <v xml:space="preserve"> </v>
      </c>
      <c r="AA30" s="49" t="str">
        <f t="shared" si="6"/>
        <v xml:space="preserve"> </v>
      </c>
      <c r="AB30" s="49" t="str">
        <f t="shared" si="7"/>
        <v xml:space="preserve"> </v>
      </c>
      <c r="AC30" s="101" t="str">
        <f t="shared" si="8"/>
        <v xml:space="preserve"> </v>
      </c>
      <c r="AD30" s="101" t="str">
        <f t="shared" si="9"/>
        <v xml:space="preserve"> </v>
      </c>
      <c r="AE30" s="50"/>
      <c r="AF30" s="50"/>
      <c r="AG30" s="51" t="str">
        <f>IF(ISERROR(Z30*100000000/'Calc-Units'!$E$23)," ",Z30*100000000/'Calc-Units'!$E$23)</f>
        <v xml:space="preserve"> </v>
      </c>
      <c r="AH30" s="51" t="str">
        <f>IF(ISERROR(AA30*100000000/'Calc-Units'!$D$23)," ",AA30*100000000/'Calc-Units'!$D$23)</f>
        <v xml:space="preserve"> </v>
      </c>
      <c r="AI30" s="51" t="str">
        <f>IF(ISERROR(AB30*100000000/'Calc-Units'!$C$23)," ",AB30*100000000/'Calc-Units'!$C$23)</f>
        <v xml:space="preserve"> </v>
      </c>
      <c r="AJ30" s="171" t="str">
        <f>IF(ISERROR(AC30*100000000/'Calc-Units'!$C$23)," ",AC30*100000000/'Calc-Units'!$C$23)</f>
        <v xml:space="preserve"> </v>
      </c>
      <c r="AK30" s="52"/>
      <c r="AL30" s="60">
        <v>0</v>
      </c>
      <c r="AM30" s="84">
        <f t="shared" si="10"/>
        <v>0</v>
      </c>
      <c r="AN30" s="47">
        <f t="shared" si="11"/>
        <v>1.8</v>
      </c>
      <c r="AO30" s="46"/>
      <c r="AP30" s="46"/>
      <c r="AQ30" s="49" t="str">
        <f t="shared" si="12"/>
        <v xml:space="preserve"> </v>
      </c>
      <c r="AR30" s="49" t="str">
        <f t="shared" si="13"/>
        <v xml:space="preserve"> </v>
      </c>
      <c r="AS30" s="49" t="str">
        <f t="shared" si="14"/>
        <v xml:space="preserve"> </v>
      </c>
      <c r="AT30" s="101" t="str">
        <f t="shared" si="15"/>
        <v xml:space="preserve"> </v>
      </c>
      <c r="AU30" s="101" t="str">
        <f t="shared" si="16"/>
        <v xml:space="preserve"> </v>
      </c>
      <c r="AV30" s="50"/>
      <c r="AW30" s="52"/>
      <c r="AX30" s="51" t="str">
        <f>IF(ISERROR(AQ30*100000000/'Calc-Units'!$E$23)," ",AQ30*100000000/'Calc-Units'!$E$23)</f>
        <v xml:space="preserve"> </v>
      </c>
      <c r="AY30" s="51" t="str">
        <f>IF(ISERROR(AR30*100000000/'Calc-Units'!$D$23)," ",AR30*100000000/'Calc-Units'!$D$23)</f>
        <v xml:space="preserve"> </v>
      </c>
      <c r="AZ30" s="51" t="str">
        <f>IF(ISERROR(AS30*100000000/'Calc-Units'!$C$23)," ",AS30*100000000/'Calc-Units'!$C$23)</f>
        <v xml:space="preserve"> </v>
      </c>
      <c r="BA30" s="171" t="str">
        <f>IF(ISERROR(AT30*100000000/'Calc-Units'!$C$23)," ",AT30*100000000/'Calc-Units'!$C$23)</f>
        <v xml:space="preserve"> </v>
      </c>
      <c r="BC30" s="44"/>
      <c r="BD30" s="44"/>
    </row>
    <row r="31" spans="1:56" s="43" customFormat="1">
      <c r="A31" s="59"/>
      <c r="B31" s="79"/>
      <c r="C31" s="59" t="s">
        <v>769</v>
      </c>
      <c r="D31" s="88">
        <f>'RRP 1.3'!AB$12</f>
        <v>8.9</v>
      </c>
      <c r="E31" s="88">
        <v>0</v>
      </c>
      <c r="F31" s="88">
        <v>0</v>
      </c>
      <c r="G31" s="88">
        <v>0</v>
      </c>
      <c r="H31" s="88">
        <v>0</v>
      </c>
      <c r="I31" s="88">
        <f t="shared" si="0"/>
        <v>8.9</v>
      </c>
      <c r="J31" s="46"/>
      <c r="K31" s="88" t="s">
        <v>467</v>
      </c>
      <c r="L31" s="96" t="str">
        <f>IF(ISERROR(VLOOKUP($K31,'Calc-Drivers'!$B$17:$G$27,L$43,FALSE))," ",VLOOKUP($K31,'Calc-Drivers'!$B$17:$G$27,L$43,FALSE))</f>
        <v xml:space="preserve"> </v>
      </c>
      <c r="M31" s="96" t="str">
        <f>IF(ISERROR(VLOOKUP($K31,'Calc-Drivers'!$B$17:$G$27,M$43,FALSE))," ",VLOOKUP($K31,'Calc-Drivers'!$B$17:$G$27,M$43,FALSE))</f>
        <v xml:space="preserve"> </v>
      </c>
      <c r="N31" s="96" t="str">
        <f>IF(ISERROR(VLOOKUP($K31,'Calc-Drivers'!$B$17:$G$27,N$43,FALSE))," ",VLOOKUP($K31,'Calc-Drivers'!$B$17:$G$27,N$43,FALSE))</f>
        <v xml:space="preserve"> </v>
      </c>
      <c r="O31" s="96" t="str">
        <f>IF(ISERROR(VLOOKUP($K31,'Calc-Drivers'!$B$17:$G$27,O$43,FALSE))," ",VLOOKUP($K31,'Calc-Drivers'!$B$17:$G$27,O$43,FALSE))</f>
        <v xml:space="preserve"> </v>
      </c>
      <c r="P31" s="96" t="str">
        <f>IF(ISERROR(VLOOKUP($K31,'Calc-Drivers'!$B$17:$G$27,P$43,FALSE))," ",VLOOKUP($K31,'Calc-Drivers'!$B$17:$G$27,P$43,FALSE))</f>
        <v xml:space="preserve"> </v>
      </c>
      <c r="Q31" s="108"/>
      <c r="R31" s="48"/>
      <c r="S31" s="49" t="str">
        <f t="shared" si="1"/>
        <v xml:space="preserve"> </v>
      </c>
      <c r="T31" s="49" t="str">
        <f t="shared" si="2"/>
        <v xml:space="preserve"> </v>
      </c>
      <c r="U31" s="49" t="str">
        <f t="shared" si="3"/>
        <v xml:space="preserve"> </v>
      </c>
      <c r="V31" s="101" t="str">
        <f t="shared" si="4"/>
        <v xml:space="preserve"> </v>
      </c>
      <c r="W31" s="101" t="str">
        <f t="shared" si="4"/>
        <v xml:space="preserve"> </v>
      </c>
      <c r="X31" s="50"/>
      <c r="Y31" s="44"/>
      <c r="Z31" s="49" t="str">
        <f t="shared" si="5"/>
        <v xml:space="preserve"> </v>
      </c>
      <c r="AA31" s="49" t="str">
        <f t="shared" si="6"/>
        <v xml:space="preserve"> </v>
      </c>
      <c r="AB31" s="49" t="str">
        <f t="shared" si="7"/>
        <v xml:space="preserve"> </v>
      </c>
      <c r="AC31" s="101" t="str">
        <f t="shared" si="8"/>
        <v xml:space="preserve"> </v>
      </c>
      <c r="AD31" s="101" t="str">
        <f t="shared" si="9"/>
        <v xml:space="preserve"> </v>
      </c>
      <c r="AE31" s="50"/>
      <c r="AF31" s="50"/>
      <c r="AG31" s="51" t="str">
        <f>IF(ISERROR(Z31*100000000/'Calc-Units'!$E$23)," ",Z31*100000000/'Calc-Units'!$E$23)</f>
        <v xml:space="preserve"> </v>
      </c>
      <c r="AH31" s="51" t="str">
        <f>IF(ISERROR(AA31*100000000/'Calc-Units'!$D$23)," ",AA31*100000000/'Calc-Units'!$D$23)</f>
        <v xml:space="preserve"> </v>
      </c>
      <c r="AI31" s="51" t="str">
        <f>IF(ISERROR(AB31*100000000/'Calc-Units'!$C$23)," ",AB31*100000000/'Calc-Units'!$C$23)</f>
        <v xml:space="preserve"> </v>
      </c>
      <c r="AJ31" s="171" t="str">
        <f>IF(ISERROR(AC31*100000000/'Calc-Units'!$C$23)," ",AC31*100000000/'Calc-Units'!$C$23)</f>
        <v xml:space="preserve"> </v>
      </c>
      <c r="AK31" s="52"/>
      <c r="AL31" s="60">
        <v>0</v>
      </c>
      <c r="AM31" s="84">
        <f t="shared" si="10"/>
        <v>0</v>
      </c>
      <c r="AN31" s="47">
        <f t="shared" si="11"/>
        <v>8.9</v>
      </c>
      <c r="AO31" s="46"/>
      <c r="AP31" s="46"/>
      <c r="AQ31" s="49" t="str">
        <f t="shared" si="12"/>
        <v xml:space="preserve"> </v>
      </c>
      <c r="AR31" s="49" t="str">
        <f t="shared" si="13"/>
        <v xml:space="preserve"> </v>
      </c>
      <c r="AS31" s="49" t="str">
        <f t="shared" si="14"/>
        <v xml:space="preserve"> </v>
      </c>
      <c r="AT31" s="101" t="str">
        <f t="shared" si="15"/>
        <v xml:space="preserve"> </v>
      </c>
      <c r="AU31" s="101" t="str">
        <f t="shared" si="16"/>
        <v xml:space="preserve"> </v>
      </c>
      <c r="AV31" s="50"/>
      <c r="AW31" s="52"/>
      <c r="AX31" s="51" t="str">
        <f>IF(ISERROR(AQ31*100000000/'Calc-Units'!$E$23)," ",AQ31*100000000/'Calc-Units'!$E$23)</f>
        <v xml:space="preserve"> </v>
      </c>
      <c r="AY31" s="51" t="str">
        <f>IF(ISERROR(AR31*100000000/'Calc-Units'!$D$23)," ",AR31*100000000/'Calc-Units'!$D$23)</f>
        <v xml:space="preserve"> </v>
      </c>
      <c r="AZ31" s="51" t="str">
        <f>IF(ISERROR(AS31*100000000/'Calc-Units'!$C$23)," ",AS31*100000000/'Calc-Units'!$C$23)</f>
        <v xml:space="preserve"> </v>
      </c>
      <c r="BA31" s="171" t="str">
        <f>IF(ISERROR(AT31*100000000/'Calc-Units'!$C$23)," ",AT31*100000000/'Calc-Units'!$C$23)</f>
        <v xml:space="preserve"> </v>
      </c>
      <c r="BC31" s="44"/>
      <c r="BD31" s="44"/>
    </row>
    <row r="32" spans="1:56" s="43" customFormat="1">
      <c r="A32" s="59"/>
      <c r="B32" s="79"/>
      <c r="C32" s="59" t="s">
        <v>754</v>
      </c>
      <c r="D32" s="88">
        <f>'RRP 1.3'!AC$12</f>
        <v>-0.1</v>
      </c>
      <c r="E32" s="88">
        <v>0</v>
      </c>
      <c r="F32" s="88">
        <v>0</v>
      </c>
      <c r="G32" s="88">
        <v>0</v>
      </c>
      <c r="H32" s="88">
        <v>0</v>
      </c>
      <c r="I32" s="88">
        <f t="shared" si="0"/>
        <v>-0.1</v>
      </c>
      <c r="J32" s="46"/>
      <c r="K32" s="88" t="s">
        <v>467</v>
      </c>
      <c r="L32" s="96" t="str">
        <f>IF(ISERROR(VLOOKUP($K32,'Calc-Drivers'!$B$17:$G$27,L$43,FALSE))," ",VLOOKUP($K32,'Calc-Drivers'!$B$17:$G$27,L$43,FALSE))</f>
        <v xml:space="preserve"> </v>
      </c>
      <c r="M32" s="96" t="str">
        <f>IF(ISERROR(VLOOKUP($K32,'Calc-Drivers'!$B$17:$G$27,M$43,FALSE))," ",VLOOKUP($K32,'Calc-Drivers'!$B$17:$G$27,M$43,FALSE))</f>
        <v xml:space="preserve"> </v>
      </c>
      <c r="N32" s="96" t="str">
        <f>IF(ISERROR(VLOOKUP($K32,'Calc-Drivers'!$B$17:$G$27,N$43,FALSE))," ",VLOOKUP($K32,'Calc-Drivers'!$B$17:$G$27,N$43,FALSE))</f>
        <v xml:space="preserve"> </v>
      </c>
      <c r="O32" s="96" t="str">
        <f>IF(ISERROR(VLOOKUP($K32,'Calc-Drivers'!$B$17:$G$27,O$43,FALSE))," ",VLOOKUP($K32,'Calc-Drivers'!$B$17:$G$27,O$43,FALSE))</f>
        <v xml:space="preserve"> </v>
      </c>
      <c r="P32" s="96" t="str">
        <f>IF(ISERROR(VLOOKUP($K32,'Calc-Drivers'!$B$17:$G$27,P$43,FALSE))," ",VLOOKUP($K32,'Calc-Drivers'!$B$17:$G$27,P$43,FALSE))</f>
        <v xml:space="preserve"> </v>
      </c>
      <c r="Q32" s="108"/>
      <c r="R32" s="48"/>
      <c r="S32" s="49" t="str">
        <f t="shared" si="1"/>
        <v xml:space="preserve"> </v>
      </c>
      <c r="T32" s="49" t="str">
        <f t="shared" si="2"/>
        <v xml:space="preserve"> </v>
      </c>
      <c r="U32" s="49" t="str">
        <f t="shared" si="3"/>
        <v xml:space="preserve"> </v>
      </c>
      <c r="V32" s="101" t="str">
        <f t="shared" si="4"/>
        <v xml:space="preserve"> </v>
      </c>
      <c r="W32" s="101" t="str">
        <f t="shared" si="4"/>
        <v xml:space="preserve"> </v>
      </c>
      <c r="X32" s="50"/>
      <c r="Y32" s="44"/>
      <c r="Z32" s="49" t="str">
        <f t="shared" si="5"/>
        <v xml:space="preserve"> </v>
      </c>
      <c r="AA32" s="49" t="str">
        <f t="shared" si="6"/>
        <v xml:space="preserve"> </v>
      </c>
      <c r="AB32" s="49" t="str">
        <f t="shared" si="7"/>
        <v xml:space="preserve"> </v>
      </c>
      <c r="AC32" s="101" t="str">
        <f t="shared" si="8"/>
        <v xml:space="preserve"> </v>
      </c>
      <c r="AD32" s="101" t="str">
        <f t="shared" si="9"/>
        <v xml:space="preserve"> </v>
      </c>
      <c r="AE32" s="50"/>
      <c r="AF32" s="50"/>
      <c r="AG32" s="51" t="str">
        <f>IF(ISERROR(Z32*100000000/'Calc-Units'!$E$23)," ",Z32*100000000/'Calc-Units'!$E$23)</f>
        <v xml:space="preserve"> </v>
      </c>
      <c r="AH32" s="51" t="str">
        <f>IF(ISERROR(AA32*100000000/'Calc-Units'!$D$23)," ",AA32*100000000/'Calc-Units'!$D$23)</f>
        <v xml:space="preserve"> </v>
      </c>
      <c r="AI32" s="51" t="str">
        <f>IF(ISERROR(AB32*100000000/'Calc-Units'!$C$23)," ",AB32*100000000/'Calc-Units'!$C$23)</f>
        <v xml:space="preserve"> </v>
      </c>
      <c r="AJ32" s="171" t="str">
        <f>IF(ISERROR(AC32*100000000/'Calc-Units'!$C$23)," ",AC32*100000000/'Calc-Units'!$C$23)</f>
        <v xml:space="preserve"> </v>
      </c>
      <c r="AK32" s="52"/>
      <c r="AL32" s="60">
        <v>0</v>
      </c>
      <c r="AM32" s="84">
        <f t="shared" si="10"/>
        <v>0</v>
      </c>
      <c r="AN32" s="47">
        <f t="shared" si="11"/>
        <v>-0.1</v>
      </c>
      <c r="AO32" s="46"/>
      <c r="AP32" s="46"/>
      <c r="AQ32" s="49" t="str">
        <f t="shared" si="12"/>
        <v xml:space="preserve"> </v>
      </c>
      <c r="AR32" s="49" t="str">
        <f t="shared" si="13"/>
        <v xml:space="preserve"> </v>
      </c>
      <c r="AS32" s="49" t="str">
        <f t="shared" si="14"/>
        <v xml:space="preserve"> </v>
      </c>
      <c r="AT32" s="101" t="str">
        <f t="shared" si="15"/>
        <v xml:space="preserve"> </v>
      </c>
      <c r="AU32" s="101" t="str">
        <f t="shared" si="16"/>
        <v xml:space="preserve"> </v>
      </c>
      <c r="AV32" s="50"/>
      <c r="AW32" s="52"/>
      <c r="AX32" s="51" t="str">
        <f>IF(ISERROR(AQ32*100000000/'Calc-Units'!$E$23)," ",AQ32*100000000/'Calc-Units'!$E$23)</f>
        <v xml:space="preserve"> </v>
      </c>
      <c r="AY32" s="51" t="str">
        <f>IF(ISERROR(AR32*100000000/'Calc-Units'!$D$23)," ",AR32*100000000/'Calc-Units'!$D$23)</f>
        <v xml:space="preserve"> </v>
      </c>
      <c r="AZ32" s="51" t="str">
        <f>IF(ISERROR(AS32*100000000/'Calc-Units'!$C$23)," ",AS32*100000000/'Calc-Units'!$C$23)</f>
        <v xml:space="preserve"> </v>
      </c>
      <c r="BA32" s="171" t="str">
        <f>IF(ISERROR(AT32*100000000/'Calc-Units'!$C$23)," ",AT32*100000000/'Calc-Units'!$C$23)</f>
        <v xml:space="preserve"> </v>
      </c>
      <c r="BC32" s="44"/>
      <c r="BD32" s="44"/>
    </row>
    <row r="33" spans="1:56" s="43" customFormat="1">
      <c r="A33" s="59"/>
      <c r="B33" s="79"/>
      <c r="C33" s="59" t="s">
        <v>58</v>
      </c>
      <c r="D33" s="88">
        <f>'RRP 1.3'!AD$12</f>
        <v>0.1</v>
      </c>
      <c r="E33" s="88">
        <v>0</v>
      </c>
      <c r="F33" s="88">
        <v>0</v>
      </c>
      <c r="G33" s="88">
        <v>0</v>
      </c>
      <c r="H33" s="88">
        <v>0</v>
      </c>
      <c r="I33" s="88">
        <f t="shared" si="0"/>
        <v>0.1</v>
      </c>
      <c r="J33" s="46"/>
      <c r="K33" s="88" t="s">
        <v>467</v>
      </c>
      <c r="L33" s="96" t="str">
        <f>IF(ISERROR(VLOOKUP($K33,'Calc-Drivers'!$B$17:$G$27,L$43,FALSE))," ",VLOOKUP($K33,'Calc-Drivers'!$B$17:$G$27,L$43,FALSE))</f>
        <v xml:space="preserve"> </v>
      </c>
      <c r="M33" s="96" t="str">
        <f>IF(ISERROR(VLOOKUP($K33,'Calc-Drivers'!$B$17:$G$27,M$43,FALSE))," ",VLOOKUP($K33,'Calc-Drivers'!$B$17:$G$27,M$43,FALSE))</f>
        <v xml:space="preserve"> </v>
      </c>
      <c r="N33" s="96" t="str">
        <f>IF(ISERROR(VLOOKUP($K33,'Calc-Drivers'!$B$17:$G$27,N$43,FALSE))," ",VLOOKUP($K33,'Calc-Drivers'!$B$17:$G$27,N$43,FALSE))</f>
        <v xml:space="preserve"> </v>
      </c>
      <c r="O33" s="96" t="str">
        <f>IF(ISERROR(VLOOKUP($K33,'Calc-Drivers'!$B$17:$G$27,O$43,FALSE))," ",VLOOKUP($K33,'Calc-Drivers'!$B$17:$G$27,O$43,FALSE))</f>
        <v xml:space="preserve"> </v>
      </c>
      <c r="P33" s="96" t="str">
        <f>IF(ISERROR(VLOOKUP($K33,'Calc-Drivers'!$B$17:$G$27,P$43,FALSE))," ",VLOOKUP($K33,'Calc-Drivers'!$B$17:$G$27,P$43,FALSE))</f>
        <v xml:space="preserve"> </v>
      </c>
      <c r="Q33" s="108"/>
      <c r="R33" s="48"/>
      <c r="S33" s="49" t="str">
        <f t="shared" si="1"/>
        <v xml:space="preserve"> </v>
      </c>
      <c r="T33" s="49" t="str">
        <f t="shared" si="2"/>
        <v xml:space="preserve"> </v>
      </c>
      <c r="U33" s="49" t="str">
        <f t="shared" si="3"/>
        <v xml:space="preserve"> </v>
      </c>
      <c r="V33" s="101" t="str">
        <f t="shared" si="4"/>
        <v xml:space="preserve"> </v>
      </c>
      <c r="W33" s="101" t="str">
        <f t="shared" si="4"/>
        <v xml:space="preserve"> </v>
      </c>
      <c r="X33" s="50"/>
      <c r="Y33" s="44"/>
      <c r="Z33" s="49" t="str">
        <f t="shared" si="5"/>
        <v xml:space="preserve"> </v>
      </c>
      <c r="AA33" s="49" t="str">
        <f t="shared" si="6"/>
        <v xml:space="preserve"> </v>
      </c>
      <c r="AB33" s="49" t="str">
        <f t="shared" si="7"/>
        <v xml:space="preserve"> </v>
      </c>
      <c r="AC33" s="101" t="str">
        <f t="shared" si="8"/>
        <v xml:space="preserve"> </v>
      </c>
      <c r="AD33" s="101" t="str">
        <f t="shared" si="9"/>
        <v xml:space="preserve"> </v>
      </c>
      <c r="AE33" s="50"/>
      <c r="AF33" s="50"/>
      <c r="AG33" s="51" t="str">
        <f>IF(ISERROR(Z33*100000000/'Calc-Units'!$E$23)," ",Z33*100000000/'Calc-Units'!$E$23)</f>
        <v xml:space="preserve"> </v>
      </c>
      <c r="AH33" s="51" t="str">
        <f>IF(ISERROR(AA33*100000000/'Calc-Units'!$D$23)," ",AA33*100000000/'Calc-Units'!$D$23)</f>
        <v xml:space="preserve"> </v>
      </c>
      <c r="AI33" s="51" t="str">
        <f>IF(ISERROR(AB33*100000000/'Calc-Units'!$C$23)," ",AB33*100000000/'Calc-Units'!$C$23)</f>
        <v xml:space="preserve"> </v>
      </c>
      <c r="AJ33" s="171" t="str">
        <f>IF(ISERROR(AC33*100000000/'Calc-Units'!$C$23)," ",AC33*100000000/'Calc-Units'!$C$23)</f>
        <v xml:space="preserve"> </v>
      </c>
      <c r="AK33" s="52"/>
      <c r="AL33" s="60">
        <v>0</v>
      </c>
      <c r="AM33" s="84">
        <f t="shared" si="10"/>
        <v>0</v>
      </c>
      <c r="AN33" s="47">
        <f t="shared" si="11"/>
        <v>0.1</v>
      </c>
      <c r="AO33" s="46"/>
      <c r="AP33" s="46"/>
      <c r="AQ33" s="49" t="str">
        <f t="shared" si="12"/>
        <v xml:space="preserve"> </v>
      </c>
      <c r="AR33" s="49" t="str">
        <f t="shared" si="13"/>
        <v xml:space="preserve"> </v>
      </c>
      <c r="AS33" s="49" t="str">
        <f t="shared" si="14"/>
        <v xml:space="preserve"> </v>
      </c>
      <c r="AT33" s="101" t="str">
        <f t="shared" si="15"/>
        <v xml:space="preserve"> </v>
      </c>
      <c r="AU33" s="101" t="str">
        <f t="shared" si="16"/>
        <v xml:space="preserve"> </v>
      </c>
      <c r="AV33" s="50"/>
      <c r="AW33" s="52"/>
      <c r="AX33" s="51" t="str">
        <f>IF(ISERROR(AQ33*100000000/'Calc-Units'!$E$23)," ",AQ33*100000000/'Calc-Units'!$E$23)</f>
        <v xml:space="preserve"> </v>
      </c>
      <c r="AY33" s="51" t="str">
        <f>IF(ISERROR(AR33*100000000/'Calc-Units'!$D$23)," ",AR33*100000000/'Calc-Units'!$D$23)</f>
        <v xml:space="preserve"> </v>
      </c>
      <c r="AZ33" s="51" t="str">
        <f>IF(ISERROR(AS33*100000000/'Calc-Units'!$C$23)," ",AS33*100000000/'Calc-Units'!$C$23)</f>
        <v xml:space="preserve"> </v>
      </c>
      <c r="BA33" s="171" t="str">
        <f>IF(ISERROR(AT33*100000000/'Calc-Units'!$C$23)," ",AT33*100000000/'Calc-Units'!$C$23)</f>
        <v xml:space="preserve"> </v>
      </c>
      <c r="BC33" s="44"/>
      <c r="BD33" s="44"/>
    </row>
    <row r="34" spans="1:56" s="43" customFormat="1">
      <c r="A34" s="59"/>
      <c r="B34" s="79"/>
      <c r="C34" s="59" t="s">
        <v>755</v>
      </c>
      <c r="D34" s="88">
        <f>'RRP 1.3'!AE$12</f>
        <v>-2.7755575615628914E-17</v>
      </c>
      <c r="E34" s="88">
        <v>0</v>
      </c>
      <c r="F34" s="88">
        <v>0</v>
      </c>
      <c r="G34" s="88">
        <v>0</v>
      </c>
      <c r="H34" s="88">
        <v>0</v>
      </c>
      <c r="I34" s="88">
        <f t="shared" si="0"/>
        <v>-2.7755575615628914E-17</v>
      </c>
      <c r="J34" s="46"/>
      <c r="K34" s="88" t="s">
        <v>467</v>
      </c>
      <c r="L34" s="96" t="str">
        <f>IF(ISERROR(VLOOKUP($K34,'Calc-Drivers'!$B$17:$G$27,L$43,FALSE))," ",VLOOKUP($K34,'Calc-Drivers'!$B$17:$G$27,L$43,FALSE))</f>
        <v xml:space="preserve"> </v>
      </c>
      <c r="M34" s="96" t="str">
        <f>IF(ISERROR(VLOOKUP($K34,'Calc-Drivers'!$B$17:$G$27,M$43,FALSE))," ",VLOOKUP($K34,'Calc-Drivers'!$B$17:$G$27,M$43,FALSE))</f>
        <v xml:space="preserve"> </v>
      </c>
      <c r="N34" s="96" t="str">
        <f>IF(ISERROR(VLOOKUP($K34,'Calc-Drivers'!$B$17:$G$27,N$43,FALSE))," ",VLOOKUP($K34,'Calc-Drivers'!$B$17:$G$27,N$43,FALSE))</f>
        <v xml:space="preserve"> </v>
      </c>
      <c r="O34" s="96" t="str">
        <f>IF(ISERROR(VLOOKUP($K34,'Calc-Drivers'!$B$17:$G$27,O$43,FALSE))," ",VLOOKUP($K34,'Calc-Drivers'!$B$17:$G$27,O$43,FALSE))</f>
        <v xml:space="preserve"> </v>
      </c>
      <c r="P34" s="96" t="str">
        <f>IF(ISERROR(VLOOKUP($K34,'Calc-Drivers'!$B$17:$G$27,P$43,FALSE))," ",VLOOKUP($K34,'Calc-Drivers'!$B$17:$G$27,P$43,FALSE))</f>
        <v xml:space="preserve"> </v>
      </c>
      <c r="Q34" s="108"/>
      <c r="R34" s="48"/>
      <c r="S34" s="49" t="str">
        <f t="shared" si="1"/>
        <v xml:space="preserve"> </v>
      </c>
      <c r="T34" s="49" t="str">
        <f t="shared" si="2"/>
        <v xml:space="preserve"> </v>
      </c>
      <c r="U34" s="49" t="str">
        <f t="shared" si="3"/>
        <v xml:space="preserve"> </v>
      </c>
      <c r="V34" s="101" t="str">
        <f t="shared" si="4"/>
        <v xml:space="preserve"> </v>
      </c>
      <c r="W34" s="101" t="str">
        <f t="shared" si="4"/>
        <v xml:space="preserve"> </v>
      </c>
      <c r="X34" s="50"/>
      <c r="Y34" s="44"/>
      <c r="Z34" s="49" t="str">
        <f t="shared" si="5"/>
        <v xml:space="preserve"> </v>
      </c>
      <c r="AA34" s="49" t="str">
        <f t="shared" si="6"/>
        <v xml:space="preserve"> </v>
      </c>
      <c r="AB34" s="49" t="str">
        <f t="shared" si="7"/>
        <v xml:space="preserve"> </v>
      </c>
      <c r="AC34" s="101" t="str">
        <f t="shared" si="8"/>
        <v xml:space="preserve"> </v>
      </c>
      <c r="AD34" s="101" t="str">
        <f t="shared" si="9"/>
        <v xml:space="preserve"> </v>
      </c>
      <c r="AE34" s="50"/>
      <c r="AF34" s="50"/>
      <c r="AG34" s="51" t="str">
        <f>IF(ISERROR(Z34*100000000/'Calc-Units'!$E$23)," ",Z34*100000000/'Calc-Units'!$E$23)</f>
        <v xml:space="preserve"> </v>
      </c>
      <c r="AH34" s="51" t="str">
        <f>IF(ISERROR(AA34*100000000/'Calc-Units'!$D$23)," ",AA34*100000000/'Calc-Units'!$D$23)</f>
        <v xml:space="preserve"> </v>
      </c>
      <c r="AI34" s="51" t="str">
        <f>IF(ISERROR(AB34*100000000/'Calc-Units'!$C$23)," ",AB34*100000000/'Calc-Units'!$C$23)</f>
        <v xml:space="preserve"> </v>
      </c>
      <c r="AJ34" s="171" t="str">
        <f>IF(ISERROR(AC34*100000000/'Calc-Units'!$C$23)," ",AC34*100000000/'Calc-Units'!$C$23)</f>
        <v xml:space="preserve"> </v>
      </c>
      <c r="AK34" s="52"/>
      <c r="AL34" s="60">
        <v>0</v>
      </c>
      <c r="AM34" s="84">
        <f t="shared" si="10"/>
        <v>0</v>
      </c>
      <c r="AN34" s="47">
        <f t="shared" si="11"/>
        <v>-2.7755575615628914E-17</v>
      </c>
      <c r="AO34" s="46"/>
      <c r="AP34" s="46"/>
      <c r="AQ34" s="49" t="str">
        <f t="shared" si="12"/>
        <v xml:space="preserve"> </v>
      </c>
      <c r="AR34" s="49" t="str">
        <f t="shared" si="13"/>
        <v xml:space="preserve"> </v>
      </c>
      <c r="AS34" s="49" t="str">
        <f t="shared" si="14"/>
        <v xml:space="preserve"> </v>
      </c>
      <c r="AT34" s="101" t="str">
        <f t="shared" si="15"/>
        <v xml:space="preserve"> </v>
      </c>
      <c r="AU34" s="101" t="str">
        <f t="shared" si="16"/>
        <v xml:space="preserve"> </v>
      </c>
      <c r="AV34" s="50"/>
      <c r="AW34" s="52"/>
      <c r="AX34" s="51" t="str">
        <f>IF(ISERROR(AQ34*100000000/'Calc-Units'!$E$23)," ",AQ34*100000000/'Calc-Units'!$E$23)</f>
        <v xml:space="preserve"> </v>
      </c>
      <c r="AY34" s="51" t="str">
        <f>IF(ISERROR(AR34*100000000/'Calc-Units'!$D$23)," ",AR34*100000000/'Calc-Units'!$D$23)</f>
        <v xml:space="preserve"> </v>
      </c>
      <c r="AZ34" s="51" t="str">
        <f>IF(ISERROR(AS34*100000000/'Calc-Units'!$C$23)," ",AS34*100000000/'Calc-Units'!$C$23)</f>
        <v xml:space="preserve"> </v>
      </c>
      <c r="BA34" s="171" t="str">
        <f>IF(ISERROR(AT34*100000000/'Calc-Units'!$C$23)," ",AT34*100000000/'Calc-Units'!$C$23)</f>
        <v xml:space="preserve"> </v>
      </c>
      <c r="BC34" s="44"/>
      <c r="BD34" s="44"/>
    </row>
    <row r="35" spans="1:56" s="43" customFormat="1">
      <c r="A35" s="59"/>
      <c r="B35" s="79"/>
      <c r="C35" s="59" t="s">
        <v>756</v>
      </c>
      <c r="D35" s="88">
        <f>'RRP 1.3'!AF$12</f>
        <v>25.3</v>
      </c>
      <c r="E35" s="88">
        <v>0</v>
      </c>
      <c r="F35" s="88">
        <v>0</v>
      </c>
      <c r="G35" s="88">
        <v>0</v>
      </c>
      <c r="H35" s="88">
        <v>0</v>
      </c>
      <c r="I35" s="88">
        <f t="shared" si="0"/>
        <v>25.3</v>
      </c>
      <c r="J35" s="46"/>
      <c r="K35" s="88" t="s">
        <v>467</v>
      </c>
      <c r="L35" s="96" t="str">
        <f>IF(ISERROR(VLOOKUP($K35,'Calc-Drivers'!$B$17:$G$27,L$43,FALSE))," ",VLOOKUP($K35,'Calc-Drivers'!$B$17:$G$27,L$43,FALSE))</f>
        <v xml:space="preserve"> </v>
      </c>
      <c r="M35" s="96" t="str">
        <f>IF(ISERROR(VLOOKUP($K35,'Calc-Drivers'!$B$17:$G$27,M$43,FALSE))," ",VLOOKUP($K35,'Calc-Drivers'!$B$17:$G$27,M$43,FALSE))</f>
        <v xml:space="preserve"> </v>
      </c>
      <c r="N35" s="96" t="str">
        <f>IF(ISERROR(VLOOKUP($K35,'Calc-Drivers'!$B$17:$G$27,N$43,FALSE))," ",VLOOKUP($K35,'Calc-Drivers'!$B$17:$G$27,N$43,FALSE))</f>
        <v xml:space="preserve"> </v>
      </c>
      <c r="O35" s="96" t="str">
        <f>IF(ISERROR(VLOOKUP($K35,'Calc-Drivers'!$B$17:$G$27,O$43,FALSE))," ",VLOOKUP($K35,'Calc-Drivers'!$B$17:$G$27,O$43,FALSE))</f>
        <v xml:space="preserve"> </v>
      </c>
      <c r="P35" s="96" t="str">
        <f>IF(ISERROR(VLOOKUP($K35,'Calc-Drivers'!$B$17:$G$27,P$43,FALSE))," ",VLOOKUP($K35,'Calc-Drivers'!$B$17:$G$27,P$43,FALSE))</f>
        <v xml:space="preserve"> </v>
      </c>
      <c r="Q35" s="108"/>
      <c r="R35" s="48"/>
      <c r="S35" s="49" t="str">
        <f t="shared" si="1"/>
        <v xml:space="preserve"> </v>
      </c>
      <c r="T35" s="49" t="str">
        <f t="shared" si="2"/>
        <v xml:space="preserve"> </v>
      </c>
      <c r="U35" s="49" t="str">
        <f t="shared" si="3"/>
        <v xml:space="preserve"> </v>
      </c>
      <c r="V35" s="101" t="str">
        <f t="shared" si="4"/>
        <v xml:space="preserve"> </v>
      </c>
      <c r="W35" s="101" t="str">
        <f t="shared" si="4"/>
        <v xml:space="preserve"> </v>
      </c>
      <c r="X35" s="50"/>
      <c r="Y35" s="44"/>
      <c r="Z35" s="49" t="str">
        <f t="shared" si="5"/>
        <v xml:space="preserve"> </v>
      </c>
      <c r="AA35" s="49" t="str">
        <f t="shared" si="6"/>
        <v xml:space="preserve"> </v>
      </c>
      <c r="AB35" s="49" t="str">
        <f t="shared" si="7"/>
        <v xml:space="preserve"> </v>
      </c>
      <c r="AC35" s="101" t="str">
        <f t="shared" si="8"/>
        <v xml:space="preserve"> </v>
      </c>
      <c r="AD35" s="101" t="str">
        <f t="shared" si="9"/>
        <v xml:space="preserve"> </v>
      </c>
      <c r="AE35" s="50"/>
      <c r="AF35" s="50"/>
      <c r="AG35" s="51" t="str">
        <f>IF(ISERROR(Z35*100000000/'Calc-Units'!$E$23)," ",Z35*100000000/'Calc-Units'!$E$23)</f>
        <v xml:space="preserve"> </v>
      </c>
      <c r="AH35" s="51" t="str">
        <f>IF(ISERROR(AA35*100000000/'Calc-Units'!$D$23)," ",AA35*100000000/'Calc-Units'!$D$23)</f>
        <v xml:space="preserve"> </v>
      </c>
      <c r="AI35" s="51" t="str">
        <f>IF(ISERROR(AB35*100000000/'Calc-Units'!$C$23)," ",AB35*100000000/'Calc-Units'!$C$23)</f>
        <v xml:space="preserve"> </v>
      </c>
      <c r="AJ35" s="171" t="str">
        <f>IF(ISERROR(AC35*100000000/'Calc-Units'!$C$23)," ",AC35*100000000/'Calc-Units'!$C$23)</f>
        <v xml:space="preserve"> </v>
      </c>
      <c r="AK35" s="52"/>
      <c r="AL35" s="60">
        <v>0</v>
      </c>
      <c r="AM35" s="84">
        <f t="shared" si="10"/>
        <v>0</v>
      </c>
      <c r="AN35" s="47">
        <f t="shared" si="11"/>
        <v>25.3</v>
      </c>
      <c r="AO35" s="46"/>
      <c r="AP35" s="46"/>
      <c r="AQ35" s="49" t="str">
        <f t="shared" si="12"/>
        <v xml:space="preserve"> </v>
      </c>
      <c r="AR35" s="49" t="str">
        <f t="shared" si="13"/>
        <v xml:space="preserve"> </v>
      </c>
      <c r="AS35" s="49" t="str">
        <f t="shared" si="14"/>
        <v xml:space="preserve"> </v>
      </c>
      <c r="AT35" s="101" t="str">
        <f t="shared" si="15"/>
        <v xml:space="preserve"> </v>
      </c>
      <c r="AU35" s="101" t="str">
        <f t="shared" si="16"/>
        <v xml:space="preserve"> </v>
      </c>
      <c r="AV35" s="50"/>
      <c r="AW35" s="52"/>
      <c r="AX35" s="51" t="str">
        <f>IF(ISERROR(AQ35*100000000/'Calc-Units'!$E$23)," ",AQ35*100000000/'Calc-Units'!$E$23)</f>
        <v xml:space="preserve"> </v>
      </c>
      <c r="AY35" s="51" t="str">
        <f>IF(ISERROR(AR35*100000000/'Calc-Units'!$D$23)," ",AR35*100000000/'Calc-Units'!$D$23)</f>
        <v xml:space="preserve"> </v>
      </c>
      <c r="AZ35" s="51" t="str">
        <f>IF(ISERROR(AS35*100000000/'Calc-Units'!$C$23)," ",AS35*100000000/'Calc-Units'!$C$23)</f>
        <v xml:space="preserve"> </v>
      </c>
      <c r="BA35" s="171" t="str">
        <f>IF(ISERROR(AT35*100000000/'Calc-Units'!$C$23)," ",AT35*100000000/'Calc-Units'!$C$23)</f>
        <v xml:space="preserve"> </v>
      </c>
      <c r="BC35" s="44"/>
      <c r="BD35" s="44"/>
    </row>
    <row r="36" spans="1:56" s="43" customFormat="1">
      <c r="A36" s="59"/>
      <c r="B36" s="79"/>
      <c r="C36" s="59" t="s">
        <v>757</v>
      </c>
      <c r="D36" s="88">
        <f>'RRP 1.3'!AG$12</f>
        <v>15.1</v>
      </c>
      <c r="E36" s="88">
        <v>0</v>
      </c>
      <c r="F36" s="88">
        <v>0</v>
      </c>
      <c r="G36" s="88">
        <v>0</v>
      </c>
      <c r="H36" s="88">
        <v>0</v>
      </c>
      <c r="I36" s="88">
        <f t="shared" si="0"/>
        <v>15.1</v>
      </c>
      <c r="J36" s="46"/>
      <c r="K36" s="88" t="s">
        <v>467</v>
      </c>
      <c r="L36" s="96" t="str">
        <f>IF(ISERROR(VLOOKUP($K36,'Calc-Drivers'!$B$17:$G$27,L$43,FALSE))," ",VLOOKUP($K36,'Calc-Drivers'!$B$17:$G$27,L$43,FALSE))</f>
        <v xml:space="preserve"> </v>
      </c>
      <c r="M36" s="96" t="str">
        <f>IF(ISERROR(VLOOKUP($K36,'Calc-Drivers'!$B$17:$G$27,M$43,FALSE))," ",VLOOKUP($K36,'Calc-Drivers'!$B$17:$G$27,M$43,FALSE))</f>
        <v xml:space="preserve"> </v>
      </c>
      <c r="N36" s="96" t="str">
        <f>IF(ISERROR(VLOOKUP($K36,'Calc-Drivers'!$B$17:$G$27,N$43,FALSE))," ",VLOOKUP($K36,'Calc-Drivers'!$B$17:$G$27,N$43,FALSE))</f>
        <v xml:space="preserve"> </v>
      </c>
      <c r="O36" s="96" t="str">
        <f>IF(ISERROR(VLOOKUP($K36,'Calc-Drivers'!$B$17:$G$27,O$43,FALSE))," ",VLOOKUP($K36,'Calc-Drivers'!$B$17:$G$27,O$43,FALSE))</f>
        <v xml:space="preserve"> </v>
      </c>
      <c r="P36" s="96" t="str">
        <f>IF(ISERROR(VLOOKUP($K36,'Calc-Drivers'!$B$17:$G$27,P$43,FALSE))," ",VLOOKUP($K36,'Calc-Drivers'!$B$17:$G$27,P$43,FALSE))</f>
        <v xml:space="preserve"> </v>
      </c>
      <c r="Q36" s="108"/>
      <c r="R36" s="48"/>
      <c r="S36" s="49" t="str">
        <f t="shared" si="1"/>
        <v xml:space="preserve"> </v>
      </c>
      <c r="T36" s="49" t="str">
        <f t="shared" si="2"/>
        <v xml:space="preserve"> </v>
      </c>
      <c r="U36" s="49" t="str">
        <f t="shared" si="3"/>
        <v xml:space="preserve"> </v>
      </c>
      <c r="V36" s="101" t="str">
        <f t="shared" si="4"/>
        <v xml:space="preserve"> </v>
      </c>
      <c r="W36" s="101" t="str">
        <f t="shared" si="4"/>
        <v xml:space="preserve"> </v>
      </c>
      <c r="X36" s="50"/>
      <c r="Y36" s="44"/>
      <c r="Z36" s="49" t="str">
        <f t="shared" si="5"/>
        <v xml:space="preserve"> </v>
      </c>
      <c r="AA36" s="49" t="str">
        <f t="shared" si="6"/>
        <v xml:space="preserve"> </v>
      </c>
      <c r="AB36" s="49" t="str">
        <f t="shared" si="7"/>
        <v xml:space="preserve"> </v>
      </c>
      <c r="AC36" s="101" t="str">
        <f t="shared" si="8"/>
        <v xml:space="preserve"> </v>
      </c>
      <c r="AD36" s="101" t="str">
        <f t="shared" si="9"/>
        <v xml:space="preserve"> </v>
      </c>
      <c r="AE36" s="50"/>
      <c r="AF36" s="50"/>
      <c r="AG36" s="51" t="str">
        <f>IF(ISERROR(Z36*100000000/'Calc-Units'!$E$23)," ",Z36*100000000/'Calc-Units'!$E$23)</f>
        <v xml:space="preserve"> </v>
      </c>
      <c r="AH36" s="51" t="str">
        <f>IF(ISERROR(AA36*100000000/'Calc-Units'!$D$23)," ",AA36*100000000/'Calc-Units'!$D$23)</f>
        <v xml:space="preserve"> </v>
      </c>
      <c r="AI36" s="51" t="str">
        <f>IF(ISERROR(AB36*100000000/'Calc-Units'!$C$23)," ",AB36*100000000/'Calc-Units'!$C$23)</f>
        <v xml:space="preserve"> </v>
      </c>
      <c r="AJ36" s="171" t="str">
        <f>IF(ISERROR(AC36*100000000/'Calc-Units'!$C$23)," ",AC36*100000000/'Calc-Units'!$C$23)</f>
        <v xml:space="preserve"> </v>
      </c>
      <c r="AK36" s="52"/>
      <c r="AL36" s="60">
        <v>0</v>
      </c>
      <c r="AM36" s="84">
        <f t="shared" si="10"/>
        <v>0</v>
      </c>
      <c r="AN36" s="47">
        <f t="shared" si="11"/>
        <v>15.1</v>
      </c>
      <c r="AO36" s="46"/>
      <c r="AP36" s="46"/>
      <c r="AQ36" s="49" t="str">
        <f t="shared" si="12"/>
        <v xml:space="preserve"> </v>
      </c>
      <c r="AR36" s="49" t="str">
        <f t="shared" si="13"/>
        <v xml:space="preserve"> </v>
      </c>
      <c r="AS36" s="49" t="str">
        <f t="shared" si="14"/>
        <v xml:space="preserve"> </v>
      </c>
      <c r="AT36" s="101" t="str">
        <f t="shared" si="15"/>
        <v xml:space="preserve"> </v>
      </c>
      <c r="AU36" s="101" t="str">
        <f t="shared" si="16"/>
        <v xml:space="preserve"> </v>
      </c>
      <c r="AV36" s="50"/>
      <c r="AW36" s="52"/>
      <c r="AX36" s="51" t="str">
        <f>IF(ISERROR(AQ36*100000000/'Calc-Units'!$E$23)," ",AQ36*100000000/'Calc-Units'!$E$23)</f>
        <v xml:space="preserve"> </v>
      </c>
      <c r="AY36" s="51" t="str">
        <f>IF(ISERROR(AR36*100000000/'Calc-Units'!$D$23)," ",AR36*100000000/'Calc-Units'!$D$23)</f>
        <v xml:space="preserve"> </v>
      </c>
      <c r="AZ36" s="51" t="str">
        <f>IF(ISERROR(AS36*100000000/'Calc-Units'!$C$23)," ",AS36*100000000/'Calc-Units'!$C$23)</f>
        <v xml:space="preserve"> </v>
      </c>
      <c r="BA36" s="171" t="str">
        <f>IF(ISERROR(AT36*100000000/'Calc-Units'!$C$23)," ",AT36*100000000/'Calc-Units'!$C$23)</f>
        <v xml:space="preserve"> </v>
      </c>
      <c r="BC36" s="44"/>
      <c r="BD36" s="44"/>
    </row>
    <row r="37" spans="1:56" s="43" customFormat="1">
      <c r="A37" s="59"/>
      <c r="B37" s="79"/>
      <c r="C37" s="59" t="s">
        <v>639</v>
      </c>
      <c r="D37" s="88">
        <f>'RRP 1.3'!AH$12</f>
        <v>4.2</v>
      </c>
      <c r="E37" s="88">
        <v>0</v>
      </c>
      <c r="F37" s="88">
        <v>0</v>
      </c>
      <c r="G37" s="88">
        <v>0</v>
      </c>
      <c r="H37" s="88">
        <v>0</v>
      </c>
      <c r="I37" s="88">
        <f t="shared" si="0"/>
        <v>4.2</v>
      </c>
      <c r="J37" s="46"/>
      <c r="K37" s="88" t="s">
        <v>467</v>
      </c>
      <c r="L37" s="96" t="str">
        <f>IF(ISERROR(VLOOKUP($K37,'Calc-Drivers'!$B$17:$G$27,L$43,FALSE))," ",VLOOKUP($K37,'Calc-Drivers'!$B$17:$G$27,L$43,FALSE))</f>
        <v xml:space="preserve"> </v>
      </c>
      <c r="M37" s="96" t="str">
        <f>IF(ISERROR(VLOOKUP($K37,'Calc-Drivers'!$B$17:$G$27,M$43,FALSE))," ",VLOOKUP($K37,'Calc-Drivers'!$B$17:$G$27,M$43,FALSE))</f>
        <v xml:space="preserve"> </v>
      </c>
      <c r="N37" s="96" t="str">
        <f>IF(ISERROR(VLOOKUP($K37,'Calc-Drivers'!$B$17:$G$27,N$43,FALSE))," ",VLOOKUP($K37,'Calc-Drivers'!$B$17:$G$27,N$43,FALSE))</f>
        <v xml:space="preserve"> </v>
      </c>
      <c r="O37" s="96" t="str">
        <f>IF(ISERROR(VLOOKUP($K37,'Calc-Drivers'!$B$17:$G$27,O$43,FALSE))," ",VLOOKUP($K37,'Calc-Drivers'!$B$17:$G$27,O$43,FALSE))</f>
        <v xml:space="preserve"> </v>
      </c>
      <c r="P37" s="96" t="str">
        <f>IF(ISERROR(VLOOKUP($K37,'Calc-Drivers'!$B$17:$G$27,P$43,FALSE))," ",VLOOKUP($K37,'Calc-Drivers'!$B$17:$G$27,P$43,FALSE))</f>
        <v xml:space="preserve"> </v>
      </c>
      <c r="Q37" s="108"/>
      <c r="R37" s="48"/>
      <c r="S37" s="49" t="str">
        <f t="shared" si="1"/>
        <v xml:space="preserve"> </v>
      </c>
      <c r="T37" s="49" t="str">
        <f t="shared" si="2"/>
        <v xml:space="preserve"> </v>
      </c>
      <c r="U37" s="49" t="str">
        <f t="shared" si="3"/>
        <v xml:space="preserve"> </v>
      </c>
      <c r="V37" s="101" t="str">
        <f t="shared" si="4"/>
        <v xml:space="preserve"> </v>
      </c>
      <c r="W37" s="101" t="str">
        <f t="shared" si="4"/>
        <v xml:space="preserve"> </v>
      </c>
      <c r="X37" s="50"/>
      <c r="Y37" s="44"/>
      <c r="Z37" s="49" t="str">
        <f t="shared" si="5"/>
        <v xml:space="preserve"> </v>
      </c>
      <c r="AA37" s="49" t="str">
        <f t="shared" si="6"/>
        <v xml:space="preserve"> </v>
      </c>
      <c r="AB37" s="49" t="str">
        <f t="shared" si="7"/>
        <v xml:space="preserve"> </v>
      </c>
      <c r="AC37" s="101" t="str">
        <f t="shared" si="8"/>
        <v xml:space="preserve"> </v>
      </c>
      <c r="AD37" s="101" t="str">
        <f t="shared" si="9"/>
        <v xml:space="preserve"> </v>
      </c>
      <c r="AE37" s="50"/>
      <c r="AF37" s="50"/>
      <c r="AG37" s="51" t="str">
        <f>IF(ISERROR(Z37*100000000/'Calc-Units'!$E$23)," ",Z37*100000000/'Calc-Units'!$E$23)</f>
        <v xml:space="preserve"> </v>
      </c>
      <c r="AH37" s="51" t="str">
        <f>IF(ISERROR(AA37*100000000/'Calc-Units'!$D$23)," ",AA37*100000000/'Calc-Units'!$D$23)</f>
        <v xml:space="preserve"> </v>
      </c>
      <c r="AI37" s="51" t="str">
        <f>IF(ISERROR(AB37*100000000/'Calc-Units'!$C$23)," ",AB37*100000000/'Calc-Units'!$C$23)</f>
        <v xml:space="preserve"> </v>
      </c>
      <c r="AJ37" s="171" t="str">
        <f>IF(ISERROR(AC37*100000000/'Calc-Units'!$C$23)," ",AC37*100000000/'Calc-Units'!$C$23)</f>
        <v xml:space="preserve"> </v>
      </c>
      <c r="AK37" s="52"/>
      <c r="AL37" s="60">
        <v>0</v>
      </c>
      <c r="AM37" s="84">
        <f t="shared" si="10"/>
        <v>0</v>
      </c>
      <c r="AN37" s="47">
        <f t="shared" si="11"/>
        <v>4.2</v>
      </c>
      <c r="AO37" s="46"/>
      <c r="AP37" s="46"/>
      <c r="AQ37" s="49" t="str">
        <f t="shared" si="12"/>
        <v xml:space="preserve"> </v>
      </c>
      <c r="AR37" s="49" t="str">
        <f t="shared" si="13"/>
        <v xml:space="preserve"> </v>
      </c>
      <c r="AS37" s="49" t="str">
        <f t="shared" si="14"/>
        <v xml:space="preserve"> </v>
      </c>
      <c r="AT37" s="101" t="str">
        <f t="shared" si="15"/>
        <v xml:space="preserve"> </v>
      </c>
      <c r="AU37" s="101" t="str">
        <f t="shared" si="16"/>
        <v xml:space="preserve"> </v>
      </c>
      <c r="AV37" s="50"/>
      <c r="AW37" s="52"/>
      <c r="AX37" s="51" t="str">
        <f>IF(ISERROR(AQ37*100000000/'Calc-Units'!$E$23)," ",AQ37*100000000/'Calc-Units'!$E$23)</f>
        <v xml:space="preserve"> </v>
      </c>
      <c r="AY37" s="51" t="str">
        <f>IF(ISERROR(AR37*100000000/'Calc-Units'!$D$23)," ",AR37*100000000/'Calc-Units'!$D$23)</f>
        <v xml:space="preserve"> </v>
      </c>
      <c r="AZ37" s="51" t="str">
        <f>IF(ISERROR(AS37*100000000/'Calc-Units'!$C$23)," ",AS37*100000000/'Calc-Units'!$C$23)</f>
        <v xml:space="preserve"> </v>
      </c>
      <c r="BA37" s="171" t="str">
        <f>IF(ISERROR(AT37*100000000/'Calc-Units'!$C$23)," ",AT37*100000000/'Calc-Units'!$C$23)</f>
        <v xml:space="preserve"> </v>
      </c>
      <c r="BC37" s="44"/>
      <c r="BD37" s="44"/>
    </row>
    <row r="38" spans="1:56" s="43" customFormat="1">
      <c r="A38" s="59"/>
      <c r="B38" s="79"/>
      <c r="C38" s="59" t="s">
        <v>641</v>
      </c>
      <c r="D38" s="88">
        <f>'RRP 1.3'!AI$12</f>
        <v>0</v>
      </c>
      <c r="E38" s="88">
        <v>0</v>
      </c>
      <c r="F38" s="88">
        <v>0</v>
      </c>
      <c r="G38" s="88">
        <v>0</v>
      </c>
      <c r="H38" s="88">
        <v>0</v>
      </c>
      <c r="I38" s="88">
        <f t="shared" si="0"/>
        <v>0</v>
      </c>
      <c r="J38" s="46"/>
      <c r="K38" s="88" t="s">
        <v>467</v>
      </c>
      <c r="L38" s="96" t="str">
        <f>IF(ISERROR(VLOOKUP($K38,'Calc-Drivers'!$B$17:$G$27,L$43,FALSE))," ",VLOOKUP($K38,'Calc-Drivers'!$B$17:$G$27,L$43,FALSE))</f>
        <v xml:space="preserve"> </v>
      </c>
      <c r="M38" s="96" t="str">
        <f>IF(ISERROR(VLOOKUP($K38,'Calc-Drivers'!$B$17:$G$27,M$43,FALSE))," ",VLOOKUP($K38,'Calc-Drivers'!$B$17:$G$27,M$43,FALSE))</f>
        <v xml:space="preserve"> </v>
      </c>
      <c r="N38" s="96" t="str">
        <f>IF(ISERROR(VLOOKUP($K38,'Calc-Drivers'!$B$17:$G$27,N$43,FALSE))," ",VLOOKUP($K38,'Calc-Drivers'!$B$17:$G$27,N$43,FALSE))</f>
        <v xml:space="preserve"> </v>
      </c>
      <c r="O38" s="96" t="str">
        <f>IF(ISERROR(VLOOKUP($K38,'Calc-Drivers'!$B$17:$G$27,O$43,FALSE))," ",VLOOKUP($K38,'Calc-Drivers'!$B$17:$G$27,O$43,FALSE))</f>
        <v xml:space="preserve"> </v>
      </c>
      <c r="P38" s="96" t="str">
        <f>IF(ISERROR(VLOOKUP($K38,'Calc-Drivers'!$B$17:$G$27,P$43,FALSE))," ",VLOOKUP($K38,'Calc-Drivers'!$B$17:$G$27,P$43,FALSE))</f>
        <v xml:space="preserve"> </v>
      </c>
      <c r="Q38" s="108"/>
      <c r="R38" s="48"/>
      <c r="S38" s="49" t="str">
        <f t="shared" si="1"/>
        <v xml:space="preserve"> </v>
      </c>
      <c r="T38" s="49" t="str">
        <f t="shared" si="2"/>
        <v xml:space="preserve"> </v>
      </c>
      <c r="U38" s="49" t="str">
        <f t="shared" si="3"/>
        <v xml:space="preserve"> </v>
      </c>
      <c r="V38" s="101" t="str">
        <f t="shared" si="4"/>
        <v xml:space="preserve"> </v>
      </c>
      <c r="W38" s="101" t="str">
        <f t="shared" si="4"/>
        <v xml:space="preserve"> </v>
      </c>
      <c r="X38" s="50"/>
      <c r="Y38" s="44"/>
      <c r="Z38" s="49" t="str">
        <f t="shared" si="5"/>
        <v xml:space="preserve"> </v>
      </c>
      <c r="AA38" s="49" t="str">
        <f t="shared" si="6"/>
        <v xml:space="preserve"> </v>
      </c>
      <c r="AB38" s="49" t="str">
        <f t="shared" si="7"/>
        <v xml:space="preserve"> </v>
      </c>
      <c r="AC38" s="101" t="str">
        <f t="shared" si="8"/>
        <v xml:space="preserve"> </v>
      </c>
      <c r="AD38" s="101" t="str">
        <f t="shared" si="9"/>
        <v xml:space="preserve"> </v>
      </c>
      <c r="AE38" s="50"/>
      <c r="AF38" s="50"/>
      <c r="AG38" s="51" t="str">
        <f>IF(ISERROR(Z38*100000000/'Calc-Units'!$E$23)," ",Z38*100000000/'Calc-Units'!$E$23)</f>
        <v xml:space="preserve"> </v>
      </c>
      <c r="AH38" s="51" t="str">
        <f>IF(ISERROR(AA38*100000000/'Calc-Units'!$D$23)," ",AA38*100000000/'Calc-Units'!$D$23)</f>
        <v xml:space="preserve"> </v>
      </c>
      <c r="AI38" s="51" t="str">
        <f>IF(ISERROR(AB38*100000000/'Calc-Units'!$C$23)," ",AB38*100000000/'Calc-Units'!$C$23)</f>
        <v xml:space="preserve"> </v>
      </c>
      <c r="AJ38" s="171" t="str">
        <f>IF(ISERROR(AC38*100000000/'Calc-Units'!$C$23)," ",AC38*100000000/'Calc-Units'!$C$23)</f>
        <v xml:space="preserve"> </v>
      </c>
      <c r="AK38" s="52"/>
      <c r="AL38" s="60">
        <v>0</v>
      </c>
      <c r="AM38" s="84">
        <f t="shared" si="10"/>
        <v>0</v>
      </c>
      <c r="AN38" s="47">
        <f t="shared" si="11"/>
        <v>0</v>
      </c>
      <c r="AO38" s="46"/>
      <c r="AP38" s="46"/>
      <c r="AQ38" s="49" t="str">
        <f t="shared" si="12"/>
        <v xml:space="preserve"> </v>
      </c>
      <c r="AR38" s="49" t="str">
        <f t="shared" si="13"/>
        <v xml:space="preserve"> </v>
      </c>
      <c r="AS38" s="49" t="str">
        <f t="shared" si="14"/>
        <v xml:space="preserve"> </v>
      </c>
      <c r="AT38" s="101" t="str">
        <f t="shared" si="15"/>
        <v xml:space="preserve"> </v>
      </c>
      <c r="AU38" s="101" t="str">
        <f t="shared" si="16"/>
        <v xml:space="preserve"> </v>
      </c>
      <c r="AV38" s="50"/>
      <c r="AW38" s="52"/>
      <c r="AX38" s="51" t="str">
        <f>IF(ISERROR(AQ38*100000000/'Calc-Units'!$E$23)," ",AQ38*100000000/'Calc-Units'!$E$23)</f>
        <v xml:space="preserve"> </v>
      </c>
      <c r="AY38" s="51" t="str">
        <f>IF(ISERROR(AR38*100000000/'Calc-Units'!$D$23)," ",AR38*100000000/'Calc-Units'!$D$23)</f>
        <v xml:space="preserve"> </v>
      </c>
      <c r="AZ38" s="51" t="str">
        <f>IF(ISERROR(AS38*100000000/'Calc-Units'!$C$23)," ",AS38*100000000/'Calc-Units'!$C$23)</f>
        <v xml:space="preserve"> </v>
      </c>
      <c r="BA38" s="171" t="str">
        <f>IF(ISERROR(AT38*100000000/'Calc-Units'!$C$23)," ",AT38*100000000/'Calc-Units'!$C$23)</f>
        <v xml:space="preserve"> </v>
      </c>
      <c r="BC38" s="44"/>
      <c r="BD38" s="44"/>
    </row>
    <row r="39" spans="1:56" s="43" customFormat="1">
      <c r="A39" s="59"/>
      <c r="B39" s="79"/>
      <c r="C39" s="62" t="s">
        <v>642</v>
      </c>
      <c r="D39" s="89">
        <f>'RRP 1.3'!AJ$12</f>
        <v>-2.9000000000000057</v>
      </c>
      <c r="E39" s="89">
        <v>0</v>
      </c>
      <c r="F39" s="89">
        <v>0</v>
      </c>
      <c r="G39" s="89">
        <v>0</v>
      </c>
      <c r="H39" s="89">
        <v>0</v>
      </c>
      <c r="I39" s="89">
        <f t="shared" si="0"/>
        <v>-2.9000000000000057</v>
      </c>
      <c r="J39" s="46"/>
      <c r="K39" s="89" t="s">
        <v>467</v>
      </c>
      <c r="L39" s="170" t="str">
        <f>IF(ISERROR(VLOOKUP($K39,'Calc-Drivers'!$B$17:$G$27,L$43,FALSE))," ",VLOOKUP($K39,'Calc-Drivers'!$B$17:$G$27,L$43,FALSE))</f>
        <v xml:space="preserve"> </v>
      </c>
      <c r="M39" s="170" t="str">
        <f>IF(ISERROR(VLOOKUP($K39,'Calc-Drivers'!$B$17:$G$27,M$43,FALSE))," ",VLOOKUP($K39,'Calc-Drivers'!$B$17:$G$27,M$43,FALSE))</f>
        <v xml:space="preserve"> </v>
      </c>
      <c r="N39" s="170" t="str">
        <f>IF(ISERROR(VLOOKUP($K39,'Calc-Drivers'!$B$17:$G$27,N$43,FALSE))," ",VLOOKUP($K39,'Calc-Drivers'!$B$17:$G$27,N$43,FALSE))</f>
        <v xml:space="preserve"> </v>
      </c>
      <c r="O39" s="170" t="str">
        <f>IF(ISERROR(VLOOKUP($K39,'Calc-Drivers'!$B$17:$G$27,O$43,FALSE))," ",VLOOKUP($K39,'Calc-Drivers'!$B$17:$G$27,O$43,FALSE))</f>
        <v xml:space="preserve"> </v>
      </c>
      <c r="P39" s="170" t="str">
        <f>IF(ISERROR(VLOOKUP($K39,'Calc-Drivers'!$B$17:$G$27,P$43,FALSE))," ",VLOOKUP($K39,'Calc-Drivers'!$B$17:$G$27,P$43,FALSE))</f>
        <v xml:space="preserve"> </v>
      </c>
      <c r="Q39" s="108"/>
      <c r="R39" s="48"/>
      <c r="S39" s="105" t="str">
        <f t="shared" si="1"/>
        <v xml:space="preserve"> </v>
      </c>
      <c r="T39" s="105" t="str">
        <f t="shared" si="2"/>
        <v xml:space="preserve"> </v>
      </c>
      <c r="U39" s="105" t="str">
        <f t="shared" si="3"/>
        <v xml:space="preserve"> </v>
      </c>
      <c r="V39" s="102" t="str">
        <f t="shared" si="4"/>
        <v xml:space="preserve"> </v>
      </c>
      <c r="W39" s="102" t="str">
        <f t="shared" si="4"/>
        <v xml:space="preserve"> </v>
      </c>
      <c r="X39" s="50"/>
      <c r="Y39" s="44"/>
      <c r="Z39" s="105" t="str">
        <f t="shared" si="5"/>
        <v xml:space="preserve"> </v>
      </c>
      <c r="AA39" s="105" t="str">
        <f t="shared" si="6"/>
        <v xml:space="preserve"> </v>
      </c>
      <c r="AB39" s="105" t="str">
        <f t="shared" si="7"/>
        <v xml:space="preserve"> </v>
      </c>
      <c r="AC39" s="102" t="str">
        <f t="shared" si="8"/>
        <v xml:space="preserve"> </v>
      </c>
      <c r="AD39" s="102" t="str">
        <f t="shared" si="9"/>
        <v xml:space="preserve"> </v>
      </c>
      <c r="AE39" s="50"/>
      <c r="AF39" s="50"/>
      <c r="AG39" s="172" t="str">
        <f>IF(ISERROR(Z39*100000000/'Calc-Units'!$E$23)," ",Z39*100000000/'Calc-Units'!$E$23)</f>
        <v xml:space="preserve"> </v>
      </c>
      <c r="AH39" s="172" t="str">
        <f>IF(ISERROR(AA39*100000000/'Calc-Units'!$D$23)," ",AA39*100000000/'Calc-Units'!$D$23)</f>
        <v xml:space="preserve"> </v>
      </c>
      <c r="AI39" s="172" t="str">
        <f>IF(ISERROR(AB39*100000000/'Calc-Units'!$C$23)," ",AB39*100000000/'Calc-Units'!$C$23)</f>
        <v xml:space="preserve"> </v>
      </c>
      <c r="AJ39" s="173" t="str">
        <f>IF(ISERROR(AC39*100000000/'Calc-Units'!$C$23)," ",AC39*100000000/'Calc-Units'!$C$23)</f>
        <v xml:space="preserve"> </v>
      </c>
      <c r="AK39" s="52"/>
      <c r="AL39" s="60">
        <v>0</v>
      </c>
      <c r="AM39" s="84">
        <f t="shared" si="10"/>
        <v>0</v>
      </c>
      <c r="AN39" s="47">
        <f t="shared" si="11"/>
        <v>-2.9000000000000057</v>
      </c>
      <c r="AO39" s="46"/>
      <c r="AP39" s="46"/>
      <c r="AQ39" s="105" t="str">
        <f t="shared" si="12"/>
        <v xml:space="preserve"> </v>
      </c>
      <c r="AR39" s="105" t="str">
        <f t="shared" si="13"/>
        <v xml:space="preserve"> </v>
      </c>
      <c r="AS39" s="105" t="str">
        <f t="shared" si="14"/>
        <v xml:space="preserve"> </v>
      </c>
      <c r="AT39" s="102" t="str">
        <f t="shared" si="15"/>
        <v xml:space="preserve"> </v>
      </c>
      <c r="AU39" s="102" t="str">
        <f t="shared" si="16"/>
        <v xml:space="preserve"> </v>
      </c>
      <c r="AV39" s="50"/>
      <c r="AW39" s="52"/>
      <c r="AX39" s="172" t="str">
        <f>IF(ISERROR(AQ39*100000000/'Calc-Units'!$E$23)," ",AQ39*100000000/'Calc-Units'!$E$23)</f>
        <v xml:space="preserve"> </v>
      </c>
      <c r="AY39" s="172" t="str">
        <f>IF(ISERROR(AR39*100000000/'Calc-Units'!$D$23)," ",AR39*100000000/'Calc-Units'!$D$23)</f>
        <v xml:space="preserve"> </v>
      </c>
      <c r="AZ39" s="172" t="str">
        <f>IF(ISERROR(AS39*100000000/'Calc-Units'!$C$23)," ",AS39*100000000/'Calc-Units'!$C$23)</f>
        <v xml:space="preserve"> </v>
      </c>
      <c r="BA39" s="173" t="str">
        <f>IF(ISERROR(AT39*100000000/'Calc-Units'!$C$23)," ",AT39*100000000/'Calc-Units'!$C$23)</f>
        <v xml:space="preserve"> </v>
      </c>
      <c r="BC39" s="44"/>
      <c r="BD39" s="44"/>
    </row>
    <row r="40" spans="1:56" s="43" customFormat="1" ht="25.5">
      <c r="A40" s="83"/>
      <c r="B40" s="197"/>
      <c r="C40" s="83" t="s">
        <v>653</v>
      </c>
      <c r="D40" s="90">
        <f>SUM(D7:D39)</f>
        <v>162.69999999999999</v>
      </c>
      <c r="E40" s="90">
        <f>SUM(E7:E39)</f>
        <v>16.729777089160976</v>
      </c>
      <c r="F40" s="90">
        <f>SUM(F7:F39)</f>
        <v>23.363069336375059</v>
      </c>
      <c r="G40" s="90">
        <f>SUM(G7:G39)</f>
        <v>6</v>
      </c>
      <c r="H40" s="90">
        <f>SUM(H7:H39)</f>
        <v>2.96551811705667</v>
      </c>
      <c r="I40" s="90">
        <f t="shared" si="0"/>
        <v>113.64163545740729</v>
      </c>
      <c r="J40" s="50"/>
      <c r="K40" s="107"/>
      <c r="L40" s="107"/>
      <c r="M40" s="107"/>
      <c r="N40" s="107"/>
      <c r="O40" s="107"/>
      <c r="P40" s="107"/>
      <c r="Q40" s="107"/>
      <c r="R40" s="954" t="s">
        <v>245</v>
      </c>
      <c r="S40" s="91">
        <f>SUM(S7:S39)</f>
        <v>6.6477121425379888</v>
      </c>
      <c r="T40" s="91">
        <f>SUM(T7:T39)</f>
        <v>9.9948384334166391</v>
      </c>
      <c r="U40" s="91">
        <f>SUM(U7:U39)</f>
        <v>2.4461644762911092</v>
      </c>
      <c r="V40" s="91">
        <f>SUM(V7:V39)</f>
        <v>9.781581702368694</v>
      </c>
      <c r="W40" s="90"/>
      <c r="X40" s="857"/>
      <c r="Y40" s="862" t="s">
        <v>673</v>
      </c>
      <c r="Z40" s="2225">
        <f>SUM(Z41:AD41)</f>
        <v>83.7</v>
      </c>
      <c r="AA40" s="2226"/>
      <c r="AB40" s="2226"/>
      <c r="AC40" s="2227"/>
      <c r="AD40" s="865"/>
      <c r="AE40" s="863"/>
      <c r="AF40" s="867" t="s">
        <v>673</v>
      </c>
      <c r="AG40" s="2222">
        <f>SUM(AG41:AJ41)</f>
        <v>0.81370872036300101</v>
      </c>
      <c r="AH40" s="2223"/>
      <c r="AI40" s="2223"/>
      <c r="AJ40" s="2224"/>
      <c r="AK40" s="52"/>
      <c r="AL40" s="871" t="s">
        <v>245</v>
      </c>
      <c r="AM40" s="90">
        <f>SUM(AM7:AM39)</f>
        <v>65.418729999999982</v>
      </c>
      <c r="AN40" s="872">
        <f>SUM(AN7:AN39)</f>
        <v>97.281269999999992</v>
      </c>
      <c r="AO40" s="118"/>
      <c r="AP40" s="862" t="s">
        <v>673</v>
      </c>
      <c r="AQ40" s="2222">
        <f>SUM(AQ41:AU41)</f>
        <v>30.691800000000004</v>
      </c>
      <c r="AR40" s="2231"/>
      <c r="AS40" s="2231"/>
      <c r="AT40" s="2231"/>
      <c r="AU40" s="2232"/>
      <c r="AV40" s="119"/>
      <c r="AW40" s="867" t="s">
        <v>673</v>
      </c>
      <c r="AX40" s="955">
        <f>SUM(AX41:BA41)</f>
        <v>0.29216261008279909</v>
      </c>
      <c r="AY40" s="955"/>
      <c r="AZ40" s="955"/>
      <c r="BA40" s="955"/>
      <c r="BC40" s="44"/>
      <c r="BD40" s="44"/>
    </row>
    <row r="41" spans="1:56" s="852" customFormat="1" ht="20.25" customHeight="1">
      <c r="A41" s="963"/>
      <c r="B41" s="964"/>
      <c r="C41" s="965"/>
      <c r="D41" s="966"/>
      <c r="E41" s="966"/>
      <c r="F41" s="966"/>
      <c r="G41" s="966"/>
      <c r="H41" s="966"/>
      <c r="I41" s="966"/>
      <c r="J41" s="863"/>
      <c r="K41" s="967"/>
      <c r="L41" s="967"/>
      <c r="M41" s="967"/>
      <c r="N41" s="967"/>
      <c r="O41" s="967"/>
      <c r="P41" s="967"/>
      <c r="Q41" s="967"/>
      <c r="R41" s="968"/>
      <c r="S41" s="969"/>
      <c r="T41" s="969"/>
      <c r="U41" s="969"/>
      <c r="V41" s="969"/>
      <c r="W41" s="863"/>
      <c r="X41" s="863"/>
      <c r="Y41" s="867" t="s">
        <v>674</v>
      </c>
      <c r="Z41" s="970">
        <f>SUM(Z7:Z39)</f>
        <v>23.377489231698963</v>
      </c>
      <c r="AA41" s="970">
        <f>SUM(AA7:AA39)</f>
        <v>33.357907769791701</v>
      </c>
      <c r="AB41" s="970">
        <f>SUM(AB7:AB39)</f>
        <v>8.4461644762911092</v>
      </c>
      <c r="AC41" s="970">
        <f>SUM(AC7:AC39)</f>
        <v>11.646662793005389</v>
      </c>
      <c r="AD41" s="970">
        <f>SUM(AD7:AD39)</f>
        <v>6.871775729212839</v>
      </c>
      <c r="AE41" s="863"/>
      <c r="AF41" s="867" t="s">
        <v>674</v>
      </c>
      <c r="AG41" s="955">
        <f>SUM(AG7:AG39)</f>
        <v>0.18827513851670896</v>
      </c>
      <c r="AH41" s="955">
        <f>SUM(AH7:AH39)</f>
        <v>0.34699318953296582</v>
      </c>
      <c r="AI41" s="955">
        <f>SUM(AI7:AI39)</f>
        <v>0.11704442181290481</v>
      </c>
      <c r="AJ41" s="955">
        <f>SUM(AJ7:AJ39)</f>
        <v>0.1613959705004214</v>
      </c>
      <c r="AK41" s="971"/>
      <c r="AL41" s="972"/>
      <c r="AM41" s="972"/>
      <c r="AN41" s="972"/>
      <c r="AO41" s="966"/>
      <c r="AP41" s="867" t="s">
        <v>674</v>
      </c>
      <c r="AQ41" s="955">
        <f>SUM(AQ7:AQ39)</f>
        <v>6.0417583262839027</v>
      </c>
      <c r="AR41" s="955">
        <f>SUM(AR7:AR39)</f>
        <v>9.0501631200366273</v>
      </c>
      <c r="AS41" s="955">
        <f>SUM(AS7:AS39)</f>
        <v>2.6065669086464447</v>
      </c>
      <c r="AT41" s="956">
        <f>SUM(AT7:AT39)</f>
        <v>8.1717861423665479</v>
      </c>
      <c r="AU41" s="955">
        <f>SUM(AU7:AU39)</f>
        <v>4.8215255026664776</v>
      </c>
      <c r="AV41" s="958"/>
      <c r="AW41" s="867" t="s">
        <v>674</v>
      </c>
      <c r="AX41" s="957">
        <f>SUM(AX7:AX39)</f>
        <v>4.8658471168202204E-2</v>
      </c>
      <c r="AY41" s="957">
        <f>SUM(AY7:AY39)</f>
        <v>9.4140945184187044E-2</v>
      </c>
      <c r="AZ41" s="957">
        <f>SUM(AZ7:AZ39)</f>
        <v>3.6121024826779459E-2</v>
      </c>
      <c r="BA41" s="957">
        <f>SUM(BA7:BA39)</f>
        <v>0.1132421689036304</v>
      </c>
      <c r="BC41" s="847"/>
      <c r="BD41" s="847"/>
    </row>
    <row r="42" spans="1:56" s="43" customFormat="1" ht="20.25" customHeight="1">
      <c r="A42" s="77"/>
      <c r="B42" s="106"/>
      <c r="C42" s="106"/>
      <c r="D42" s="107"/>
      <c r="E42" s="107"/>
      <c r="F42" s="107"/>
      <c r="G42" s="107"/>
      <c r="H42" s="107"/>
      <c r="I42" s="107"/>
      <c r="J42" s="50"/>
      <c r="K42" s="46"/>
      <c r="L42" s="110"/>
      <c r="M42" s="46"/>
      <c r="N42" s="46"/>
      <c r="O42" s="46"/>
      <c r="P42" s="46"/>
      <c r="Q42" s="46"/>
      <c r="R42" s="48"/>
      <c r="S42" s="50"/>
      <c r="T42" s="50"/>
      <c r="U42" s="50"/>
      <c r="V42" s="50"/>
      <c r="W42" s="50"/>
      <c r="X42" s="50"/>
      <c r="Y42" s="111" t="s">
        <v>675</v>
      </c>
      <c r="Z42" s="109">
        <f>Z41/$Z$40</f>
        <v>0.27930094661528032</v>
      </c>
      <c r="AA42" s="109">
        <f>AA41/$Z$40</f>
        <v>0.39854131146704541</v>
      </c>
      <c r="AB42" s="109">
        <f>AB41/$Z$40</f>
        <v>0.10090996984816139</v>
      </c>
      <c r="AC42" s="109">
        <f>AC41/$Z$40</f>
        <v>0.13914770362013607</v>
      </c>
      <c r="AD42" s="109">
        <f>AD41/$Z$40</f>
        <v>8.2100068449376812E-2</v>
      </c>
      <c r="AE42" s="50"/>
      <c r="AF42" s="111" t="s">
        <v>675</v>
      </c>
      <c r="AG42" s="109">
        <f>AG41/$AG$40</f>
        <v>0.23137903503445081</v>
      </c>
      <c r="AH42" s="109">
        <f>AH41/$AG$40</f>
        <v>0.42643415370818416</v>
      </c>
      <c r="AI42" s="109">
        <f>AI41/$AG$40</f>
        <v>0.14384068756285479</v>
      </c>
      <c r="AJ42" s="109">
        <f>AJ41/$AG$40</f>
        <v>0.19834612369451018</v>
      </c>
      <c r="AK42" s="52"/>
      <c r="AL42" s="107"/>
      <c r="AM42" s="107"/>
      <c r="AN42" s="107"/>
      <c r="AO42" s="107"/>
      <c r="AP42" s="867" t="s">
        <v>675</v>
      </c>
      <c r="AQ42" s="959">
        <f>AQ41/$AQ$40</f>
        <v>0.1968525249833474</v>
      </c>
      <c r="AR42" s="959">
        <f>AR41/$AQ$40</f>
        <v>0.29487234766408704</v>
      </c>
      <c r="AS42" s="959">
        <f>AS41/$AQ$40</f>
        <v>8.4927143688100545E-2</v>
      </c>
      <c r="AT42" s="960">
        <f>AT41/$AQ$40</f>
        <v>0.26625307549138683</v>
      </c>
      <c r="AU42" s="961">
        <f>AU41/$AQ$40</f>
        <v>0.15709490817307806</v>
      </c>
      <c r="AV42" s="962"/>
      <c r="AW42" s="867" t="s">
        <v>675</v>
      </c>
      <c r="AX42" s="961">
        <f>AX41/$AX$40</f>
        <v>0.16654585319597315</v>
      </c>
      <c r="AY42" s="961">
        <f>AY41/$AX$40</f>
        <v>0.32222105750461166</v>
      </c>
      <c r="AZ42" s="961">
        <f>AZ41/$AX$40</f>
        <v>0.12363329043556509</v>
      </c>
      <c r="BA42" s="961">
        <f>BA41/$AX$40</f>
        <v>0.3875997988638501</v>
      </c>
      <c r="BC42" s="44"/>
      <c r="BD42" s="44"/>
    </row>
    <row r="43" spans="1:56" s="63" customFormat="1">
      <c r="A43" s="2233"/>
      <c r="B43" s="2233"/>
      <c r="C43" s="65"/>
      <c r="D43" s="64"/>
      <c r="I43" s="68"/>
      <c r="J43" s="67"/>
      <c r="K43" s="93" t="s">
        <v>888</v>
      </c>
      <c r="L43" s="93">
        <v>6</v>
      </c>
      <c r="M43" s="93">
        <v>5</v>
      </c>
      <c r="N43" s="93">
        <v>4</v>
      </c>
      <c r="O43" s="93">
        <v>3</v>
      </c>
      <c r="P43" s="93">
        <v>2</v>
      </c>
      <c r="Q43" s="93"/>
      <c r="R43" s="69"/>
      <c r="S43" s="68"/>
      <c r="T43" s="68"/>
      <c r="U43" s="68"/>
      <c r="V43" s="68"/>
      <c r="W43" s="68"/>
      <c r="X43" s="68"/>
      <c r="Y43" s="858"/>
      <c r="Z43" s="859"/>
      <c r="AA43" s="859"/>
      <c r="AB43" s="859"/>
      <c r="AC43" s="859"/>
      <c r="AD43" s="68"/>
      <c r="AE43" s="68"/>
      <c r="AF43" s="68"/>
      <c r="AG43" s="70"/>
      <c r="AH43" s="70"/>
      <c r="AI43" s="70"/>
      <c r="AJ43" s="70"/>
      <c r="AK43" s="70"/>
      <c r="AL43" s="66"/>
      <c r="AM43" s="67"/>
      <c r="AN43" s="67"/>
      <c r="AO43" s="67"/>
      <c r="AP43" s="67"/>
      <c r="AQ43" s="68" t="s">
        <v>517</v>
      </c>
      <c r="AR43" s="68"/>
      <c r="AS43" s="68"/>
      <c r="AT43" s="68"/>
      <c r="AU43" s="68"/>
      <c r="AV43" s="68"/>
      <c r="AW43" s="70"/>
      <c r="AX43" s="70"/>
      <c r="AY43" s="70"/>
      <c r="AZ43" s="70"/>
      <c r="BA43" s="70"/>
    </row>
    <row r="44" spans="1:56" s="63" customFormat="1">
      <c r="A44" s="2233"/>
      <c r="B44" s="2233"/>
      <c r="C44" s="65"/>
      <c r="D44" s="71"/>
      <c r="I44" s="68"/>
      <c r="J44" s="67"/>
      <c r="L44" s="69"/>
      <c r="M44" s="69"/>
      <c r="N44" s="69"/>
      <c r="O44" s="69"/>
      <c r="P44" s="69"/>
      <c r="Q44" s="69"/>
      <c r="R44" s="69"/>
      <c r="S44" s="68"/>
      <c r="T44" s="68"/>
      <c r="U44" s="68"/>
      <c r="V44" s="68"/>
      <c r="W44" s="68"/>
      <c r="X44" s="68"/>
      <c r="Y44" s="860"/>
      <c r="Z44" s="861"/>
      <c r="AA44" s="861"/>
      <c r="AB44" s="861"/>
      <c r="AC44" s="861"/>
      <c r="AD44" s="68"/>
      <c r="AE44" s="68"/>
      <c r="AF44" s="68"/>
      <c r="AG44" s="70"/>
      <c r="AH44" s="70"/>
      <c r="AI44" s="70"/>
      <c r="AJ44" s="70"/>
      <c r="AK44" s="70"/>
      <c r="AL44" s="66"/>
      <c r="AM44" s="67"/>
      <c r="AN44" s="67"/>
      <c r="AO44" s="67"/>
      <c r="AP44" s="67"/>
      <c r="AQ44" s="68"/>
      <c r="AR44" s="68"/>
      <c r="AS44" s="68"/>
      <c r="AT44" s="68"/>
      <c r="AU44" s="68"/>
      <c r="AV44" s="68"/>
      <c r="AW44" s="70"/>
      <c r="AX44" s="70"/>
      <c r="AY44" s="70"/>
      <c r="AZ44" s="70"/>
      <c r="BA44" s="70"/>
    </row>
    <row r="45" spans="1:56" s="63" customFormat="1">
      <c r="A45" s="2233"/>
      <c r="B45" s="2233"/>
      <c r="C45" s="65"/>
      <c r="D45" s="64"/>
      <c r="I45" s="68"/>
      <c r="J45" s="67"/>
      <c r="L45" s="69"/>
      <c r="M45" s="69"/>
      <c r="N45" s="69"/>
      <c r="O45" s="69"/>
      <c r="P45" s="69"/>
      <c r="Q45" s="69"/>
      <c r="R45" s="69"/>
      <c r="S45" s="68"/>
      <c r="T45" s="68"/>
      <c r="U45" s="68"/>
      <c r="V45" s="68"/>
      <c r="W45" s="68"/>
      <c r="X45" s="68"/>
      <c r="Y45" s="218" t="s">
        <v>835</v>
      </c>
      <c r="Z45" s="218"/>
      <c r="AA45" s="218"/>
      <c r="AB45" s="218"/>
      <c r="AC45" s="218"/>
      <c r="AD45" s="219"/>
      <c r="AE45" s="219"/>
      <c r="AF45" s="68"/>
      <c r="AG45" s="70"/>
      <c r="AH45" s="70"/>
      <c r="AI45" s="70"/>
      <c r="AJ45" s="70"/>
      <c r="AK45" s="70"/>
      <c r="AL45" s="66"/>
      <c r="AM45" s="67"/>
      <c r="AN45" s="67"/>
      <c r="AO45" s="67"/>
      <c r="AP45" s="67"/>
      <c r="AQ45" s="68"/>
      <c r="AR45" s="68"/>
      <c r="AS45" s="68"/>
      <c r="AT45" s="68"/>
      <c r="AU45" s="68"/>
      <c r="AV45" s="68"/>
      <c r="AW45" s="70"/>
      <c r="AX45" s="70"/>
      <c r="AY45" s="70"/>
      <c r="AZ45" s="70"/>
      <c r="BA45" s="70"/>
    </row>
    <row r="46" spans="1:56" s="63" customFormat="1">
      <c r="A46" s="2233"/>
      <c r="B46" s="2233"/>
      <c r="C46" s="65"/>
      <c r="D46" s="64"/>
      <c r="I46" s="68"/>
      <c r="J46" s="67"/>
      <c r="L46" s="69"/>
      <c r="M46" s="69"/>
      <c r="N46" s="69"/>
      <c r="O46" s="69"/>
      <c r="P46" s="69"/>
      <c r="Q46" s="69"/>
      <c r="R46" s="69"/>
      <c r="S46" s="68"/>
      <c r="T46" s="68"/>
      <c r="U46" s="68"/>
      <c r="V46" s="68"/>
      <c r="W46" s="68"/>
      <c r="X46" s="68"/>
      <c r="Y46" s="218"/>
      <c r="Z46" s="218"/>
      <c r="AA46" s="218"/>
      <c r="AB46" s="218"/>
      <c r="AC46" s="218"/>
      <c r="AD46" s="219"/>
      <c r="AE46" s="219"/>
      <c r="AF46" s="68"/>
      <c r="AG46" s="70"/>
      <c r="AH46" s="70"/>
      <c r="AI46" s="70"/>
      <c r="AJ46" s="70"/>
      <c r="AK46" s="70"/>
      <c r="AL46" s="66"/>
      <c r="AM46" s="67"/>
      <c r="AN46" s="67"/>
      <c r="AO46" s="67"/>
      <c r="AP46" s="67"/>
      <c r="AQ46" s="68"/>
      <c r="AR46" s="68"/>
      <c r="AS46" s="68"/>
      <c r="AT46" s="68"/>
      <c r="AU46" s="68"/>
      <c r="AV46" s="68"/>
      <c r="AW46" s="70"/>
      <c r="AX46" s="70"/>
      <c r="AY46" s="70"/>
      <c r="AZ46" s="70"/>
      <c r="BA46" s="70"/>
    </row>
    <row r="47" spans="1:56" s="63" customFormat="1">
      <c r="A47" s="2233"/>
      <c r="B47" s="2233"/>
      <c r="C47" s="65"/>
      <c r="D47" s="64"/>
      <c r="I47" s="68"/>
      <c r="J47" s="67"/>
      <c r="L47" s="69"/>
      <c r="M47" s="69"/>
      <c r="N47" s="69"/>
      <c r="O47" s="69"/>
      <c r="P47" s="69"/>
      <c r="Q47" s="69"/>
      <c r="R47" s="69"/>
      <c r="S47" s="68"/>
      <c r="T47" s="68"/>
      <c r="U47" s="68"/>
      <c r="V47" s="68"/>
      <c r="W47" s="68"/>
      <c r="X47" s="68"/>
      <c r="Y47" s="186" t="s">
        <v>483</v>
      </c>
      <c r="Z47" s="187">
        <f>SUMIF(Z7:Z12,"&gt;0",Z7:Z12)+SUMIF(Z28:Z39,"&gt;0",Z28:Z39)</f>
        <v>17.428605072576147</v>
      </c>
      <c r="AA47" s="187">
        <f>SUMIF(AA7:AA12,"&gt;0",AA7:AA12)+SUMIF(AA28:AA39,"&gt;0",AA28:AA39)</f>
        <v>24.413757548683591</v>
      </c>
      <c r="AB47" s="187">
        <f>SUMIF(AB7:AB12,"&gt;0",AB7:AB12)+SUMIF(AB28:AB39,"&gt;0",AB28:AB39)</f>
        <v>6.2612696670572987</v>
      </c>
      <c r="AC47" s="187">
        <f>SUMIF(AC7:AC12,"&gt;0",AC7:AC12)+SUMIF(AC28:AC39,"&gt;0",AC28:AC39)</f>
        <v>8.553653667065749</v>
      </c>
      <c r="AD47" s="187">
        <f>SUMIF(AD7:AD12,"&gt;0",AD7:AD12)+SUMIF(AD28:AD39,"&gt;0",AD28:AD39)</f>
        <v>5.0468353647823871</v>
      </c>
      <c r="AE47" s="219"/>
      <c r="AF47" s="68"/>
      <c r="AG47" s="70"/>
      <c r="AH47" s="70"/>
      <c r="AI47" s="70"/>
      <c r="AJ47" s="70"/>
      <c r="AK47" s="70"/>
      <c r="AL47" s="66"/>
      <c r="AM47" s="67"/>
      <c r="AN47" s="67"/>
      <c r="AO47" s="67"/>
      <c r="AP47" s="67"/>
      <c r="AQ47" s="68"/>
      <c r="AR47" s="68"/>
      <c r="AS47" s="68"/>
      <c r="AT47" s="68"/>
      <c r="AU47" s="68"/>
      <c r="AV47" s="68"/>
      <c r="AW47" s="70"/>
      <c r="AX47" s="70"/>
      <c r="AY47" s="70"/>
      <c r="AZ47" s="70"/>
      <c r="BA47" s="70"/>
    </row>
    <row r="48" spans="1:56" s="63" customFormat="1">
      <c r="A48" s="2233"/>
      <c r="B48" s="2233"/>
      <c r="C48" s="65"/>
      <c r="D48" s="64"/>
      <c r="E48" s="68"/>
      <c r="F48" s="68"/>
      <c r="G48" s="68"/>
      <c r="H48" s="68"/>
      <c r="I48" s="68"/>
      <c r="J48" s="67"/>
      <c r="L48" s="69"/>
      <c r="M48" s="69"/>
      <c r="N48" s="69"/>
      <c r="O48" s="69"/>
      <c r="P48" s="69"/>
      <c r="Q48" s="69"/>
      <c r="R48" s="69"/>
      <c r="S48" s="68"/>
      <c r="T48" s="68"/>
      <c r="U48" s="68"/>
      <c r="V48" s="68"/>
      <c r="W48" s="68"/>
      <c r="X48" s="68"/>
      <c r="Y48" s="188" t="s">
        <v>355</v>
      </c>
      <c r="Z48" s="189">
        <f>SUMIF(Z13:Z28,"&gt;0",Z13:Z28)</f>
        <v>5.9488841591228203</v>
      </c>
      <c r="AA48" s="189">
        <f>SUMIF(AA13:AA28,"&gt;0",AA13:AA28)</f>
        <v>8.9441502211081065</v>
      </c>
      <c r="AB48" s="189">
        <f>SUMIF(AB13:AB28,"&gt;0",AB13:AB28)</f>
        <v>2.1890161293989858</v>
      </c>
      <c r="AC48" s="189">
        <f>SUMIF(AC13:AC28,"&gt;0",AC13:AC28)</f>
        <v>8.7533116947165155</v>
      </c>
      <c r="AD48" s="189">
        <f>SUMIF(AD13:AD28,"&gt;0",AD13:AD28)</f>
        <v>5.1646377956535741</v>
      </c>
      <c r="AE48" s="219"/>
      <c r="AF48" s="68"/>
      <c r="AG48" s="70"/>
      <c r="AH48" s="70"/>
      <c r="AI48" s="70"/>
      <c r="AJ48" s="70"/>
      <c r="AK48" s="70"/>
      <c r="AL48" s="66"/>
      <c r="AM48" s="67"/>
      <c r="AN48" s="67"/>
      <c r="AO48" s="67"/>
      <c r="AP48" s="67"/>
      <c r="AQ48" s="68"/>
      <c r="AR48" s="68"/>
      <c r="AS48" s="68"/>
      <c r="AT48" s="68"/>
      <c r="AU48" s="68"/>
      <c r="AV48" s="68"/>
      <c r="AW48" s="70"/>
      <c r="AX48" s="70"/>
      <c r="AY48" s="70"/>
      <c r="AZ48" s="70"/>
      <c r="BA48" s="70"/>
    </row>
    <row r="49" spans="1:53" s="63" customFormat="1">
      <c r="A49" s="2233"/>
      <c r="B49" s="2233"/>
      <c r="C49" s="65"/>
      <c r="D49" s="64"/>
      <c r="I49" s="68"/>
      <c r="J49" s="67"/>
      <c r="L49" s="69"/>
      <c r="M49" s="69"/>
      <c r="N49" s="69"/>
      <c r="O49" s="69"/>
      <c r="P49" s="69"/>
      <c r="Q49" s="69"/>
      <c r="R49" s="69"/>
      <c r="S49" s="68"/>
      <c r="T49" s="68"/>
      <c r="U49" s="68"/>
      <c r="V49" s="68"/>
      <c r="W49" s="68"/>
      <c r="X49" s="68"/>
      <c r="Y49" s="188" t="s">
        <v>836</v>
      </c>
      <c r="Z49" s="190">
        <f>Z47/(Z48+Z47)</f>
        <v>0.74552938084315901</v>
      </c>
      <c r="AA49" s="191">
        <f>AA47/(AA48+AA47)</f>
        <v>0.73187316534258906</v>
      </c>
      <c r="AB49" s="191">
        <f>AB47/(AB48+AB47)</f>
        <v>0.74095359824197038</v>
      </c>
      <c r="AC49" s="220">
        <f>AC47/(AC48+AC47)</f>
        <v>0.49423185915389717</v>
      </c>
      <c r="AD49" s="220">
        <f>AD47/(AD48+AD47)</f>
        <v>0.49423185915389717</v>
      </c>
      <c r="AE49" s="745"/>
      <c r="AF49" s="68"/>
      <c r="AG49" s="70"/>
      <c r="AH49" s="70"/>
      <c r="AI49" s="70"/>
      <c r="AJ49" s="70"/>
      <c r="AK49" s="70"/>
      <c r="AL49" s="66"/>
      <c r="AM49" s="67"/>
      <c r="AN49" s="67"/>
      <c r="AO49" s="67"/>
      <c r="AP49" s="67"/>
      <c r="AQ49" s="68"/>
      <c r="AR49" s="68"/>
      <c r="AS49" s="68"/>
      <c r="AT49" s="68"/>
      <c r="AU49" s="68"/>
      <c r="AV49" s="68"/>
      <c r="AW49" s="70"/>
      <c r="AX49" s="70"/>
      <c r="AY49" s="70"/>
      <c r="AZ49" s="70"/>
      <c r="BA49" s="70"/>
    </row>
    <row r="50" spans="1:53" s="63" customFormat="1">
      <c r="A50" s="2233"/>
      <c r="B50" s="2233"/>
      <c r="C50" s="65"/>
      <c r="D50" s="64"/>
      <c r="I50" s="68"/>
      <c r="J50" s="67"/>
      <c r="L50" s="69"/>
      <c r="M50" s="69"/>
      <c r="N50" s="69"/>
      <c r="O50" s="69"/>
      <c r="P50" s="69"/>
      <c r="Q50" s="69"/>
      <c r="R50" s="69"/>
      <c r="S50" s="68"/>
      <c r="T50" s="68"/>
      <c r="U50" s="68"/>
      <c r="V50" s="68"/>
      <c r="W50" s="68"/>
      <c r="X50" s="68"/>
      <c r="Y50" s="192" t="s">
        <v>356</v>
      </c>
      <c r="Z50" s="193">
        <f>Z48/(Z47+Z48)</f>
        <v>0.25447061915684105</v>
      </c>
      <c r="AA50" s="194">
        <f>AA48/(AA47+AA48)</f>
        <v>0.26812683465741111</v>
      </c>
      <c r="AB50" s="194">
        <f>AB48/(AB47+AB48)</f>
        <v>0.25904640175802957</v>
      </c>
      <c r="AC50" s="194">
        <f>AC48/(AC47+AC48)</f>
        <v>0.50576814084610289</v>
      </c>
      <c r="AD50" s="194">
        <f>AD48/(AD47+AD48)</f>
        <v>0.50576814084610289</v>
      </c>
      <c r="AE50" s="745"/>
      <c r="AF50" s="68"/>
      <c r="AG50" s="70"/>
      <c r="AH50" s="70"/>
      <c r="AI50" s="70"/>
      <c r="AJ50" s="70"/>
      <c r="AK50" s="70"/>
      <c r="AL50" s="66"/>
      <c r="AM50" s="67"/>
      <c r="AN50" s="67"/>
      <c r="AO50" s="67"/>
      <c r="AP50" s="67"/>
      <c r="AQ50" s="68"/>
      <c r="AR50" s="68"/>
      <c r="AS50" s="68"/>
      <c r="AT50" s="68"/>
      <c r="AU50" s="68"/>
      <c r="AV50" s="68"/>
      <c r="AW50" s="70"/>
      <c r="AX50" s="70"/>
      <c r="AY50" s="70"/>
      <c r="AZ50" s="70"/>
      <c r="BA50" s="70"/>
    </row>
    <row r="51" spans="1:53" s="63" customFormat="1">
      <c r="A51" s="2233"/>
      <c r="B51" s="2233"/>
      <c r="C51" s="65"/>
      <c r="D51" s="64"/>
      <c r="I51" s="68"/>
      <c r="J51" s="67"/>
      <c r="L51" s="69"/>
      <c r="M51" s="69"/>
      <c r="N51" s="69"/>
      <c r="O51" s="69"/>
      <c r="P51" s="69"/>
      <c r="Q51" s="69"/>
      <c r="R51" s="69"/>
      <c r="S51" s="68"/>
      <c r="T51" s="68"/>
      <c r="U51" s="68"/>
      <c r="V51" s="68"/>
      <c r="W51" s="68"/>
      <c r="X51" s="68"/>
      <c r="Y51" s="218"/>
      <c r="Z51" s="219"/>
      <c r="AA51" s="219"/>
      <c r="AB51" s="219"/>
      <c r="AC51" s="219"/>
      <c r="AD51" s="219"/>
      <c r="AE51" s="219"/>
      <c r="AF51" s="68"/>
      <c r="AG51" s="70"/>
      <c r="AH51" s="70"/>
      <c r="AI51" s="70"/>
      <c r="AJ51" s="70"/>
      <c r="AK51" s="70"/>
      <c r="AL51" s="66"/>
      <c r="AM51" s="67"/>
      <c r="AN51" s="67"/>
      <c r="AO51" s="67"/>
      <c r="AP51" s="67"/>
      <c r="AQ51" s="68"/>
      <c r="AR51" s="68"/>
      <c r="AS51" s="68"/>
      <c r="AT51" s="68"/>
      <c r="AU51" s="68"/>
      <c r="AV51" s="68"/>
      <c r="AW51" s="70"/>
      <c r="AX51" s="70"/>
      <c r="AY51" s="70"/>
      <c r="AZ51" s="70"/>
      <c r="BA51" s="70"/>
    </row>
    <row r="52" spans="1:53" s="63" customFormat="1">
      <c r="A52" s="2233"/>
      <c r="B52" s="2233"/>
      <c r="C52" s="65"/>
      <c r="D52" s="64"/>
      <c r="I52" s="68"/>
      <c r="J52" s="67"/>
      <c r="L52" s="69"/>
      <c r="M52" s="69"/>
      <c r="N52" s="69"/>
      <c r="O52" s="69"/>
      <c r="P52" s="69"/>
      <c r="Q52" s="69"/>
      <c r="R52" s="69"/>
      <c r="S52" s="68"/>
      <c r="T52" s="68"/>
      <c r="U52" s="68"/>
      <c r="V52" s="68"/>
      <c r="W52" s="68"/>
      <c r="X52" s="68"/>
      <c r="Z52" s="68"/>
      <c r="AA52" s="68"/>
      <c r="AB52" s="68"/>
      <c r="AC52" s="68"/>
      <c r="AD52" s="68"/>
      <c r="AE52" s="68"/>
      <c r="AF52" s="68"/>
      <c r="AG52" s="70"/>
      <c r="AH52" s="70"/>
      <c r="AI52" s="70"/>
      <c r="AJ52" s="70"/>
      <c r="AK52" s="70"/>
      <c r="AL52" s="66"/>
      <c r="AM52" s="67"/>
      <c r="AN52" s="67"/>
      <c r="AO52" s="67"/>
      <c r="AP52" s="67"/>
      <c r="AQ52" s="68"/>
      <c r="AR52" s="68"/>
      <c r="AS52" s="68"/>
      <c r="AT52" s="68"/>
      <c r="AU52" s="68"/>
      <c r="AV52" s="68"/>
      <c r="AW52" s="70"/>
      <c r="AX52" s="70"/>
      <c r="AY52" s="70"/>
      <c r="AZ52" s="70"/>
      <c r="BA52" s="70"/>
    </row>
    <row r="53" spans="1:53" s="63" customFormat="1">
      <c r="A53" s="2233"/>
      <c r="B53" s="2233"/>
      <c r="C53" s="65"/>
      <c r="D53" s="64"/>
      <c r="I53" s="68"/>
      <c r="J53" s="67"/>
      <c r="L53" s="69"/>
      <c r="M53" s="69"/>
      <c r="N53" s="69"/>
      <c r="O53" s="69"/>
      <c r="P53" s="69"/>
      <c r="Q53" s="69"/>
      <c r="R53" s="69"/>
      <c r="S53" s="68"/>
      <c r="T53" s="68"/>
      <c r="U53" s="68"/>
      <c r="V53" s="68"/>
      <c r="W53" s="68"/>
      <c r="X53" s="68"/>
      <c r="Z53" s="68"/>
      <c r="AA53" s="68"/>
      <c r="AB53" s="68"/>
      <c r="AC53" s="68"/>
      <c r="AD53" s="68"/>
      <c r="AE53" s="68"/>
      <c r="AF53" s="68"/>
      <c r="AG53" s="70"/>
      <c r="AH53" s="70"/>
      <c r="AI53" s="70"/>
      <c r="AJ53" s="70"/>
      <c r="AK53" s="70"/>
      <c r="AL53" s="66"/>
      <c r="AM53" s="67"/>
      <c r="AN53" s="67"/>
      <c r="AO53" s="67"/>
      <c r="AP53" s="67"/>
      <c r="AQ53" s="68"/>
      <c r="AR53" s="68"/>
      <c r="AS53" s="68"/>
      <c r="AT53" s="68"/>
      <c r="AU53" s="68"/>
      <c r="AV53" s="68"/>
      <c r="AW53" s="70"/>
      <c r="AX53" s="70"/>
      <c r="AY53" s="70"/>
      <c r="AZ53" s="70"/>
      <c r="BA53" s="70"/>
    </row>
    <row r="54" spans="1:53" s="63" customFormat="1">
      <c r="A54" s="2233"/>
      <c r="B54" s="2233"/>
      <c r="C54" s="65"/>
      <c r="D54" s="64"/>
      <c r="I54" s="68"/>
      <c r="J54" s="67"/>
      <c r="L54" s="69"/>
      <c r="M54" s="69"/>
      <c r="N54" s="69"/>
      <c r="O54" s="69"/>
      <c r="P54" s="69"/>
      <c r="Q54" s="69"/>
      <c r="R54" s="69"/>
      <c r="S54" s="68"/>
      <c r="T54" s="68"/>
      <c r="U54" s="68"/>
      <c r="V54" s="68"/>
      <c r="W54" s="68"/>
      <c r="X54" s="68"/>
      <c r="Z54" s="68"/>
      <c r="AA54" s="68"/>
      <c r="AB54" s="68"/>
      <c r="AC54" s="68"/>
      <c r="AD54" s="68"/>
      <c r="AE54" s="68"/>
      <c r="AF54" s="68"/>
      <c r="AG54" s="70"/>
      <c r="AH54" s="70"/>
      <c r="AI54" s="70"/>
      <c r="AJ54" s="70"/>
      <c r="AK54" s="70"/>
      <c r="AL54" s="66"/>
      <c r="AM54" s="67"/>
      <c r="AN54" s="67"/>
      <c r="AO54" s="67"/>
      <c r="AP54" s="67"/>
      <c r="AQ54" s="68"/>
      <c r="AR54" s="68"/>
      <c r="AS54" s="68"/>
      <c r="AT54" s="68"/>
      <c r="AU54" s="68"/>
      <c r="AV54" s="68"/>
      <c r="AW54" s="70"/>
      <c r="AX54" s="70"/>
      <c r="AY54" s="70"/>
      <c r="AZ54" s="70"/>
      <c r="BA54" s="70"/>
    </row>
    <row r="55" spans="1:53" s="63" customFormat="1">
      <c r="A55" s="2233"/>
      <c r="B55" s="2233"/>
      <c r="C55" s="65"/>
      <c r="D55" s="64"/>
      <c r="I55" s="68"/>
      <c r="J55" s="67"/>
      <c r="L55" s="69"/>
      <c r="M55" s="69"/>
      <c r="N55" s="69"/>
      <c r="O55" s="69"/>
      <c r="P55" s="69"/>
      <c r="Q55" s="69"/>
      <c r="R55" s="69"/>
      <c r="S55" s="68"/>
      <c r="T55" s="68"/>
      <c r="U55" s="68"/>
      <c r="V55" s="68"/>
      <c r="W55" s="68"/>
      <c r="X55" s="68"/>
      <c r="Z55" s="68"/>
      <c r="AA55" s="68"/>
      <c r="AB55" s="68"/>
      <c r="AC55" s="68"/>
      <c r="AD55" s="68"/>
      <c r="AE55" s="68"/>
      <c r="AF55" s="68"/>
      <c r="AG55" s="70"/>
      <c r="AH55" s="70"/>
      <c r="AI55" s="70"/>
      <c r="AJ55" s="70"/>
      <c r="AK55" s="70"/>
      <c r="AL55" s="66"/>
      <c r="AM55" s="67"/>
      <c r="AN55" s="67"/>
      <c r="AO55" s="67"/>
      <c r="AP55" s="67"/>
      <c r="AQ55" s="68"/>
      <c r="AR55" s="68"/>
      <c r="AS55" s="68"/>
      <c r="AT55" s="68"/>
      <c r="AU55" s="68"/>
      <c r="AV55" s="68"/>
      <c r="AW55" s="70"/>
      <c r="AX55" s="70"/>
      <c r="AY55" s="70"/>
      <c r="AZ55" s="70"/>
      <c r="BA55" s="70"/>
    </row>
    <row r="56" spans="1:53" s="63" customFormat="1">
      <c r="A56" s="2233"/>
      <c r="B56" s="2233"/>
      <c r="C56" s="65"/>
      <c r="D56" s="64"/>
      <c r="I56" s="68"/>
      <c r="J56" s="67"/>
      <c r="L56" s="69"/>
      <c r="M56" s="69"/>
      <c r="N56" s="69"/>
      <c r="O56" s="69"/>
      <c r="P56" s="69"/>
      <c r="Q56" s="69"/>
      <c r="R56" s="69"/>
      <c r="S56" s="68"/>
      <c r="T56" s="68"/>
      <c r="U56" s="68"/>
      <c r="V56" s="68"/>
      <c r="W56" s="68"/>
      <c r="X56" s="68"/>
      <c r="Z56" s="68"/>
      <c r="AA56" s="68"/>
      <c r="AB56" s="68"/>
      <c r="AC56" s="68"/>
      <c r="AD56" s="68"/>
      <c r="AE56" s="68"/>
      <c r="AF56" s="68"/>
      <c r="AG56" s="70"/>
      <c r="AH56" s="70"/>
      <c r="AI56" s="70"/>
      <c r="AJ56" s="70"/>
      <c r="AK56" s="70"/>
      <c r="AL56" s="66"/>
      <c r="AM56" s="67"/>
      <c r="AN56" s="67"/>
      <c r="AO56" s="67"/>
      <c r="AP56" s="67"/>
      <c r="AQ56" s="68"/>
      <c r="AR56" s="68"/>
      <c r="AS56" s="68"/>
      <c r="AT56" s="68"/>
      <c r="AU56" s="68"/>
      <c r="AV56" s="68"/>
      <c r="AW56" s="70"/>
      <c r="AX56" s="70"/>
      <c r="AY56" s="70"/>
      <c r="AZ56" s="70"/>
      <c r="BA56" s="70"/>
    </row>
    <row r="57" spans="1:53" s="63" customFormat="1">
      <c r="A57" s="2233"/>
      <c r="B57" s="2233"/>
      <c r="C57" s="65"/>
      <c r="D57" s="64"/>
      <c r="I57" s="68"/>
      <c r="J57" s="67"/>
      <c r="L57" s="69"/>
      <c r="M57" s="69"/>
      <c r="N57" s="69"/>
      <c r="O57" s="69"/>
      <c r="P57" s="69"/>
      <c r="Q57" s="69"/>
      <c r="R57" s="69"/>
      <c r="S57" s="68"/>
      <c r="T57" s="68"/>
      <c r="U57" s="68"/>
      <c r="V57" s="68"/>
      <c r="W57" s="68"/>
      <c r="X57" s="68"/>
      <c r="Z57" s="68"/>
      <c r="AA57" s="68"/>
      <c r="AB57" s="68"/>
      <c r="AC57" s="68"/>
      <c r="AD57" s="68"/>
      <c r="AE57" s="68"/>
      <c r="AF57" s="68"/>
      <c r="AG57" s="70"/>
      <c r="AH57" s="70"/>
      <c r="AI57" s="70"/>
      <c r="AJ57" s="70"/>
      <c r="AK57" s="70"/>
      <c r="AL57" s="66"/>
      <c r="AM57" s="67"/>
      <c r="AN57" s="67"/>
      <c r="AO57" s="67"/>
      <c r="AP57" s="67"/>
      <c r="AQ57" s="68"/>
      <c r="AR57" s="68"/>
      <c r="AS57" s="68"/>
      <c r="AT57" s="68"/>
      <c r="AU57" s="68"/>
      <c r="AV57" s="68"/>
      <c r="AW57" s="70"/>
      <c r="AX57" s="70"/>
      <c r="AY57" s="70"/>
      <c r="AZ57" s="70"/>
      <c r="BA57" s="70"/>
    </row>
    <row r="58" spans="1:53" s="63" customFormat="1">
      <c r="A58" s="2233"/>
      <c r="B58" s="2233"/>
      <c r="C58" s="65"/>
      <c r="D58" s="64"/>
      <c r="I58" s="68"/>
      <c r="J58" s="67"/>
      <c r="L58" s="69"/>
      <c r="M58" s="69"/>
      <c r="N58" s="69"/>
      <c r="O58" s="69"/>
      <c r="P58" s="69"/>
      <c r="Q58" s="69"/>
      <c r="R58" s="69"/>
      <c r="S58" s="68"/>
      <c r="T58" s="68"/>
      <c r="U58" s="68"/>
      <c r="V58" s="68"/>
      <c r="W58" s="68"/>
      <c r="X58" s="68"/>
      <c r="Z58" s="68"/>
      <c r="AA58" s="68"/>
      <c r="AB58" s="68"/>
      <c r="AC58" s="68"/>
      <c r="AD58" s="68"/>
      <c r="AE58" s="68"/>
      <c r="AF58" s="68"/>
      <c r="AG58" s="70"/>
      <c r="AH58" s="70"/>
      <c r="AI58" s="70"/>
      <c r="AJ58" s="70"/>
      <c r="AK58" s="70"/>
      <c r="AL58" s="66"/>
      <c r="AM58" s="67"/>
      <c r="AN58" s="67"/>
      <c r="AO58" s="67"/>
      <c r="AP58" s="67"/>
      <c r="AQ58" s="68"/>
      <c r="AR58" s="68"/>
      <c r="AS58" s="68"/>
      <c r="AT58" s="68"/>
      <c r="AU58" s="68"/>
      <c r="AV58" s="68"/>
      <c r="AW58" s="70"/>
      <c r="AX58" s="70"/>
      <c r="AY58" s="70"/>
      <c r="AZ58" s="70"/>
      <c r="BA58" s="70"/>
    </row>
    <row r="59" spans="1:53" s="63" customFormat="1">
      <c r="A59" s="2233"/>
      <c r="B59" s="2233"/>
      <c r="C59" s="65"/>
      <c r="D59" s="64"/>
      <c r="I59" s="68"/>
      <c r="J59" s="67"/>
      <c r="L59" s="69"/>
      <c r="M59" s="69"/>
      <c r="N59" s="69"/>
      <c r="O59" s="69"/>
      <c r="P59" s="69"/>
      <c r="Q59" s="69"/>
      <c r="R59" s="69"/>
      <c r="S59" s="68"/>
      <c r="T59" s="68"/>
      <c r="U59" s="68"/>
      <c r="V59" s="68"/>
      <c r="W59" s="68"/>
      <c r="X59" s="68"/>
      <c r="Z59" s="68"/>
      <c r="AA59" s="68"/>
      <c r="AB59" s="68"/>
      <c r="AC59" s="68"/>
      <c r="AD59" s="68"/>
      <c r="AE59" s="68"/>
      <c r="AF59" s="68"/>
      <c r="AG59" s="70"/>
      <c r="AH59" s="70"/>
      <c r="AI59" s="70"/>
      <c r="AJ59" s="70"/>
      <c r="AK59" s="70"/>
      <c r="AL59" s="66"/>
      <c r="AM59" s="67"/>
      <c r="AN59" s="67"/>
      <c r="AO59" s="67"/>
      <c r="AP59" s="67"/>
      <c r="AQ59" s="68"/>
      <c r="AR59" s="68"/>
      <c r="AS59" s="68"/>
      <c r="AT59" s="68"/>
      <c r="AU59" s="68"/>
      <c r="AV59" s="68"/>
      <c r="AW59" s="70"/>
      <c r="AX59" s="70"/>
      <c r="AY59" s="70"/>
      <c r="AZ59" s="70"/>
      <c r="BA59" s="70"/>
    </row>
    <row r="60" spans="1:53" s="63" customFormat="1">
      <c r="A60" s="2233"/>
      <c r="B60" s="2233"/>
      <c r="C60" s="65"/>
      <c r="D60" s="64"/>
      <c r="I60" s="68"/>
      <c r="J60" s="67"/>
      <c r="L60" s="69"/>
      <c r="M60" s="69"/>
      <c r="N60" s="69"/>
      <c r="O60" s="69"/>
      <c r="P60" s="69"/>
      <c r="Q60" s="69"/>
      <c r="R60" s="69"/>
      <c r="S60" s="68"/>
      <c r="T60" s="68"/>
      <c r="U60" s="68"/>
      <c r="V60" s="68"/>
      <c r="W60" s="68"/>
      <c r="X60" s="68"/>
      <c r="Z60" s="68"/>
      <c r="AA60" s="68"/>
      <c r="AB60" s="68"/>
      <c r="AC60" s="68"/>
      <c r="AD60" s="68"/>
      <c r="AE60" s="68"/>
      <c r="AF60" s="68"/>
      <c r="AG60" s="70"/>
      <c r="AH60" s="70"/>
      <c r="AI60" s="70"/>
      <c r="AJ60" s="70"/>
      <c r="AK60" s="70"/>
      <c r="AL60" s="66"/>
      <c r="AM60" s="67"/>
      <c r="AN60" s="67"/>
      <c r="AO60" s="67"/>
      <c r="AP60" s="67"/>
      <c r="AQ60" s="68"/>
      <c r="AR60" s="68"/>
      <c r="AS60" s="68"/>
      <c r="AT60" s="68"/>
      <c r="AU60" s="68"/>
      <c r="AV60" s="68"/>
      <c r="AW60" s="70"/>
      <c r="AX60" s="70"/>
      <c r="AY60" s="70"/>
      <c r="AZ60" s="70"/>
      <c r="BA60" s="70"/>
    </row>
    <row r="61" spans="1:53" s="63" customFormat="1">
      <c r="A61" s="2233"/>
      <c r="B61" s="2233"/>
      <c r="C61" s="65"/>
      <c r="D61" s="64"/>
      <c r="I61" s="68"/>
      <c r="J61" s="67"/>
      <c r="L61" s="69"/>
      <c r="M61" s="69"/>
      <c r="N61" s="69"/>
      <c r="O61" s="69"/>
      <c r="P61" s="69"/>
      <c r="Q61" s="69"/>
      <c r="R61" s="69"/>
      <c r="S61" s="68"/>
      <c r="T61" s="68"/>
      <c r="U61" s="68"/>
      <c r="V61" s="68"/>
      <c r="W61" s="68"/>
      <c r="X61" s="68"/>
      <c r="Z61" s="68"/>
      <c r="AA61" s="68"/>
      <c r="AB61" s="68"/>
      <c r="AC61" s="68"/>
      <c r="AD61" s="68"/>
      <c r="AE61" s="68"/>
      <c r="AF61" s="68"/>
      <c r="AG61" s="70"/>
      <c r="AH61" s="70"/>
      <c r="AI61" s="70"/>
      <c r="AJ61" s="70"/>
      <c r="AK61" s="70"/>
      <c r="AL61" s="66"/>
      <c r="AM61" s="67"/>
      <c r="AN61" s="67"/>
      <c r="AO61" s="67"/>
      <c r="AP61" s="67"/>
      <c r="AQ61" s="68"/>
      <c r="AR61" s="68"/>
      <c r="AS61" s="68"/>
      <c r="AT61" s="68"/>
      <c r="AU61" s="68"/>
      <c r="AV61" s="68"/>
      <c r="AW61" s="70"/>
      <c r="AX61" s="70"/>
      <c r="AY61" s="70"/>
      <c r="AZ61" s="70"/>
      <c r="BA61" s="70"/>
    </row>
    <row r="62" spans="1:53" s="63" customFormat="1">
      <c r="A62" s="2233"/>
      <c r="B62" s="2233"/>
      <c r="C62" s="65"/>
      <c r="D62" s="64"/>
      <c r="I62" s="68"/>
      <c r="J62" s="67"/>
      <c r="L62" s="69"/>
      <c r="M62" s="69"/>
      <c r="N62" s="69"/>
      <c r="O62" s="69"/>
      <c r="P62" s="69"/>
      <c r="Q62" s="69"/>
      <c r="R62" s="69"/>
      <c r="S62" s="68"/>
      <c r="T62" s="68"/>
      <c r="U62" s="68"/>
      <c r="V62" s="68"/>
      <c r="W62" s="68"/>
      <c r="X62" s="68"/>
      <c r="Z62" s="68"/>
      <c r="AA62" s="68"/>
      <c r="AB62" s="68"/>
      <c r="AC62" s="68"/>
      <c r="AD62" s="68"/>
      <c r="AE62" s="68"/>
      <c r="AF62" s="68"/>
      <c r="AG62" s="70"/>
      <c r="AH62" s="70"/>
      <c r="AI62" s="70"/>
      <c r="AJ62" s="70"/>
      <c r="AK62" s="70"/>
      <c r="AL62" s="66"/>
      <c r="AM62" s="67"/>
      <c r="AN62" s="67"/>
      <c r="AO62" s="67"/>
      <c r="AP62" s="67"/>
      <c r="AQ62" s="68"/>
      <c r="AR62" s="68"/>
      <c r="AS62" s="68"/>
      <c r="AT62" s="68"/>
      <c r="AU62" s="68"/>
      <c r="AV62" s="68"/>
      <c r="AW62" s="70"/>
      <c r="AX62" s="70"/>
      <c r="AY62" s="70"/>
      <c r="AZ62" s="70"/>
      <c r="BA62" s="70"/>
    </row>
    <row r="63" spans="1:53" s="63" customFormat="1">
      <c r="A63" s="2233"/>
      <c r="B63" s="2233"/>
      <c r="C63" s="65"/>
      <c r="D63" s="64"/>
      <c r="I63" s="68"/>
      <c r="J63" s="67"/>
      <c r="L63" s="69"/>
      <c r="M63" s="69"/>
      <c r="N63" s="69"/>
      <c r="O63" s="69"/>
      <c r="P63" s="69"/>
      <c r="Q63" s="69"/>
      <c r="R63" s="69"/>
      <c r="S63" s="68"/>
      <c r="T63" s="68"/>
      <c r="U63" s="68"/>
      <c r="V63" s="68"/>
      <c r="W63" s="68"/>
      <c r="X63" s="68"/>
      <c r="Z63" s="68"/>
      <c r="AA63" s="68"/>
      <c r="AB63" s="68"/>
      <c r="AC63" s="68"/>
      <c r="AD63" s="68"/>
      <c r="AE63" s="68"/>
      <c r="AF63" s="68"/>
      <c r="AG63" s="70"/>
      <c r="AH63" s="70"/>
      <c r="AI63" s="70"/>
      <c r="AJ63" s="70"/>
      <c r="AK63" s="70"/>
      <c r="AL63" s="66"/>
      <c r="AM63" s="67"/>
      <c r="AN63" s="67"/>
      <c r="AO63" s="67"/>
      <c r="AP63" s="67"/>
      <c r="AQ63" s="68"/>
      <c r="AR63" s="68"/>
      <c r="AS63" s="68"/>
      <c r="AT63" s="68"/>
      <c r="AU63" s="68"/>
      <c r="AV63" s="68"/>
      <c r="AW63" s="70"/>
      <c r="AX63" s="70"/>
      <c r="AY63" s="70"/>
      <c r="AZ63" s="70"/>
      <c r="BA63" s="70"/>
    </row>
  </sheetData>
  <sheetProtection sheet="1" objects="1" scenarios="1"/>
  <mergeCells count="25">
    <mergeCell ref="AG40:AJ40"/>
    <mergeCell ref="Z40:AC40"/>
    <mergeCell ref="L5:P5"/>
    <mergeCell ref="AQ40:AU40"/>
    <mergeCell ref="A43:A63"/>
    <mergeCell ref="B43:B48"/>
    <mergeCell ref="B49:B63"/>
    <mergeCell ref="E5:H5"/>
    <mergeCell ref="B7:B12"/>
    <mergeCell ref="B13:B27"/>
    <mergeCell ref="A7:A12"/>
    <mergeCell ref="AX4:BA4"/>
    <mergeCell ref="AL4:AN4"/>
    <mergeCell ref="AG3:AJ3"/>
    <mergeCell ref="AG4:AJ4"/>
    <mergeCell ref="Z4:AD4"/>
    <mergeCell ref="AQ4:AU4"/>
    <mergeCell ref="Z3:AD3"/>
    <mergeCell ref="AL3:BA3"/>
    <mergeCell ref="D3:I3"/>
    <mergeCell ref="K4:P4"/>
    <mergeCell ref="K3:P3"/>
    <mergeCell ref="S4:W4"/>
    <mergeCell ref="S3:W3"/>
    <mergeCell ref="E4:I4"/>
  </mergeCells>
  <phoneticPr fontId="2"/>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enableFormatConditionsCalculation="0">
    <tabColor rgb="FFFFFF00"/>
  </sheetPr>
  <dimension ref="A1:I35"/>
  <sheetViews>
    <sheetView showGridLines="0" workbookViewId="0"/>
  </sheetViews>
  <sheetFormatPr defaultColWidth="8.85546875" defaultRowHeight="12.75"/>
  <cols>
    <col min="1" max="1" width="8.85546875" customWidth="1"/>
    <col min="2" max="2" width="19.42578125" customWidth="1"/>
    <col min="3" max="8" width="12.140625" customWidth="1"/>
    <col min="9" max="9" width="43" customWidth="1"/>
    <col min="10" max="10" width="9.28515625" bestFit="1" customWidth="1"/>
  </cols>
  <sheetData>
    <row r="1" spans="1:9" s="1263" customFormat="1" ht="19.5">
      <c r="A1" s="1261" t="str">
        <f>"Calc-Drivers for Method M ("&amp;'Calc-Net capex'!B5&amp;") for "&amp;Inputs!B6&amp;" in "&amp;Inputs!C6&amp;"  Status: "&amp;Inputs!D6&amp;""</f>
        <v>Calc-Drivers for Method M (LR1) for WPD South Wales in 2015/16  Status: 2014/15</v>
      </c>
    </row>
    <row r="4" spans="1:9" ht="14.25" customHeight="1"/>
    <row r="5" spans="1:9" ht="14.25" customHeight="1"/>
    <row r="6" spans="1:9" ht="14.25" customHeight="1"/>
    <row r="7" spans="1:9" ht="14.25" customHeight="1"/>
    <row r="8" spans="1:9" ht="14.25" customHeight="1"/>
    <row r="9" spans="1:9" ht="14.25" customHeight="1"/>
    <row r="10" spans="1:9" ht="14.25" customHeight="1"/>
    <row r="11" spans="1:9" ht="14.25" customHeight="1"/>
    <row r="12" spans="1:9" ht="14.25" customHeight="1"/>
    <row r="14" spans="1:9" s="8" customFormat="1">
      <c r="A14" s="8" t="s">
        <v>457</v>
      </c>
    </row>
    <row r="16" spans="1:9">
      <c r="B16" s="876" t="s">
        <v>891</v>
      </c>
      <c r="C16" s="876" t="s">
        <v>879</v>
      </c>
      <c r="D16" s="876" t="s">
        <v>619</v>
      </c>
      <c r="E16" s="876" t="s">
        <v>373</v>
      </c>
      <c r="F16" s="876" t="s">
        <v>238</v>
      </c>
      <c r="G16" s="876" t="s">
        <v>244</v>
      </c>
      <c r="H16" s="876" t="s">
        <v>245</v>
      </c>
      <c r="I16" s="878" t="s">
        <v>473</v>
      </c>
    </row>
    <row r="17" spans="2:9" ht="15" customHeight="1">
      <c r="B17" s="879" t="s">
        <v>403</v>
      </c>
      <c r="C17" s="15">
        <f>'Calc-Net capex'!H6*SUM('FBPQ NL1'!D10:M13)/SUM('FBPQ NL1'!D10:M16)</f>
        <v>8.1165232531706127E-2</v>
      </c>
      <c r="D17" s="15">
        <f>'Calc-Net capex'!H6*SUM('FBPQ NL1'!D14:M16)/SUM('FBPQ NL1'!D10:M16)</f>
        <v>0.11643740686583239</v>
      </c>
      <c r="E17" s="15">
        <f>'Calc-Net capex'!H7</f>
        <v>9.2459849908730962E-2</v>
      </c>
      <c r="F17" s="15">
        <f>'Calc-Net capex'!H8</f>
        <v>0.37302021519273526</v>
      </c>
      <c r="G17" s="40">
        <f>'Calc-Net capex'!H9+'Calc-Net capex'!H10</f>
        <v>0.33691729550099531</v>
      </c>
      <c r="H17" s="40"/>
      <c r="I17" s="27" t="s">
        <v>374</v>
      </c>
    </row>
    <row r="18" spans="2:9" ht="15" customHeight="1">
      <c r="B18" s="879" t="s">
        <v>905</v>
      </c>
      <c r="C18" s="16">
        <v>1</v>
      </c>
      <c r="D18" s="16">
        <v>0</v>
      </c>
      <c r="E18" s="16">
        <v>0</v>
      </c>
      <c r="F18" s="16">
        <v>0</v>
      </c>
      <c r="G18" s="41">
        <v>0</v>
      </c>
      <c r="H18" s="41">
        <f t="shared" ref="H18:H27" si="0">SUM(C18:G18)</f>
        <v>1</v>
      </c>
      <c r="I18" s="877" t="s">
        <v>477</v>
      </c>
    </row>
    <row r="19" spans="2:9" ht="15" customHeight="1">
      <c r="B19" s="879" t="s">
        <v>472</v>
      </c>
      <c r="C19" s="16"/>
      <c r="D19" s="16">
        <f>'RRP 5.1'!$G$64/'RRP 5.1'!$G$65</f>
        <v>0.40074253917647679</v>
      </c>
      <c r="E19" s="16">
        <v>0</v>
      </c>
      <c r="F19" s="16">
        <f>'RRP 5.1'!$G$63/'RRP 5.1'!$G$65</f>
        <v>0.50561680405020537</v>
      </c>
      <c r="G19" s="41">
        <f>('RRP 5.1'!$G$61+'RRP 5.1'!$G$62)/'RRP 5.1'!$G$65</f>
        <v>9.3640656773317954E-2</v>
      </c>
      <c r="H19" s="41">
        <f t="shared" si="0"/>
        <v>1</v>
      </c>
      <c r="I19" s="877" t="s">
        <v>474</v>
      </c>
    </row>
    <row r="20" spans="2:9" ht="15" customHeight="1">
      <c r="B20" s="879" t="s">
        <v>906</v>
      </c>
      <c r="C20" s="16"/>
      <c r="D20" s="16">
        <f>0/'RRP 5.1'!$G$73</f>
        <v>0</v>
      </c>
      <c r="E20" s="16">
        <v>0</v>
      </c>
      <c r="F20" s="16">
        <f>('RRP 5.1'!$G$71+'RRP 5.1'!$G$72)/'RRP 5.1'!$G$73</f>
        <v>0.99313034725717164</v>
      </c>
      <c r="G20" s="41">
        <f>('RRP 5.1'!$G$68+'RRP 5.1'!$G$69+'RRP 5.1'!$G$70)/'RRP 5.1'!$G$73</f>
        <v>6.8696527428283843E-3</v>
      </c>
      <c r="H20" s="41">
        <f t="shared" si="0"/>
        <v>1</v>
      </c>
      <c r="I20" s="877" t="s">
        <v>474</v>
      </c>
    </row>
    <row r="21" spans="2:9" ht="15" customHeight="1">
      <c r="B21" s="879" t="s">
        <v>639</v>
      </c>
      <c r="C21" s="16"/>
      <c r="D21" s="16">
        <v>0</v>
      </c>
      <c r="E21" s="16">
        <v>0</v>
      </c>
      <c r="F21" s="16">
        <v>0</v>
      </c>
      <c r="G21" s="41">
        <v>1</v>
      </c>
      <c r="H21" s="41">
        <f t="shared" si="0"/>
        <v>1</v>
      </c>
      <c r="I21" s="877" t="s">
        <v>477</v>
      </c>
    </row>
    <row r="22" spans="2:9" ht="15" customHeight="1">
      <c r="B22" s="879" t="s">
        <v>478</v>
      </c>
      <c r="C22" s="1331">
        <f>'Calc-MEAV'!H6*(('Data-MEAV'!I21+'Data-MEAV'!I30)/'Calc-MEAV'!G6)</f>
        <v>0.16660121921463145</v>
      </c>
      <c r="D22" s="1331">
        <f>'Calc-MEAV'!H6*(('Calc-MEAV'!G6-'Data-MEAV'!I21-'Data-MEAV'!I30)/'Calc-MEAV'!G6)</f>
        <v>0.28236489337795212</v>
      </c>
      <c r="E22" s="1331">
        <f>'Calc-MEAV'!H7</f>
        <v>7.0613423528999547E-2</v>
      </c>
      <c r="F22" s="1331">
        <f>'Calc-MEAV'!H8</f>
        <v>0.28852097487445499</v>
      </c>
      <c r="G22" s="1331">
        <f>'Calc-MEAV'!H9+'Calc-MEAV'!H10</f>
        <v>0.19189948900396195</v>
      </c>
      <c r="H22" s="1331">
        <f t="shared" si="0"/>
        <v>1.0000000000000002</v>
      </c>
      <c r="I22" s="42" t="s">
        <v>375</v>
      </c>
    </row>
    <row r="23" spans="2:9" ht="15" customHeight="1">
      <c r="C23" s="1332"/>
      <c r="D23" s="1332"/>
      <c r="E23" s="1332"/>
      <c r="F23" s="1332"/>
      <c r="G23" s="1332"/>
      <c r="H23" s="1332"/>
    </row>
    <row r="24" spans="2:9" ht="15" customHeight="1">
      <c r="C24" s="1332"/>
      <c r="D24" s="1332"/>
      <c r="E24" s="1332"/>
      <c r="F24" s="1332"/>
      <c r="G24" s="1332"/>
      <c r="H24" s="1332"/>
    </row>
    <row r="25" spans="2:9" ht="15" customHeight="1">
      <c r="B25" s="879" t="s">
        <v>640</v>
      </c>
      <c r="C25" s="1331"/>
      <c r="D25" s="1331">
        <v>0</v>
      </c>
      <c r="E25" s="1331">
        <v>0</v>
      </c>
      <c r="F25" s="1331">
        <v>0</v>
      </c>
      <c r="G25" s="1331">
        <v>1</v>
      </c>
      <c r="H25" s="1331">
        <f t="shared" si="0"/>
        <v>1</v>
      </c>
      <c r="I25" s="877" t="s">
        <v>477</v>
      </c>
    </row>
    <row r="26" spans="2:9" ht="15" customHeight="1">
      <c r="B26" s="879" t="s">
        <v>418</v>
      </c>
      <c r="C26" s="1331"/>
      <c r="D26" s="1331">
        <v>1</v>
      </c>
      <c r="E26" s="1331">
        <v>0</v>
      </c>
      <c r="F26" s="1331">
        <v>0</v>
      </c>
      <c r="G26" s="1331">
        <v>0</v>
      </c>
      <c r="H26" s="1331">
        <f t="shared" si="0"/>
        <v>1</v>
      </c>
      <c r="I26" s="877" t="s">
        <v>477</v>
      </c>
    </row>
    <row r="27" spans="2:9" ht="15" customHeight="1">
      <c r="B27" s="1308" t="s">
        <v>419</v>
      </c>
      <c r="C27" s="1333"/>
      <c r="D27" s="1333">
        <v>0</v>
      </c>
      <c r="E27" s="1333">
        <v>0</v>
      </c>
      <c r="F27" s="1333">
        <v>1</v>
      </c>
      <c r="G27" s="1333">
        <v>0</v>
      </c>
      <c r="H27" s="1333">
        <f t="shared" si="0"/>
        <v>1</v>
      </c>
      <c r="I27" s="92" t="s">
        <v>477</v>
      </c>
    </row>
    <row r="29" spans="2:9">
      <c r="B29" s="7"/>
      <c r="C29" s="7"/>
      <c r="D29" s="7"/>
      <c r="E29" s="7"/>
      <c r="F29" s="7"/>
    </row>
    <row r="30" spans="2:9">
      <c r="B30" s="7"/>
      <c r="C30" s="7"/>
      <c r="D30" s="7"/>
      <c r="E30" s="7"/>
      <c r="F30" s="7"/>
    </row>
    <row r="31" spans="2:9" s="31" customFormat="1" ht="114.75">
      <c r="B31" s="1297" t="s">
        <v>891</v>
      </c>
      <c r="C31" s="1298" t="s">
        <v>986</v>
      </c>
      <c r="D31" s="1299" t="s">
        <v>987</v>
      </c>
      <c r="E31" s="1299" t="s">
        <v>988</v>
      </c>
      <c r="F31" s="1300" t="s">
        <v>473</v>
      </c>
    </row>
    <row r="32" spans="2:9" s="31" customFormat="1" ht="25.5">
      <c r="B32" s="1298" t="s">
        <v>989</v>
      </c>
      <c r="C32" s="1301">
        <f>Inputs!B35</f>
        <v>151382220.85402346</v>
      </c>
      <c r="D32" s="1302">
        <f>SUM(Inputs!C30:G30)</f>
        <v>787932621.02201462</v>
      </c>
      <c r="E32" s="1303">
        <f>D32/(C32+D32)</f>
        <v>0.83883761428524151</v>
      </c>
      <c r="F32" s="1304" t="s">
        <v>990</v>
      </c>
    </row>
    <row r="33" spans="2:6">
      <c r="B33" s="181"/>
      <c r="C33" s="182"/>
      <c r="D33" s="182"/>
      <c r="E33" s="182"/>
      <c r="F33" s="183"/>
    </row>
    <row r="34" spans="2:6">
      <c r="B34" s="7"/>
      <c r="C34" s="7"/>
      <c r="D34" s="7"/>
      <c r="E34" s="7"/>
      <c r="F34" s="7"/>
    </row>
    <row r="35" spans="2:6">
      <c r="B35" s="7"/>
      <c r="C35" s="7"/>
      <c r="D35" s="7"/>
      <c r="E35" s="7"/>
      <c r="F35" s="7"/>
    </row>
  </sheetData>
  <sheetProtection sheet="1" objects="1" scenarios="1"/>
  <phoneticPr fontId="0" type="noConversion"/>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enableFormatConditionsCalculation="0">
    <tabColor rgb="FFFFFF00"/>
    <pageSetUpPr fitToPage="1"/>
  </sheetPr>
  <dimension ref="A1:AW83"/>
  <sheetViews>
    <sheetView showGridLines="0" workbookViewId="0"/>
  </sheetViews>
  <sheetFormatPr defaultColWidth="8.85546875" defaultRowHeight="12.75"/>
  <cols>
    <col min="1" max="1" width="8.85546875" customWidth="1"/>
    <col min="2" max="2" width="32" customWidth="1"/>
    <col min="3" max="3" width="8.85546875" customWidth="1"/>
    <col min="4" max="4" width="18.7109375" customWidth="1"/>
    <col min="5" max="8" width="8.85546875" customWidth="1"/>
    <col min="9" max="9" width="12" customWidth="1"/>
    <col min="10" max="10" width="9.7109375" customWidth="1"/>
    <col min="11" max="11" width="8.85546875" customWidth="1"/>
    <col min="12" max="12" width="12.85546875" customWidth="1"/>
    <col min="13" max="13" width="14.85546875" customWidth="1"/>
    <col min="14" max="15" width="12.85546875" customWidth="1"/>
    <col min="16" max="16" width="9.28515625" bestFit="1" customWidth="1"/>
    <col min="17" max="17" width="8.85546875" customWidth="1"/>
    <col min="18" max="18" width="9.28515625" bestFit="1" customWidth="1"/>
    <col min="19" max="19" width="10.42578125" bestFit="1" customWidth="1"/>
    <col min="20" max="40" width="8.85546875" customWidth="1"/>
    <col min="41" max="44" width="10.28515625" bestFit="1" customWidth="1"/>
    <col min="45" max="45" width="9.42578125" bestFit="1" customWidth="1"/>
  </cols>
  <sheetData>
    <row r="1" spans="1:49" s="1263" customFormat="1" ht="19.5">
      <c r="A1" s="1261" t="str">
        <f>"DNO Final Allocation for Method M ("&amp;'Calc-Net capex'!B5&amp;") for "&amp;Inputs!B6&amp;" in "&amp;Inputs!C6&amp;"  Status: "&amp;Inputs!D6&amp;""</f>
        <v>DNO Final Allocation for Method M (LR1) for WPD South Wales in 2015/16  Status: 2014/15</v>
      </c>
    </row>
    <row r="3" spans="1:49" s="208" customFormat="1">
      <c r="A3" s="208" t="s">
        <v>655</v>
      </c>
    </row>
    <row r="4" spans="1:49">
      <c r="A4" s="230"/>
    </row>
    <row r="5" spans="1:49">
      <c r="A5" s="43"/>
      <c r="B5" s="43"/>
      <c r="C5" s="43"/>
      <c r="D5" s="43"/>
      <c r="E5" s="43"/>
      <c r="F5" s="43"/>
      <c r="G5" s="43"/>
      <c r="H5" s="43"/>
      <c r="I5" s="43"/>
      <c r="J5" s="43"/>
      <c r="K5" s="43"/>
      <c r="L5" s="43"/>
      <c r="M5" s="43"/>
      <c r="N5" s="43"/>
      <c r="O5" s="120"/>
      <c r="P5" s="120"/>
      <c r="Q5" s="120"/>
      <c r="R5" s="120"/>
      <c r="S5" s="120"/>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row>
    <row r="6" spans="1:49">
      <c r="A6" s="43"/>
      <c r="B6" s="128" t="s">
        <v>448</v>
      </c>
      <c r="C6" s="128"/>
      <c r="D6" s="128"/>
      <c r="E6" s="128"/>
      <c r="F6" s="128"/>
      <c r="G6" s="128"/>
      <c r="H6" s="128"/>
      <c r="I6" s="128"/>
      <c r="J6" s="128"/>
      <c r="K6" s="128"/>
      <c r="L6" s="128" t="s">
        <v>449</v>
      </c>
      <c r="M6" s="128"/>
      <c r="N6" s="128"/>
      <c r="O6" s="128"/>
      <c r="P6" s="128"/>
      <c r="Q6" s="128"/>
      <c r="R6" s="128"/>
      <c r="S6" s="128"/>
      <c r="T6" s="128"/>
      <c r="U6" s="43"/>
      <c r="V6" s="43"/>
      <c r="W6" s="43"/>
      <c r="X6" s="43"/>
      <c r="Y6" s="43"/>
      <c r="Z6" s="43"/>
      <c r="AA6" s="43"/>
      <c r="AB6" s="43"/>
      <c r="AC6" s="43"/>
    </row>
    <row r="7" spans="1:49">
      <c r="A7" s="43"/>
      <c r="B7" s="128"/>
      <c r="C7" s="128"/>
      <c r="D7" s="128"/>
      <c r="E7" s="128"/>
      <c r="F7" s="128"/>
      <c r="G7" s="128"/>
      <c r="H7" s="128"/>
      <c r="I7" s="128"/>
      <c r="J7" s="128"/>
      <c r="K7" s="128"/>
      <c r="L7" s="128"/>
      <c r="M7" s="128"/>
      <c r="N7" s="128"/>
      <c r="O7" s="128"/>
      <c r="P7" s="128"/>
      <c r="Q7" s="128"/>
      <c r="R7" s="128"/>
      <c r="S7" s="128"/>
      <c r="T7" s="128"/>
      <c r="U7" s="43"/>
      <c r="V7" s="43"/>
      <c r="W7" s="43"/>
      <c r="X7" s="43"/>
      <c r="Y7" s="43"/>
      <c r="Z7" s="43"/>
      <c r="AA7" s="43"/>
      <c r="AB7" s="43"/>
      <c r="AC7" s="43"/>
    </row>
    <row r="8" spans="1:49">
      <c r="A8" s="43"/>
      <c r="B8" s="128"/>
      <c r="C8" s="128"/>
      <c r="D8" s="944" t="s">
        <v>32</v>
      </c>
      <c r="E8" s="944" t="s">
        <v>33</v>
      </c>
      <c r="F8" s="944"/>
      <c r="G8" s="944" t="s">
        <v>29</v>
      </c>
      <c r="H8" s="944" t="s">
        <v>34</v>
      </c>
      <c r="I8" s="944" t="s">
        <v>35</v>
      </c>
      <c r="J8" s="128"/>
      <c r="K8" s="128"/>
      <c r="L8" s="128"/>
      <c r="M8" s="128"/>
      <c r="N8" s="128"/>
      <c r="O8" s="942" t="s">
        <v>32</v>
      </c>
      <c r="P8" s="942" t="s">
        <v>33</v>
      </c>
      <c r="Q8" s="942" t="s">
        <v>29</v>
      </c>
      <c r="R8" s="942" t="s">
        <v>34</v>
      </c>
      <c r="S8" s="942" t="s">
        <v>35</v>
      </c>
      <c r="T8" s="128"/>
      <c r="U8" s="43"/>
      <c r="V8" s="43"/>
      <c r="W8" s="43"/>
      <c r="X8" s="43"/>
      <c r="Y8" s="43"/>
      <c r="Z8" s="43"/>
      <c r="AA8" s="43"/>
      <c r="AB8" s="43"/>
      <c r="AC8" s="43"/>
    </row>
    <row r="9" spans="1:49">
      <c r="A9" s="43"/>
      <c r="B9" s="128"/>
      <c r="C9" s="128"/>
      <c r="D9" s="129"/>
      <c r="E9" s="129"/>
      <c r="F9" s="129"/>
      <c r="G9" s="129"/>
      <c r="H9" s="129"/>
      <c r="I9" s="129"/>
      <c r="J9" s="129"/>
      <c r="K9" s="128"/>
      <c r="L9" s="128" t="s">
        <v>596</v>
      </c>
      <c r="M9" s="128"/>
      <c r="N9" s="128"/>
      <c r="O9" s="943">
        <f>'Allowed revenue -DPCR4'!D3</f>
        <v>573.6</v>
      </c>
      <c r="P9" s="943">
        <f>'Allowed revenue -DPCR4'!E3</f>
        <v>577.79999999999995</v>
      </c>
      <c r="Q9" s="943">
        <f>'Allowed revenue -DPCR4'!F3</f>
        <v>579.29999999999995</v>
      </c>
      <c r="R9" s="943">
        <f>'Allowed revenue -DPCR4'!G3</f>
        <v>578.4</v>
      </c>
      <c r="S9" s="943">
        <f>'Allowed revenue -DPCR4'!H3</f>
        <v>575</v>
      </c>
      <c r="T9" s="128"/>
      <c r="U9" s="43"/>
      <c r="V9" s="43"/>
      <c r="W9" s="43"/>
      <c r="X9" s="43"/>
      <c r="Y9" s="43"/>
      <c r="Z9" s="43"/>
      <c r="AA9" s="43"/>
      <c r="AB9" s="43"/>
      <c r="AC9" s="43"/>
    </row>
    <row r="10" spans="1:49">
      <c r="A10" s="43"/>
      <c r="B10" s="128" t="s">
        <v>597</v>
      </c>
      <c r="C10" s="128"/>
      <c r="D10" s="950">
        <f>O35</f>
        <v>140.70458227880613</v>
      </c>
      <c r="E10" s="950">
        <f>P35</f>
        <v>142.53374184843059</v>
      </c>
      <c r="F10" s="950"/>
      <c r="G10" s="950">
        <f>Q35</f>
        <v>144.36290141805509</v>
      </c>
      <c r="H10" s="950">
        <f>R35</f>
        <v>145.91065182312195</v>
      </c>
      <c r="I10" s="950">
        <f>S35</f>
        <v>147.73981139274645</v>
      </c>
      <c r="J10" s="129"/>
      <c r="K10" s="128"/>
      <c r="L10" s="128" t="s">
        <v>598</v>
      </c>
      <c r="M10" s="128"/>
      <c r="N10" s="128"/>
      <c r="O10" s="943">
        <f>'Allowed revenue -DPCR4'!D4</f>
        <v>49.9</v>
      </c>
      <c r="P10" s="943">
        <f>'Allowed revenue -DPCR4'!E4</f>
        <v>49.7</v>
      </c>
      <c r="Q10" s="943">
        <f>'Allowed revenue -DPCR4'!F4</f>
        <v>49.7</v>
      </c>
      <c r="R10" s="943">
        <f>'Allowed revenue -DPCR4'!G4</f>
        <v>49.7</v>
      </c>
      <c r="S10" s="943">
        <f>'Allowed revenue -DPCR4'!H4</f>
        <v>49.7</v>
      </c>
      <c r="T10" s="129"/>
      <c r="U10" s="43"/>
      <c r="V10" s="43"/>
      <c r="W10" s="43"/>
      <c r="X10" s="43"/>
      <c r="Y10" s="43"/>
      <c r="Z10" s="43"/>
      <c r="AA10" s="43"/>
      <c r="AB10" s="43"/>
      <c r="AC10" s="43"/>
    </row>
    <row r="11" spans="1:49">
      <c r="A11" s="43"/>
      <c r="B11" s="128"/>
      <c r="C11" s="128"/>
      <c r="D11" s="949"/>
      <c r="E11" s="949"/>
      <c r="F11" s="949"/>
      <c r="G11" s="949"/>
      <c r="H11" s="949"/>
      <c r="I11" s="949"/>
      <c r="J11" s="128"/>
      <c r="K11" s="128"/>
      <c r="L11" s="128" t="s">
        <v>437</v>
      </c>
      <c r="M11" s="128"/>
      <c r="N11" s="128"/>
      <c r="O11" s="943">
        <f>'Allowed revenue -DPCR4'!D5</f>
        <v>-45.7</v>
      </c>
      <c r="P11" s="943">
        <f>'Allowed revenue -DPCR4'!E5</f>
        <v>-48.2</v>
      </c>
      <c r="Q11" s="943">
        <f>'Allowed revenue -DPCR4'!F5</f>
        <v>-50.6</v>
      </c>
      <c r="R11" s="943">
        <f>'Allowed revenue -DPCR4'!G5</f>
        <v>-53.1</v>
      </c>
      <c r="S11" s="943">
        <f>'Allowed revenue -DPCR4'!H5</f>
        <v>-55.6</v>
      </c>
      <c r="T11" s="129"/>
      <c r="U11" s="43"/>
      <c r="V11" s="43"/>
      <c r="W11" s="43"/>
      <c r="X11" s="43"/>
      <c r="Y11" s="43"/>
      <c r="Z11" s="43"/>
      <c r="AA11" s="43"/>
      <c r="AB11" s="43"/>
      <c r="AC11" s="43"/>
    </row>
    <row r="12" spans="1:49">
      <c r="A12" s="43"/>
      <c r="B12" s="941" t="s">
        <v>893</v>
      </c>
      <c r="C12" s="128"/>
      <c r="D12" s="949">
        <f>O16+(1-0.577)*O18</f>
        <v>47.230000000000004</v>
      </c>
      <c r="E12" s="949">
        <f>P16+(1-0.577)*P18</f>
        <v>48.6877</v>
      </c>
      <c r="F12" s="949"/>
      <c r="G12" s="949">
        <f>Q16+(1-0.577)*Q18</f>
        <v>49.4146</v>
      </c>
      <c r="H12" s="949">
        <f>R16+(1-0.577)*R18</f>
        <v>49.099200000000003</v>
      </c>
      <c r="I12" s="949">
        <f>S16+(1-0.577)*S18</f>
        <v>48.741499999999995</v>
      </c>
      <c r="J12" s="128"/>
      <c r="K12" s="128"/>
      <c r="L12" s="128" t="s">
        <v>361</v>
      </c>
      <c r="M12" s="128"/>
      <c r="N12" s="128"/>
      <c r="O12" s="943">
        <f>'Allowed revenue -DPCR4'!D6</f>
        <v>577.79999999999995</v>
      </c>
      <c r="P12" s="943">
        <f>'Allowed revenue -DPCR4'!E6</f>
        <v>579.29999999999995</v>
      </c>
      <c r="Q12" s="943">
        <f>'Allowed revenue -DPCR4'!F6</f>
        <v>578.4</v>
      </c>
      <c r="R12" s="943">
        <f>'Allowed revenue -DPCR4'!G6</f>
        <v>575</v>
      </c>
      <c r="S12" s="943">
        <f>'Allowed revenue -DPCR4'!H6</f>
        <v>569.1</v>
      </c>
      <c r="T12" s="128"/>
      <c r="U12" s="43"/>
      <c r="V12" s="43"/>
      <c r="W12" s="43"/>
      <c r="X12" s="43"/>
      <c r="Y12" s="43"/>
      <c r="Z12" s="43"/>
      <c r="AA12" s="43"/>
      <c r="AB12" s="43"/>
      <c r="AC12" s="43"/>
    </row>
    <row r="13" spans="1:49">
      <c r="A13" s="43"/>
      <c r="B13" s="128" t="s">
        <v>362</v>
      </c>
      <c r="C13" s="128"/>
      <c r="D13" s="950">
        <f>O22</f>
        <v>1.6</v>
      </c>
      <c r="E13" s="950">
        <f>P22</f>
        <v>1.6</v>
      </c>
      <c r="F13" s="950">
        <f>Q22</f>
        <v>1.6</v>
      </c>
      <c r="G13" s="950">
        <f>Q22</f>
        <v>1.6</v>
      </c>
      <c r="H13" s="950">
        <f>R22</f>
        <v>1.3</v>
      </c>
      <c r="I13" s="950">
        <f>S22</f>
        <v>1.3</v>
      </c>
      <c r="J13" s="128"/>
      <c r="K13" s="128"/>
      <c r="L13" s="128" t="s">
        <v>363</v>
      </c>
      <c r="M13" s="128"/>
      <c r="N13" s="128"/>
      <c r="O13" s="943">
        <f>'Allowed revenue -DPCR4'!D7</f>
        <v>0</v>
      </c>
      <c r="P13" s="943"/>
      <c r="Q13" s="943" t="str">
        <f>'Allowed revenue -DPCR4'!F7</f>
        <v xml:space="preserve"> </v>
      </c>
      <c r="R13" s="943"/>
      <c r="S13" s="943">
        <f>'Allowed revenue -DPCR4'!H7</f>
        <v>434.51048876277451</v>
      </c>
      <c r="T13" s="131"/>
      <c r="U13" s="43"/>
      <c r="V13" s="43"/>
      <c r="W13" s="43"/>
      <c r="X13" s="43"/>
      <c r="Y13" s="43"/>
      <c r="Z13" s="43"/>
      <c r="AA13" s="43"/>
      <c r="AB13" s="43"/>
      <c r="AC13" s="43"/>
    </row>
    <row r="14" spans="1:49">
      <c r="A14" s="43"/>
      <c r="B14" s="128" t="s">
        <v>364</v>
      </c>
      <c r="C14" s="128"/>
      <c r="D14" s="950">
        <f>O23</f>
        <v>0.9</v>
      </c>
      <c r="E14" s="950"/>
      <c r="F14" s="950"/>
      <c r="G14" s="950"/>
      <c r="H14" s="950"/>
      <c r="I14" s="950"/>
      <c r="J14" s="129"/>
      <c r="K14" s="128"/>
      <c r="L14" s="128" t="s">
        <v>365</v>
      </c>
      <c r="M14" s="128"/>
      <c r="N14" s="128"/>
      <c r="O14" s="943"/>
      <c r="P14" s="943" t="str">
        <f>'Allowed revenue -DPCR4'!E8</f>
        <v xml:space="preserve"> </v>
      </c>
      <c r="Q14" s="943"/>
      <c r="R14" s="943"/>
      <c r="S14" s="943">
        <f>'Allowed revenue -DPCR4'!H8</f>
        <v>139.08951123722551</v>
      </c>
      <c r="T14" s="131"/>
      <c r="U14" s="43"/>
      <c r="V14" s="43"/>
      <c r="W14" s="43"/>
      <c r="X14" s="43"/>
      <c r="Y14" s="43"/>
      <c r="Z14" s="43"/>
      <c r="AA14" s="43"/>
      <c r="AB14" s="43"/>
      <c r="AC14" s="43"/>
    </row>
    <row r="15" spans="1:49">
      <c r="A15" s="43"/>
      <c r="B15" s="128" t="s">
        <v>367</v>
      </c>
      <c r="C15" s="128"/>
      <c r="D15" s="949">
        <f>SUM(D12:D14)</f>
        <v>49.730000000000004</v>
      </c>
      <c r="E15" s="949">
        <f>SUM(E12:E14)</f>
        <v>50.287700000000001</v>
      </c>
      <c r="F15" s="949"/>
      <c r="G15" s="949">
        <f>SUM(G12:G14)</f>
        <v>51.014600000000002</v>
      </c>
      <c r="H15" s="949">
        <f>SUM(H12:H14)</f>
        <v>50.3992</v>
      </c>
      <c r="I15" s="949">
        <f>SUM(I12:I14)</f>
        <v>50.041499999999992</v>
      </c>
      <c r="J15" s="128"/>
      <c r="K15" s="128"/>
      <c r="L15" s="128"/>
      <c r="M15" s="128"/>
      <c r="N15" s="128"/>
      <c r="O15" s="944"/>
      <c r="P15" s="944"/>
      <c r="Q15" s="944"/>
      <c r="R15" s="944"/>
      <c r="S15" s="944"/>
      <c r="T15" s="128"/>
      <c r="U15" s="43"/>
      <c r="V15" s="43"/>
      <c r="W15" s="43"/>
      <c r="X15" s="43"/>
      <c r="Y15" s="43"/>
      <c r="Z15" s="43"/>
      <c r="AA15" s="43"/>
      <c r="AB15" s="43"/>
      <c r="AC15" s="43"/>
    </row>
    <row r="16" spans="1:49">
      <c r="A16" s="43"/>
      <c r="B16" s="128"/>
      <c r="C16" s="128"/>
      <c r="D16" s="949"/>
      <c r="E16" s="949"/>
      <c r="F16" s="949"/>
      <c r="G16" s="949"/>
      <c r="H16" s="949"/>
      <c r="I16" s="949"/>
      <c r="J16" s="128"/>
      <c r="K16" s="128"/>
      <c r="L16" s="128" t="s">
        <v>331</v>
      </c>
      <c r="M16" s="128"/>
      <c r="N16" s="128"/>
      <c r="O16" s="945">
        <f>'Allowed revenue -DPCR4'!D10</f>
        <v>43</v>
      </c>
      <c r="P16" s="945">
        <f>'Allowed revenue -DPCR4'!E10</f>
        <v>44.5</v>
      </c>
      <c r="Q16" s="945">
        <f>'Allowed revenue -DPCR4'!F10</f>
        <v>45.1</v>
      </c>
      <c r="R16" s="945">
        <f>'Allowed revenue -DPCR4'!G10</f>
        <v>44.7</v>
      </c>
      <c r="S16" s="945">
        <f>'Allowed revenue -DPCR4'!H10</f>
        <v>44.3</v>
      </c>
      <c r="T16" s="129"/>
      <c r="U16" s="43"/>
      <c r="V16" s="43"/>
      <c r="W16" s="43"/>
      <c r="X16" s="43"/>
      <c r="Y16" s="43"/>
      <c r="Z16" s="43"/>
      <c r="AA16" s="43"/>
      <c r="AB16" s="43"/>
      <c r="AC16" s="43"/>
    </row>
    <row r="17" spans="1:29">
      <c r="A17" s="43"/>
      <c r="B17" s="128" t="s">
        <v>332</v>
      </c>
      <c r="C17" s="128"/>
      <c r="D17" s="949"/>
      <c r="E17" s="949"/>
      <c r="F17" s="949"/>
      <c r="G17" s="949"/>
      <c r="H17" s="949"/>
      <c r="I17" s="949"/>
      <c r="J17" s="128"/>
      <c r="K17" s="128"/>
      <c r="L17" s="128" t="s">
        <v>333</v>
      </c>
      <c r="M17" s="128"/>
      <c r="N17" s="128"/>
      <c r="O17" s="945">
        <f>'Allowed revenue -DPCR4'!D11</f>
        <v>44.1</v>
      </c>
      <c r="P17" s="945">
        <f>'Allowed revenue -DPCR4'!E11</f>
        <v>44</v>
      </c>
      <c r="Q17" s="945">
        <f>'Allowed revenue -DPCR4'!F11</f>
        <v>43.8</v>
      </c>
      <c r="R17" s="945">
        <f>'Allowed revenue -DPCR4'!G11</f>
        <v>43.7</v>
      </c>
      <c r="S17" s="945">
        <f>'Allowed revenue -DPCR4'!H11</f>
        <v>43.6</v>
      </c>
      <c r="T17" s="129"/>
      <c r="U17" s="43"/>
      <c r="V17" s="43"/>
      <c r="W17" s="43"/>
      <c r="X17" s="43"/>
      <c r="Y17" s="43"/>
      <c r="Z17" s="43"/>
      <c r="AA17" s="43"/>
      <c r="AB17" s="43"/>
      <c r="AC17" s="43"/>
    </row>
    <row r="18" spans="1:29">
      <c r="A18" s="43"/>
      <c r="B18" s="128" t="s">
        <v>437</v>
      </c>
      <c r="C18" s="133"/>
      <c r="D18" s="949">
        <f>-O11</f>
        <v>45.7</v>
      </c>
      <c r="E18" s="949">
        <f>-P11</f>
        <v>48.2</v>
      </c>
      <c r="F18" s="949"/>
      <c r="G18" s="949">
        <f>-Q11</f>
        <v>50.6</v>
      </c>
      <c r="H18" s="949">
        <f>-R11</f>
        <v>53.1</v>
      </c>
      <c r="I18" s="949">
        <f>-S11</f>
        <v>55.6</v>
      </c>
      <c r="J18" s="134"/>
      <c r="K18" s="128"/>
      <c r="L18" s="128" t="s">
        <v>334</v>
      </c>
      <c r="M18" s="128"/>
      <c r="N18" s="128"/>
      <c r="O18" s="945">
        <f>'Allowed revenue -DPCR4'!D12</f>
        <v>10</v>
      </c>
      <c r="P18" s="945">
        <f>'Allowed revenue -DPCR4'!E12</f>
        <v>9.9</v>
      </c>
      <c r="Q18" s="945">
        <f>'Allowed revenue -DPCR4'!F12</f>
        <v>10.199999999999999</v>
      </c>
      <c r="R18" s="945">
        <f>'Allowed revenue -DPCR4'!G12</f>
        <v>10.4</v>
      </c>
      <c r="S18" s="945">
        <f>'Allowed revenue -DPCR4'!H12</f>
        <v>10.5</v>
      </c>
      <c r="T18" s="129"/>
      <c r="U18" s="43"/>
      <c r="V18" s="43"/>
      <c r="W18" s="43"/>
      <c r="X18" s="43"/>
      <c r="Y18" s="43"/>
      <c r="Z18" s="43"/>
      <c r="AA18" s="43"/>
      <c r="AB18" s="43"/>
      <c r="AC18" s="43"/>
    </row>
    <row r="19" spans="1:29">
      <c r="A19" s="43"/>
      <c r="B19" s="128" t="s">
        <v>335</v>
      </c>
      <c r="C19" s="128"/>
      <c r="D19" s="949">
        <f t="shared" ref="D19:E21" si="0">O19</f>
        <v>13.1</v>
      </c>
      <c r="E19" s="949">
        <f t="shared" si="0"/>
        <v>14.2</v>
      </c>
      <c r="F19" s="949"/>
      <c r="G19" s="949">
        <f t="shared" ref="G19:I21" si="1">Q19</f>
        <v>15</v>
      </c>
      <c r="H19" s="949">
        <f t="shared" si="1"/>
        <v>15.9</v>
      </c>
      <c r="I19" s="949">
        <f t="shared" si="1"/>
        <v>16.7</v>
      </c>
      <c r="J19" s="128"/>
      <c r="K19" s="128"/>
      <c r="L19" s="128" t="s">
        <v>335</v>
      </c>
      <c r="M19" s="128"/>
      <c r="N19" s="128"/>
      <c r="O19" s="945">
        <f>'Allowed revenue -DPCR4'!D13</f>
        <v>13.1</v>
      </c>
      <c r="P19" s="945">
        <f>'Allowed revenue -DPCR4'!E13</f>
        <v>14.2</v>
      </c>
      <c r="Q19" s="945">
        <f>'Allowed revenue -DPCR4'!F13</f>
        <v>15</v>
      </c>
      <c r="R19" s="945">
        <f>'Allowed revenue -DPCR4'!G13</f>
        <v>15.9</v>
      </c>
      <c r="S19" s="945">
        <f>'Allowed revenue -DPCR4'!H13</f>
        <v>16.7</v>
      </c>
      <c r="T19" s="129"/>
      <c r="U19" s="43"/>
      <c r="V19" s="43"/>
      <c r="W19" s="43"/>
      <c r="X19" s="43"/>
      <c r="Y19" s="43"/>
      <c r="Z19" s="43"/>
      <c r="AA19" s="43"/>
      <c r="AB19" s="43"/>
      <c r="AC19" s="43"/>
    </row>
    <row r="20" spans="1:29">
      <c r="A20" s="43"/>
      <c r="B20" s="128" t="s">
        <v>336</v>
      </c>
      <c r="C20" s="128"/>
      <c r="D20" s="950">
        <f t="shared" si="0"/>
        <v>-1.7</v>
      </c>
      <c r="E20" s="950">
        <f t="shared" si="0"/>
        <v>-1.1000000000000001</v>
      </c>
      <c r="F20" s="950"/>
      <c r="G20" s="950">
        <f t="shared" si="1"/>
        <v>-0.9</v>
      </c>
      <c r="H20" s="950">
        <f t="shared" si="1"/>
        <v>-0.3</v>
      </c>
      <c r="I20" s="950">
        <f t="shared" si="1"/>
        <v>-0.1</v>
      </c>
      <c r="J20" s="129"/>
      <c r="K20" s="128"/>
      <c r="L20" s="128" t="s">
        <v>337</v>
      </c>
      <c r="M20" s="128"/>
      <c r="N20" s="128"/>
      <c r="O20" s="945">
        <f>'Allowed revenue -DPCR4'!D14</f>
        <v>-1.7</v>
      </c>
      <c r="P20" s="945">
        <f>'Allowed revenue -DPCR4'!E14</f>
        <v>-1.1000000000000001</v>
      </c>
      <c r="Q20" s="945">
        <f>'Allowed revenue -DPCR4'!F14</f>
        <v>-0.9</v>
      </c>
      <c r="R20" s="945">
        <f>'Allowed revenue -DPCR4'!G14</f>
        <v>-0.3</v>
      </c>
      <c r="S20" s="945">
        <f>'Allowed revenue -DPCR4'!H14</f>
        <v>-0.1</v>
      </c>
      <c r="T20" s="129"/>
      <c r="U20" s="43"/>
      <c r="V20" s="43"/>
      <c r="W20" s="43"/>
      <c r="X20" s="43"/>
      <c r="Y20" s="43"/>
      <c r="Z20" s="43"/>
      <c r="AA20" s="43"/>
      <c r="AB20" s="43"/>
      <c r="AC20" s="43"/>
    </row>
    <row r="21" spans="1:29">
      <c r="A21" s="43"/>
      <c r="B21" s="128" t="s">
        <v>338</v>
      </c>
      <c r="C21" s="128"/>
      <c r="D21" s="950">
        <f t="shared" si="0"/>
        <v>1.2</v>
      </c>
      <c r="E21" s="950">
        <f t="shared" si="0"/>
        <v>1.2</v>
      </c>
      <c r="F21" s="950"/>
      <c r="G21" s="950">
        <f t="shared" si="1"/>
        <v>1.2</v>
      </c>
      <c r="H21" s="950">
        <f t="shared" si="1"/>
        <v>1.2</v>
      </c>
      <c r="I21" s="950">
        <f t="shared" si="1"/>
        <v>1.1000000000000001</v>
      </c>
      <c r="J21" s="134"/>
      <c r="K21" s="128"/>
      <c r="L21" s="128" t="s">
        <v>339</v>
      </c>
      <c r="M21" s="128"/>
      <c r="N21" s="128"/>
      <c r="O21" s="945">
        <f>'Allowed revenue -DPCR4'!D15</f>
        <v>1.2</v>
      </c>
      <c r="P21" s="945">
        <f>'Allowed revenue -DPCR4'!E15</f>
        <v>1.2</v>
      </c>
      <c r="Q21" s="945">
        <f>'Allowed revenue -DPCR4'!F15</f>
        <v>1.2</v>
      </c>
      <c r="R21" s="945">
        <f>'Allowed revenue -DPCR4'!G15</f>
        <v>1.2</v>
      </c>
      <c r="S21" s="945">
        <f>'Allowed revenue -DPCR4'!H15</f>
        <v>1.1000000000000001</v>
      </c>
      <c r="T21" s="129"/>
      <c r="U21" s="43"/>
      <c r="V21" s="43"/>
      <c r="W21" s="43"/>
      <c r="X21" s="43"/>
      <c r="Y21" s="43"/>
      <c r="Z21" s="43"/>
      <c r="AA21" s="43"/>
      <c r="AB21" s="43"/>
      <c r="AC21" s="43"/>
    </row>
    <row r="22" spans="1:29">
      <c r="A22" s="43"/>
      <c r="B22" s="128" t="s">
        <v>341</v>
      </c>
      <c r="C22" s="134"/>
      <c r="D22" s="949">
        <f>D10-D15-D18-D19-D20-D21</f>
        <v>32.67458227880612</v>
      </c>
      <c r="E22" s="949">
        <f>E10-E15-E18-E19-E20-E21</f>
        <v>29.746041848430593</v>
      </c>
      <c r="F22" s="949"/>
      <c r="G22" s="949">
        <f>G10-G15-G18-G19-G20-G21</f>
        <v>27.448301418055085</v>
      </c>
      <c r="H22" s="949">
        <f>H10-H15-H18-H19-H20-H21</f>
        <v>25.611451823121946</v>
      </c>
      <c r="I22" s="949">
        <f>I10-I15-I18-I19-I20-I21</f>
        <v>24.398311392746461</v>
      </c>
      <c r="J22" s="134"/>
      <c r="K22" s="128"/>
      <c r="L22" s="128" t="s">
        <v>383</v>
      </c>
      <c r="M22" s="128"/>
      <c r="N22" s="128"/>
      <c r="O22" s="946">
        <f>IF(ISNUMBER('Allowed revenue -DPCR4'!D16+'Allowed revenue -DPCR4'!D17),'Allowed revenue -DPCR4'!D16+'Allowed revenue -DPCR4'!D17,"")</f>
        <v>1.6</v>
      </c>
      <c r="P22" s="946">
        <f>IF(ISNUMBER('Allowed revenue -DPCR4'!E16+'Allowed revenue -DPCR4'!E17),'Allowed revenue -DPCR4'!E16+'Allowed revenue -DPCR4'!E17,"")</f>
        <v>1.6</v>
      </c>
      <c r="Q22" s="946">
        <f>IF(ISNUMBER('Allowed revenue -DPCR4'!F16+'Allowed revenue -DPCR4'!F17),'Allowed revenue -DPCR4'!F16+'Allowed revenue -DPCR4'!F17,"")</f>
        <v>1.6</v>
      </c>
      <c r="R22" s="946">
        <f>IF(ISNUMBER('Allowed revenue -DPCR4'!G16+'Allowed revenue -DPCR4'!G17),'Allowed revenue -DPCR4'!G16+'Allowed revenue -DPCR4'!G17,"")</f>
        <v>1.3</v>
      </c>
      <c r="S22" s="946">
        <f>IF(ISNUMBER('Allowed revenue -DPCR4'!H16+'Allowed revenue -DPCR4'!H17),'Allowed revenue -DPCR4'!H16+'Allowed revenue -DPCR4'!H17,"")</f>
        <v>1.3</v>
      </c>
      <c r="T22" s="129"/>
      <c r="U22" s="43"/>
      <c r="V22" s="43"/>
      <c r="W22" s="43"/>
      <c r="X22" s="43"/>
      <c r="Y22" s="43"/>
      <c r="Z22" s="43"/>
      <c r="AA22" s="43"/>
      <c r="AB22" s="43"/>
      <c r="AC22" s="43"/>
    </row>
    <row r="23" spans="1:29">
      <c r="A23" s="43"/>
      <c r="B23" s="128" t="s">
        <v>462</v>
      </c>
      <c r="C23" s="128"/>
      <c r="D23" s="949">
        <f>SUM(D18:D22)</f>
        <v>90.974582278806125</v>
      </c>
      <c r="E23" s="949">
        <f>SUM(E18:E22)</f>
        <v>92.246041848430593</v>
      </c>
      <c r="F23" s="949"/>
      <c r="G23" s="949">
        <f>SUM(G18:G22)</f>
        <v>93.348301418055073</v>
      </c>
      <c r="H23" s="949">
        <f>SUM(H18:H22)</f>
        <v>95.511451823121945</v>
      </c>
      <c r="I23" s="949">
        <f>SUM(I18:I22)</f>
        <v>97.698311392746461</v>
      </c>
      <c r="J23" s="128"/>
      <c r="K23" s="128"/>
      <c r="L23" s="128" t="s">
        <v>364</v>
      </c>
      <c r="M23" s="128"/>
      <c r="N23" s="128"/>
      <c r="O23" s="945">
        <f>'Allowed revenue -DPCR4'!D18</f>
        <v>0.9</v>
      </c>
      <c r="P23" s="945">
        <f>'Allowed revenue -DPCR4'!E18</f>
        <v>0</v>
      </c>
      <c r="Q23" s="945">
        <f>'Allowed revenue -DPCR4'!F18</f>
        <v>0</v>
      </c>
      <c r="R23" s="945">
        <f>'Allowed revenue -DPCR4'!G18</f>
        <v>0</v>
      </c>
      <c r="S23" s="945">
        <f>'Allowed revenue -DPCR4'!H18</f>
        <v>0</v>
      </c>
      <c r="T23" s="129"/>
      <c r="U23" s="43"/>
      <c r="V23" s="43"/>
      <c r="W23" s="43"/>
      <c r="X23" s="43"/>
      <c r="Y23" s="43"/>
      <c r="Z23" s="43"/>
      <c r="AA23" s="43"/>
      <c r="AB23" s="43"/>
      <c r="AC23" s="43"/>
    </row>
    <row r="24" spans="1:29">
      <c r="A24" s="43"/>
      <c r="B24" s="142" t="s">
        <v>463</v>
      </c>
      <c r="C24" s="128"/>
      <c r="D24" s="949">
        <f>D23-D18</f>
        <v>45.274582278806122</v>
      </c>
      <c r="E24" s="949">
        <f>E23-E18</f>
        <v>44.04604184843059</v>
      </c>
      <c r="F24" s="949"/>
      <c r="G24" s="949">
        <f>G23-G18</f>
        <v>42.748301418055071</v>
      </c>
      <c r="H24" s="949">
        <f>H23-H18</f>
        <v>42.411451823121944</v>
      </c>
      <c r="I24" s="949">
        <f>I23-I18</f>
        <v>42.09831139274646</v>
      </c>
      <c r="J24" s="143"/>
      <c r="K24" s="143"/>
      <c r="L24" s="143" t="s">
        <v>651</v>
      </c>
      <c r="M24" s="143"/>
      <c r="N24" s="143"/>
      <c r="O24" s="944">
        <f>'Allowed revenue -DPCR4'!D19</f>
        <v>112.2</v>
      </c>
      <c r="P24" s="944">
        <f>'Allowed revenue -DPCR4'!E19</f>
        <v>114.3</v>
      </c>
      <c r="Q24" s="944">
        <f>'Allowed revenue -DPCR4'!F19</f>
        <v>116</v>
      </c>
      <c r="R24" s="944">
        <f>'Allowed revenue -DPCR4'!G19</f>
        <v>116.9</v>
      </c>
      <c r="S24" s="944">
        <f>'Allowed revenue -DPCR4'!H19</f>
        <v>117.4</v>
      </c>
      <c r="T24" s="128"/>
      <c r="U24" s="43"/>
      <c r="V24" s="43"/>
      <c r="W24" s="43"/>
      <c r="X24" s="43"/>
      <c r="Y24" s="43"/>
      <c r="Z24" s="43"/>
      <c r="AA24" s="43"/>
      <c r="AB24" s="43"/>
      <c r="AC24" s="43"/>
    </row>
    <row r="25" spans="1:29">
      <c r="A25" s="43"/>
      <c r="B25" s="128"/>
      <c r="C25" s="128"/>
      <c r="D25" s="949"/>
      <c r="E25" s="949"/>
      <c r="F25" s="949"/>
      <c r="G25" s="949"/>
      <c r="H25" s="949"/>
      <c r="I25" s="949"/>
      <c r="J25" s="143"/>
      <c r="K25" s="143"/>
      <c r="L25" s="143" t="s">
        <v>428</v>
      </c>
      <c r="M25" s="143"/>
      <c r="N25" s="143"/>
      <c r="O25" s="944">
        <f>'Allowed revenue -DPCR4'!D20</f>
        <v>109.21292148782669</v>
      </c>
      <c r="P25" s="944">
        <f>'Allowed revenue -DPCR4'!E20</f>
        <v>105.41192249868327</v>
      </c>
      <c r="Q25" s="944">
        <f>'Allowed revenue -DPCR4'!F20</f>
        <v>101.35935275953834</v>
      </c>
      <c r="R25" s="944">
        <f>'Allowed revenue -DPCR4'!G20</f>
        <v>96.779346753468715</v>
      </c>
      <c r="S25" s="944">
        <f>'Allowed revenue -DPCR4'!H20</f>
        <v>92.087060022660708</v>
      </c>
      <c r="T25" s="131"/>
      <c r="U25" s="43"/>
      <c r="V25" s="43"/>
      <c r="W25" s="43"/>
      <c r="X25" s="43"/>
      <c r="Y25" s="43"/>
      <c r="Z25" s="43"/>
      <c r="AA25" s="43"/>
      <c r="AB25" s="43"/>
      <c r="AC25" s="43"/>
    </row>
    <row r="26" spans="1:29">
      <c r="A26" s="43"/>
      <c r="B26" s="128" t="s">
        <v>429</v>
      </c>
      <c r="C26" s="128"/>
      <c r="D26" s="949"/>
      <c r="E26" s="949"/>
      <c r="F26" s="949"/>
      <c r="G26" s="949"/>
      <c r="H26" s="949"/>
      <c r="I26" s="949"/>
      <c r="J26" s="143"/>
      <c r="K26" s="128"/>
      <c r="L26" s="128" t="s">
        <v>365</v>
      </c>
      <c r="M26" s="128"/>
      <c r="N26" s="128"/>
      <c r="O26" s="944"/>
      <c r="P26" s="944"/>
      <c r="Q26" s="944"/>
      <c r="R26" s="944"/>
      <c r="S26" s="944">
        <f>'Allowed revenue -DPCR4'!H21</f>
        <v>139.08951123722551</v>
      </c>
      <c r="T26" s="131"/>
      <c r="U26" s="43"/>
      <c r="V26" s="43"/>
      <c r="W26" s="43"/>
      <c r="X26" s="43"/>
      <c r="Y26" s="43"/>
      <c r="Z26" s="43"/>
      <c r="AA26" s="43"/>
      <c r="AB26" s="43"/>
      <c r="AC26" s="43"/>
    </row>
    <row r="27" spans="1:29">
      <c r="A27" s="43"/>
      <c r="B27" s="128"/>
      <c r="C27" s="128"/>
      <c r="D27" s="949"/>
      <c r="E27" s="949"/>
      <c r="F27" s="949"/>
      <c r="G27" s="949"/>
      <c r="H27" s="949"/>
      <c r="I27" s="949"/>
      <c r="J27" s="128"/>
      <c r="K27" s="128"/>
      <c r="L27" s="128" t="s">
        <v>430</v>
      </c>
      <c r="M27" s="128"/>
      <c r="N27" s="128"/>
      <c r="O27" s="944"/>
      <c r="P27" s="944"/>
      <c r="Q27" s="944"/>
      <c r="R27" s="944"/>
      <c r="S27" s="944">
        <f>'Allowed revenue -DPCR4'!H22</f>
        <v>643.94011475940329</v>
      </c>
      <c r="T27" s="131"/>
      <c r="U27" s="43"/>
      <c r="V27" s="43"/>
      <c r="W27" s="43"/>
      <c r="X27" s="43"/>
      <c r="Y27" s="43"/>
      <c r="Z27" s="43"/>
      <c r="AA27" s="43"/>
      <c r="AB27" s="43"/>
      <c r="AC27" s="43"/>
    </row>
    <row r="28" spans="1:29">
      <c r="A28" s="43"/>
      <c r="B28" s="128" t="s">
        <v>511</v>
      </c>
      <c r="C28" s="128"/>
      <c r="D28" s="950">
        <f>D15</f>
        <v>49.730000000000004</v>
      </c>
      <c r="E28" s="950">
        <f>E15</f>
        <v>50.287700000000001</v>
      </c>
      <c r="F28" s="950"/>
      <c r="G28" s="950">
        <f>G15</f>
        <v>51.014600000000002</v>
      </c>
      <c r="H28" s="950">
        <f>H15</f>
        <v>50.3992</v>
      </c>
      <c r="I28" s="950">
        <f>I15</f>
        <v>50.041499999999992</v>
      </c>
      <c r="J28" s="130"/>
      <c r="K28" s="128"/>
      <c r="L28" s="128"/>
      <c r="M28" s="128"/>
      <c r="N28" s="128"/>
      <c r="O28" s="128"/>
      <c r="P28" s="128"/>
      <c r="Q28" s="128"/>
      <c r="R28" s="128"/>
      <c r="S28" s="128"/>
      <c r="T28" s="128"/>
      <c r="U28" s="43"/>
      <c r="V28" s="43"/>
      <c r="W28" s="43"/>
      <c r="X28" s="43"/>
      <c r="Y28" s="43"/>
      <c r="Z28" s="43"/>
      <c r="AA28" s="43"/>
      <c r="AB28" s="43"/>
      <c r="AC28" s="43"/>
    </row>
    <row r="29" spans="1:29">
      <c r="A29" s="43"/>
      <c r="B29" s="128" t="s">
        <v>437</v>
      </c>
      <c r="C29" s="128"/>
      <c r="D29" s="950">
        <f>D18</f>
        <v>45.7</v>
      </c>
      <c r="E29" s="950">
        <f>E18</f>
        <v>48.2</v>
      </c>
      <c r="F29" s="950"/>
      <c r="G29" s="950">
        <f>G18</f>
        <v>50.6</v>
      </c>
      <c r="H29" s="950">
        <f>H18</f>
        <v>53.1</v>
      </c>
      <c r="I29" s="950">
        <f>I18</f>
        <v>55.6</v>
      </c>
      <c r="J29" s="129"/>
      <c r="K29" s="128"/>
      <c r="L29" s="128"/>
      <c r="M29" s="133"/>
      <c r="N29" s="128"/>
      <c r="O29" s="947">
        <f>1/(1+Inputs!B25)</f>
        <v>0.94746316736936853</v>
      </c>
      <c r="P29" s="947">
        <f>O29/(1+Inputs!B25)</f>
        <v>0.89768645352159604</v>
      </c>
      <c r="Q29" s="947">
        <f>P29/(1+Inputs!B25)</f>
        <v>0.85052485055814675</v>
      </c>
      <c r="R29" s="947">
        <f>Q29/(1+Inputs!B25)</f>
        <v>0.8058409688361805</v>
      </c>
      <c r="S29" s="947">
        <f>R29/(1+Inputs!B25)</f>
        <v>0.76350463672952817</v>
      </c>
      <c r="T29" s="143"/>
      <c r="U29" s="43"/>
      <c r="V29" s="43"/>
      <c r="W29" s="43"/>
      <c r="X29" s="43"/>
      <c r="Y29" s="43"/>
      <c r="Z29" s="43"/>
      <c r="AA29" s="43"/>
      <c r="AB29" s="43"/>
      <c r="AC29" s="43"/>
    </row>
    <row r="30" spans="1:29">
      <c r="A30" s="43"/>
      <c r="B30" s="128" t="s">
        <v>341</v>
      </c>
      <c r="C30" s="134"/>
      <c r="D30" s="949">
        <f>D22</f>
        <v>32.67458227880612</v>
      </c>
      <c r="E30" s="949">
        <f>E22</f>
        <v>29.746041848430593</v>
      </c>
      <c r="F30" s="949"/>
      <c r="G30" s="949">
        <f>G22</f>
        <v>27.448301418055085</v>
      </c>
      <c r="H30" s="949">
        <f>H22</f>
        <v>25.611451823121946</v>
      </c>
      <c r="I30" s="949">
        <f>I22</f>
        <v>24.398311392746461</v>
      </c>
      <c r="J30" s="134"/>
      <c r="K30" s="128"/>
      <c r="L30" s="128"/>
      <c r="M30" s="128"/>
      <c r="N30" s="128"/>
      <c r="O30" s="947">
        <v>1</v>
      </c>
      <c r="P30" s="947">
        <f>O29</f>
        <v>0.94746316736936853</v>
      </c>
      <c r="Q30" s="947">
        <f>P29</f>
        <v>0.89768645352159604</v>
      </c>
      <c r="R30" s="947">
        <f>Q29</f>
        <v>0.85052485055814675</v>
      </c>
      <c r="S30" s="947">
        <f>R29</f>
        <v>0.8058409688361805</v>
      </c>
      <c r="T30" s="143"/>
      <c r="U30" s="43"/>
      <c r="V30" s="43"/>
      <c r="W30" s="43"/>
      <c r="X30" s="43"/>
      <c r="Y30" s="43"/>
      <c r="Z30" s="43"/>
      <c r="AA30" s="43"/>
      <c r="AB30" s="43"/>
      <c r="AC30" s="43"/>
    </row>
    <row r="31" spans="1:29">
      <c r="A31" s="43"/>
      <c r="B31" s="128"/>
      <c r="C31" s="134"/>
      <c r="D31" s="134"/>
      <c r="E31" s="134"/>
      <c r="F31" s="134"/>
      <c r="G31" s="134"/>
      <c r="H31" s="134"/>
      <c r="I31" s="134"/>
      <c r="J31" s="134"/>
      <c r="K31" s="128"/>
      <c r="L31" s="128"/>
      <c r="M31" s="128"/>
      <c r="N31" s="128"/>
      <c r="O31" s="947">
        <f>1/(1+Inputs!B25)^0.5</f>
        <v>0.97337719686120061</v>
      </c>
      <c r="P31" s="947">
        <f>1/(1+Inputs!B25)^1.5</f>
        <v>0.92223904198323059</v>
      </c>
      <c r="Q31" s="947">
        <f>1/(1+Inputs!B25)^2.5</f>
        <v>0.87378752378912361</v>
      </c>
      <c r="R31" s="947">
        <f>1/(1+Inputs!B25)^3.5</f>
        <v>0.82788149489708041</v>
      </c>
      <c r="S31" s="947">
        <f>1/(1+Inputs!B25)^4.5</f>
        <v>0.78438722336167555</v>
      </c>
      <c r="T31" s="143"/>
      <c r="U31" s="43"/>
      <c r="V31" s="43"/>
      <c r="W31" s="43"/>
      <c r="X31" s="43"/>
      <c r="Y31" s="43"/>
      <c r="Z31" s="43"/>
      <c r="AA31" s="43"/>
      <c r="AB31" s="43"/>
      <c r="AC31" s="43"/>
    </row>
    <row r="32" spans="1:29">
      <c r="A32" s="43"/>
      <c r="B32" s="128"/>
      <c r="C32" s="128"/>
      <c r="D32" s="128"/>
      <c r="E32" s="128"/>
      <c r="F32" s="128"/>
      <c r="G32" s="128"/>
      <c r="H32" s="128"/>
      <c r="I32" s="128"/>
      <c r="J32" s="128"/>
      <c r="K32" s="128"/>
      <c r="L32" s="128"/>
      <c r="M32" s="128"/>
      <c r="N32" s="128"/>
      <c r="O32" s="944"/>
      <c r="P32" s="944"/>
      <c r="Q32" s="944"/>
      <c r="R32" s="944"/>
      <c r="S32" s="944"/>
      <c r="T32" s="128"/>
      <c r="U32" s="43"/>
      <c r="V32" s="43"/>
      <c r="W32" s="43"/>
      <c r="X32" s="43"/>
      <c r="Y32" s="43"/>
      <c r="Z32" s="43"/>
      <c r="AA32" s="43"/>
      <c r="AB32" s="43"/>
      <c r="AC32" s="43"/>
    </row>
    <row r="33" spans="1:49">
      <c r="A33" s="43"/>
      <c r="B33" s="128"/>
      <c r="C33" s="129"/>
      <c r="D33" s="128"/>
      <c r="E33" s="128"/>
      <c r="F33" s="128"/>
      <c r="G33" s="128"/>
      <c r="H33" s="128"/>
      <c r="I33" s="128"/>
      <c r="J33" s="128"/>
      <c r="K33" s="128"/>
      <c r="L33" s="128" t="s">
        <v>434</v>
      </c>
      <c r="M33" s="128"/>
      <c r="N33" s="128"/>
      <c r="O33" s="945">
        <f>'Allowed revenue -DPCR4'!D24</f>
        <v>1</v>
      </c>
      <c r="P33" s="945">
        <f>'Allowed revenue -DPCR4'!E24</f>
        <v>1.0129999999999999</v>
      </c>
      <c r="Q33" s="945">
        <f>'Allowed revenue -DPCR4'!F24</f>
        <v>1.026</v>
      </c>
      <c r="R33" s="945">
        <f>'Allowed revenue -DPCR4'!G24</f>
        <v>1.0369999999999999</v>
      </c>
      <c r="S33" s="945">
        <f>'Allowed revenue -DPCR4'!H24</f>
        <v>1.05</v>
      </c>
      <c r="T33" s="129"/>
      <c r="U33" s="43"/>
      <c r="V33" s="43"/>
      <c r="W33" s="43"/>
      <c r="X33" s="43"/>
      <c r="Y33" s="43"/>
      <c r="Z33" s="43"/>
      <c r="AA33" s="43"/>
      <c r="AB33" s="43"/>
      <c r="AC33" s="43"/>
    </row>
    <row r="34" spans="1:49">
      <c r="A34" s="43"/>
      <c r="B34" s="128"/>
      <c r="C34" s="129"/>
      <c r="D34" s="128"/>
      <c r="E34" s="128"/>
      <c r="F34" s="128"/>
      <c r="G34" s="128"/>
      <c r="H34" s="128"/>
      <c r="I34" s="128"/>
      <c r="J34" s="128"/>
      <c r="K34" s="128"/>
      <c r="L34" s="128" t="s">
        <v>435</v>
      </c>
      <c r="M34" s="128"/>
      <c r="N34" s="128"/>
      <c r="O34" s="948">
        <f>O33*O31</f>
        <v>0.97337719686120061</v>
      </c>
      <c r="P34" s="948">
        <f>P33*P31</f>
        <v>0.93422814952901245</v>
      </c>
      <c r="Q34" s="948">
        <f>Q33*Q31</f>
        <v>0.89650599940764086</v>
      </c>
      <c r="R34" s="948">
        <f>R33*R31</f>
        <v>0.85851311020827237</v>
      </c>
      <c r="S34" s="948">
        <f>S33*S31</f>
        <v>0.82360658452975932</v>
      </c>
      <c r="T34" s="151"/>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row>
    <row r="35" spans="1:49">
      <c r="A35" s="43"/>
      <c r="B35" s="128"/>
      <c r="C35" s="128"/>
      <c r="D35" s="128"/>
      <c r="E35" s="128"/>
      <c r="F35" s="128"/>
      <c r="G35" s="128"/>
      <c r="H35" s="128"/>
      <c r="I35" s="128"/>
      <c r="J35" s="128"/>
      <c r="K35" s="128"/>
      <c r="L35" s="128" t="s">
        <v>436</v>
      </c>
      <c r="M35" s="128"/>
      <c r="N35" s="128"/>
      <c r="O35" s="949">
        <f>($S$27-$N$41)/SUM($O$34:$U$34)*O33</f>
        <v>140.70458227880613</v>
      </c>
      <c r="P35" s="949">
        <f>($S$27-$N$41)/SUM($O$34:$U$34)*P33</f>
        <v>142.53374184843059</v>
      </c>
      <c r="Q35" s="949">
        <f>($S$27-$N$41)/SUM($O$34:$U$34)*Q33</f>
        <v>144.36290141805509</v>
      </c>
      <c r="R35" s="949">
        <f>($S$27-$N$41)/SUM($O$34:$U$34)*R33</f>
        <v>145.91065182312195</v>
      </c>
      <c r="S35" s="949">
        <f>($S$27-$N$41)/SUM($O$34:$U$34)*S33</f>
        <v>147.73981139274645</v>
      </c>
      <c r="T35" s="131"/>
      <c r="U35" s="43"/>
      <c r="V35" s="43"/>
      <c r="W35" s="43"/>
      <c r="X35" s="43"/>
      <c r="Y35" s="43"/>
      <c r="Z35" s="43"/>
      <c r="AA35" s="43"/>
      <c r="AB35" s="43"/>
      <c r="AC35" s="43"/>
      <c r="AD35" s="43"/>
      <c r="AE35" s="43"/>
      <c r="AF35" s="43"/>
      <c r="AG35" s="43"/>
      <c r="AH35" s="43"/>
      <c r="AI35" s="43"/>
      <c r="AJ35" s="43"/>
      <c r="AK35" s="43"/>
      <c r="AL35" s="43"/>
      <c r="AM35" s="43"/>
      <c r="AN35" s="43"/>
      <c r="AO35" s="185"/>
      <c r="AP35" s="185"/>
      <c r="AQ35" s="185"/>
      <c r="AR35" s="185"/>
      <c r="AS35" s="185"/>
      <c r="AT35" s="43"/>
      <c r="AU35" s="43"/>
    </row>
    <row r="36" spans="1:49">
      <c r="A36" s="43"/>
      <c r="B36" s="128"/>
      <c r="C36" s="128"/>
      <c r="D36" s="128"/>
      <c r="E36" s="128"/>
      <c r="F36" s="128"/>
      <c r="G36" s="128"/>
      <c r="H36" s="128"/>
      <c r="I36" s="128"/>
      <c r="J36" s="128"/>
      <c r="K36" s="128"/>
      <c r="L36" s="128" t="s">
        <v>358</v>
      </c>
      <c r="M36" s="128"/>
      <c r="N36" s="128"/>
      <c r="O36" s="944">
        <f>'Allowed revenue -DPCR4'!D27</f>
        <v>2.9</v>
      </c>
      <c r="P36" s="944">
        <f>'Allowed revenue -DPCR4'!E27</f>
        <v>2.9</v>
      </c>
      <c r="Q36" s="944">
        <f>'Allowed revenue -DPCR4'!F27</f>
        <v>2.9</v>
      </c>
      <c r="R36" s="944">
        <f>'Allowed revenue -DPCR4'!G27</f>
        <v>2.9</v>
      </c>
      <c r="S36" s="944">
        <f>'Allowed revenue -DPCR4'!H27</f>
        <v>2.9</v>
      </c>
      <c r="T36" s="128"/>
      <c r="U36" s="43"/>
      <c r="V36" s="43"/>
      <c r="W36" s="43"/>
      <c r="X36" s="43"/>
      <c r="Y36" s="43"/>
      <c r="Z36" s="43"/>
      <c r="AA36" s="43"/>
      <c r="AB36" s="43"/>
      <c r="AC36" s="43"/>
      <c r="AD36" s="43"/>
      <c r="AE36" s="43"/>
      <c r="AF36" s="43"/>
      <c r="AG36" s="43"/>
      <c r="AH36" s="43"/>
      <c r="AI36" s="43"/>
      <c r="AJ36" s="43"/>
      <c r="AK36" s="43"/>
      <c r="AL36" s="43"/>
      <c r="AM36" s="43"/>
      <c r="AN36" s="43"/>
      <c r="AO36" s="55"/>
      <c r="AP36" s="55"/>
      <c r="AQ36" s="55"/>
      <c r="AR36" s="55"/>
      <c r="AS36" s="55"/>
      <c r="AT36" s="43"/>
      <c r="AU36" s="43"/>
    </row>
    <row r="37" spans="1:49">
      <c r="A37" s="43"/>
      <c r="B37" s="128"/>
      <c r="C37" s="128"/>
      <c r="D37" s="128"/>
      <c r="E37" s="128"/>
      <c r="F37" s="128"/>
      <c r="G37" s="128"/>
      <c r="H37" s="128"/>
      <c r="I37" s="128"/>
      <c r="J37" s="128"/>
      <c r="K37" s="128"/>
      <c r="L37" s="128" t="s">
        <v>359</v>
      </c>
      <c r="M37" s="128"/>
      <c r="N37" s="128"/>
      <c r="O37" s="949">
        <f>O36+O35</f>
        <v>143.60458227880613</v>
      </c>
      <c r="P37" s="949">
        <f>P36+P35</f>
        <v>145.4337418484306</v>
      </c>
      <c r="Q37" s="949">
        <f>Q36+Q35</f>
        <v>147.26290141805509</v>
      </c>
      <c r="R37" s="949">
        <f>R36+R35</f>
        <v>148.81065182312196</v>
      </c>
      <c r="S37" s="949">
        <f>S36+S35</f>
        <v>150.63981139274645</v>
      </c>
      <c r="T37" s="131"/>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132"/>
      <c r="AS37" s="43"/>
      <c r="AT37" s="43"/>
      <c r="AU37" s="43"/>
    </row>
    <row r="38" spans="1:49">
      <c r="A38" s="43"/>
      <c r="B38" s="128"/>
      <c r="C38" s="128"/>
      <c r="D38" s="128"/>
      <c r="E38" s="128"/>
      <c r="F38" s="128"/>
      <c r="G38" s="128"/>
      <c r="H38" s="128"/>
      <c r="I38" s="128"/>
      <c r="J38" s="128"/>
      <c r="K38" s="128"/>
      <c r="L38" s="128" t="s">
        <v>347</v>
      </c>
      <c r="M38" s="128"/>
      <c r="N38" s="128"/>
      <c r="O38" s="949">
        <f>O37*O31</f>
        <v>139.78142575496796</v>
      </c>
      <c r="P38" s="949">
        <f>P37*P31</f>
        <v>134.12467475433311</v>
      </c>
      <c r="Q38" s="949">
        <f>Q37*Q31</f>
        <v>128.67648597608419</v>
      </c>
      <c r="R38" s="949">
        <f>R37*R31</f>
        <v>123.19758488793515</v>
      </c>
      <c r="S38" s="949">
        <f>S37*S31</f>
        <v>118.15994338608289</v>
      </c>
      <c r="T38" s="131"/>
      <c r="U38" s="43"/>
      <c r="V38" s="43"/>
      <c r="W38" s="43"/>
      <c r="X38" s="43"/>
      <c r="Y38" s="43"/>
      <c r="Z38" s="43"/>
      <c r="AA38" s="43"/>
      <c r="AB38" s="43"/>
      <c r="AC38" s="43"/>
      <c r="AD38" s="43"/>
      <c r="AE38" s="43"/>
      <c r="AF38" s="43"/>
      <c r="AG38" s="43"/>
      <c r="AH38" s="43"/>
      <c r="AI38" s="43"/>
      <c r="AJ38" s="43"/>
      <c r="AK38" s="43"/>
      <c r="AL38" s="43"/>
      <c r="AM38" s="43"/>
      <c r="AN38" s="43"/>
      <c r="AO38" s="43"/>
      <c r="AP38" s="43"/>
      <c r="AQ38" s="43"/>
      <c r="AR38" s="43"/>
      <c r="AS38" s="43"/>
      <c r="AT38" s="43"/>
      <c r="AU38" s="43"/>
    </row>
    <row r="39" spans="1:49">
      <c r="A39" s="43"/>
      <c r="B39" s="128"/>
      <c r="C39" s="128"/>
      <c r="D39" s="128"/>
      <c r="E39" s="128"/>
      <c r="F39" s="128"/>
      <c r="G39" s="128"/>
      <c r="H39" s="128"/>
      <c r="I39" s="128"/>
      <c r="J39" s="128"/>
      <c r="K39" s="128"/>
      <c r="L39" s="128" t="s">
        <v>430</v>
      </c>
      <c r="M39" s="128"/>
      <c r="N39" s="128"/>
      <c r="O39" s="944"/>
      <c r="P39" s="944"/>
      <c r="Q39" s="944"/>
      <c r="R39" s="944"/>
      <c r="S39" s="949">
        <f>SUM(O38:S38)</f>
        <v>643.94011475940329</v>
      </c>
      <c r="T39" s="131"/>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row>
    <row r="40" spans="1:49">
      <c r="A40" s="43"/>
      <c r="B40" s="128"/>
      <c r="C40" s="128"/>
      <c r="D40" s="128"/>
      <c r="E40" s="128"/>
      <c r="F40" s="128"/>
      <c r="G40" s="128"/>
      <c r="H40" s="128"/>
      <c r="I40" s="128"/>
      <c r="J40" s="128"/>
      <c r="K40" s="128"/>
      <c r="L40" s="128"/>
      <c r="M40" s="128"/>
      <c r="N40" s="128"/>
      <c r="O40" s="944"/>
      <c r="P40" s="944"/>
      <c r="Q40" s="944"/>
      <c r="R40" s="944"/>
      <c r="S40" s="944"/>
      <c r="T40" s="128"/>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row>
    <row r="41" spans="1:49">
      <c r="A41" s="43"/>
      <c r="B41" s="128"/>
      <c r="C41" s="128"/>
      <c r="D41" s="128"/>
      <c r="E41" s="128"/>
      <c r="F41" s="128"/>
      <c r="G41" s="128"/>
      <c r="H41" s="128"/>
      <c r="I41" s="128"/>
      <c r="J41" s="128"/>
      <c r="K41" s="128"/>
      <c r="L41" s="128" t="s">
        <v>385</v>
      </c>
      <c r="M41" s="128"/>
      <c r="N41" s="131">
        <f>SUM(O41:S41)</f>
        <v>12.706850194587702</v>
      </c>
      <c r="O41" s="949">
        <f>O36*O31</f>
        <v>2.8227938708974816</v>
      </c>
      <c r="P41" s="949">
        <f>P36*P31</f>
        <v>2.6744932217513688</v>
      </c>
      <c r="Q41" s="949">
        <f>Q36*Q31</f>
        <v>2.5339838189884585</v>
      </c>
      <c r="R41" s="949">
        <f>R36*R31</f>
        <v>2.4008563352015333</v>
      </c>
      <c r="S41" s="949">
        <f>S36*S31</f>
        <v>2.2747229477488591</v>
      </c>
      <c r="T41" s="131"/>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row>
    <row r="42" spans="1:49" s="210" customFormat="1">
      <c r="A42" s="209"/>
      <c r="N42" s="211"/>
      <c r="O42" s="211"/>
      <c r="P42" s="211"/>
      <c r="Q42" s="211"/>
      <c r="R42" s="211"/>
      <c r="S42" s="211"/>
      <c r="T42" s="211"/>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row>
    <row r="43" spans="1:49" s="213" customFormat="1">
      <c r="A43" s="208" t="s">
        <v>493</v>
      </c>
      <c r="N43" s="214"/>
      <c r="O43" s="214"/>
      <c r="P43" s="214"/>
      <c r="Q43" s="214"/>
      <c r="R43" s="214"/>
      <c r="S43" s="214"/>
      <c r="T43" s="214"/>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12"/>
    </row>
    <row r="44" spans="1:49">
      <c r="A44" s="43"/>
      <c r="B44" s="17"/>
      <c r="C44" s="17"/>
      <c r="D44" s="17"/>
      <c r="E44" s="17"/>
      <c r="F44" s="17"/>
      <c r="G44" s="17"/>
      <c r="H44" s="17"/>
      <c r="I44" s="17"/>
      <c r="J44" s="17"/>
      <c r="K44" s="17"/>
      <c r="L44" s="17"/>
      <c r="M44" s="17"/>
      <c r="N44" s="152"/>
      <c r="O44" s="152"/>
      <c r="P44" s="152"/>
      <c r="Q44" s="152"/>
      <c r="R44" s="152"/>
      <c r="S44" s="152"/>
      <c r="T44" s="152"/>
      <c r="U44" s="152"/>
      <c r="V44" s="152"/>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row>
    <row r="45" spans="1:49" ht="25.5">
      <c r="A45" s="43"/>
      <c r="B45" s="153" t="s">
        <v>644</v>
      </c>
      <c r="C45" s="927" t="s">
        <v>770</v>
      </c>
      <c r="D45" s="154" t="s">
        <v>771</v>
      </c>
      <c r="E45" s="2249" t="s">
        <v>772</v>
      </c>
      <c r="F45" s="2249"/>
      <c r="G45" s="2249"/>
      <c r="H45" s="2249"/>
      <c r="I45" s="2249"/>
      <c r="J45" s="155"/>
      <c r="K45" s="2250" t="s">
        <v>14</v>
      </c>
      <c r="L45" s="2250"/>
      <c r="M45" s="2250"/>
      <c r="N45" s="2250"/>
      <c r="O45" s="156"/>
      <c r="P45" s="2251"/>
      <c r="Q45" s="2252"/>
      <c r="R45" s="2253"/>
      <c r="S45" s="2253"/>
      <c r="T45" s="225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row>
    <row r="46" spans="1:49">
      <c r="A46" s="43"/>
      <c r="B46" s="903"/>
      <c r="C46" s="928"/>
      <c r="D46" s="163"/>
      <c r="E46" s="904" t="s">
        <v>244</v>
      </c>
      <c r="F46" s="904"/>
      <c r="G46" s="904" t="s">
        <v>238</v>
      </c>
      <c r="H46" s="904" t="s">
        <v>405</v>
      </c>
      <c r="I46" s="904" t="s">
        <v>619</v>
      </c>
      <c r="J46" s="165" t="s">
        <v>879</v>
      </c>
      <c r="K46" s="905" t="s">
        <v>244</v>
      </c>
      <c r="L46" s="905" t="s">
        <v>238</v>
      </c>
      <c r="M46" s="905" t="s">
        <v>405</v>
      </c>
      <c r="N46" s="905" t="s">
        <v>619</v>
      </c>
      <c r="O46" s="906" t="s">
        <v>879</v>
      </c>
      <c r="P46" s="892"/>
      <c r="Q46" s="893"/>
      <c r="R46" s="893"/>
      <c r="S46" s="893"/>
      <c r="T46" s="89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3"/>
      <c r="AT46" s="43"/>
      <c r="AU46" s="43"/>
      <c r="AV46" s="43"/>
      <c r="AW46" s="43"/>
    </row>
    <row r="47" spans="1:49">
      <c r="A47" s="43"/>
      <c r="B47" s="157" t="s">
        <v>341</v>
      </c>
      <c r="C47" s="929">
        <f>SUM(D24:I24)</f>
        <v>216.57868876116021</v>
      </c>
      <c r="D47" s="216" t="s">
        <v>403</v>
      </c>
      <c r="E47" s="147">
        <f>VLOOKUP($D47,'Calc-Drivers'!$B$17:$G$27,E$53,FALSE)</f>
        <v>0.33691729550099531</v>
      </c>
      <c r="F47" s="147"/>
      <c r="G47" s="147">
        <f>VLOOKUP($D47,'Calc-Drivers'!$B$17:$G$27,G$53,FALSE)</f>
        <v>0.37302021519273526</v>
      </c>
      <c r="H47" s="147">
        <f>VLOOKUP($D47,'Calc-Drivers'!$B$17:$G$27,H$53,FALSE)</f>
        <v>9.2459849908730962E-2</v>
      </c>
      <c r="I47" s="147">
        <f>VLOOKUP($D47,'Calc-Drivers'!$B$17:$G$27,I$53,FALSE)</f>
        <v>0.11643740686583239</v>
      </c>
      <c r="J47" s="746">
        <f>VLOOKUP($D47,'Calc-Drivers'!$B$17:$G$27,J$53,FALSE)</f>
        <v>8.1165232531706127E-2</v>
      </c>
      <c r="K47" s="901">
        <f>$C47*E47</f>
        <v>72.9691060805619</v>
      </c>
      <c r="L47" s="901">
        <f t="shared" ref="L47:N49" si="2">$C47*G47</f>
        <v>80.788229087848421</v>
      </c>
      <c r="M47" s="901">
        <f t="shared" si="2"/>
        <v>20.024833056286631</v>
      </c>
      <c r="N47" s="901">
        <f t="shared" si="2"/>
        <v>25.217860901751692</v>
      </c>
      <c r="O47" s="161">
        <f>$C47 * J47</f>
        <v>17.578659634711578</v>
      </c>
      <c r="P47" s="894"/>
      <c r="Q47" s="895"/>
      <c r="R47" s="895"/>
      <c r="S47" s="895"/>
      <c r="T47" s="895"/>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c r="AS47" s="43"/>
      <c r="AT47" s="43"/>
      <c r="AU47" s="43"/>
      <c r="AV47" s="43"/>
      <c r="AW47" s="43"/>
    </row>
    <row r="48" spans="1:49">
      <c r="A48" s="43"/>
      <c r="B48" s="157" t="s">
        <v>437</v>
      </c>
      <c r="C48" s="929">
        <f>SUM(D18:I18)</f>
        <v>253.2</v>
      </c>
      <c r="D48" s="160" t="s">
        <v>403</v>
      </c>
      <c r="E48" s="147">
        <f>VLOOKUP($D48,'Calc-Drivers'!$B$17:$G$27,E$53,FALSE)</f>
        <v>0.33691729550099531</v>
      </c>
      <c r="F48" s="147"/>
      <c r="G48" s="147">
        <f>VLOOKUP($D48,'Calc-Drivers'!$B$17:$G$27,G$53,FALSE)</f>
        <v>0.37302021519273526</v>
      </c>
      <c r="H48" s="147">
        <f>VLOOKUP($D48,'Calc-Drivers'!$B$17:$G$27,H$53,FALSE)</f>
        <v>9.2459849908730962E-2</v>
      </c>
      <c r="I48" s="147">
        <f>VLOOKUP($D48,'Calc-Drivers'!$B$17:$G$27,I$53,FALSE)</f>
        <v>0.11643740686583239</v>
      </c>
      <c r="J48" s="746">
        <f>VLOOKUP($D48,'Calc-Drivers'!$B$17:$G$27,J$53,FALSE)</f>
        <v>8.1165232531706127E-2</v>
      </c>
      <c r="K48" s="901">
        <f>$C48*E48</f>
        <v>85.30745922085201</v>
      </c>
      <c r="L48" s="901">
        <f t="shared" si="2"/>
        <v>94.448718486800558</v>
      </c>
      <c r="M48" s="901">
        <f t="shared" si="2"/>
        <v>23.410833996890677</v>
      </c>
      <c r="N48" s="901">
        <f t="shared" si="2"/>
        <v>29.481951418428757</v>
      </c>
      <c r="O48" s="161">
        <f>$C48 * J48</f>
        <v>20.55103687702799</v>
      </c>
      <c r="P48" s="894"/>
      <c r="Q48" s="895"/>
      <c r="R48" s="895"/>
      <c r="S48" s="895"/>
      <c r="T48" s="895"/>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row>
    <row r="49" spans="1:49">
      <c r="A49" s="43"/>
      <c r="B49" s="162" t="s">
        <v>773</v>
      </c>
      <c r="C49" s="929">
        <f>SUM(D15:I15)</f>
        <v>251.47300000000001</v>
      </c>
      <c r="D49" s="160" t="s">
        <v>774</v>
      </c>
      <c r="E49" s="147">
        <f>'Calc DNO Opex Allocation'!AQ42</f>
        <v>0.1968525249833474</v>
      </c>
      <c r="F49" s="147"/>
      <c r="G49" s="147">
        <f>'Calc DNO Opex Allocation'!AR42</f>
        <v>0.29487234766408704</v>
      </c>
      <c r="H49" s="147">
        <f>'Calc DNO Opex Allocation'!AS42</f>
        <v>8.4927143688100545E-2</v>
      </c>
      <c r="I49" s="147">
        <f>'Calc DNO Opex Allocation'!AT42</f>
        <v>0.26625307549138683</v>
      </c>
      <c r="J49" s="746">
        <f>'Calc DNO Opex Allocation'!AU42</f>
        <v>0.15709490817307806</v>
      </c>
      <c r="K49" s="901">
        <f>$C49*E49</f>
        <v>49.503095015137326</v>
      </c>
      <c r="L49" s="901">
        <f t="shared" si="2"/>
        <v>74.152433884130971</v>
      </c>
      <c r="M49" s="901">
        <f t="shared" si="2"/>
        <v>21.356883604677709</v>
      </c>
      <c r="N49" s="901">
        <f>$C49*I49</f>
        <v>66.955459653045523</v>
      </c>
      <c r="O49" s="161">
        <f>$C49 * J49</f>
        <v>39.505127843008459</v>
      </c>
      <c r="P49" s="894"/>
      <c r="Q49" s="895"/>
      <c r="R49" s="895"/>
      <c r="S49" s="895"/>
      <c r="T49" s="895"/>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row>
    <row r="50" spans="1:49">
      <c r="A50" s="43"/>
      <c r="B50" s="158"/>
      <c r="C50" s="929"/>
      <c r="D50" s="158"/>
      <c r="E50" s="138"/>
      <c r="F50" s="138"/>
      <c r="G50" s="138"/>
      <c r="H50" s="138"/>
      <c r="I50" s="138"/>
      <c r="J50" s="159"/>
      <c r="K50" s="900"/>
      <c r="L50" s="900"/>
      <c r="M50" s="901"/>
      <c r="N50" s="900"/>
      <c r="O50" s="161"/>
      <c r="P50" s="896"/>
      <c r="Q50" s="897"/>
      <c r="R50" s="897"/>
      <c r="S50" s="895"/>
      <c r="T50" s="89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row>
    <row r="51" spans="1:49">
      <c r="A51" s="43"/>
      <c r="B51" s="162" t="s">
        <v>245</v>
      </c>
      <c r="C51" s="929">
        <f>SUM(C47:C49)</f>
        <v>721.25168876116027</v>
      </c>
      <c r="D51" s="158"/>
      <c r="E51" s="138"/>
      <c r="F51" s="138"/>
      <c r="G51" s="138"/>
      <c r="H51" s="138"/>
      <c r="I51" s="138"/>
      <c r="J51" s="159"/>
      <c r="K51" s="901">
        <f>SUM(K47:K50)</f>
        <v>207.77966031655123</v>
      </c>
      <c r="L51" s="901">
        <f>SUM(L47:L50)</f>
        <v>249.38938145877995</v>
      </c>
      <c r="M51" s="901">
        <f>SUM(M47:M50)</f>
        <v>64.792550657855017</v>
      </c>
      <c r="N51" s="901">
        <f>SUM(N47:N50)</f>
        <v>121.65527197322598</v>
      </c>
      <c r="O51" s="161">
        <f>SUM($O$47:$O$50)</f>
        <v>77.634824354748019</v>
      </c>
      <c r="P51" s="898"/>
      <c r="Q51" s="899"/>
      <c r="R51" s="899"/>
      <c r="S51" s="899"/>
      <c r="T51" s="899"/>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row>
    <row r="52" spans="1:49">
      <c r="A52" s="43"/>
      <c r="B52" s="163"/>
      <c r="C52" s="163"/>
      <c r="D52" s="163"/>
      <c r="E52" s="164"/>
      <c r="F52" s="164"/>
      <c r="G52" s="164"/>
      <c r="H52" s="164"/>
      <c r="I52" s="164"/>
      <c r="J52" s="165"/>
      <c r="K52" s="902">
        <f>K51/SUM($K$51:$O$51)</f>
        <v>0.28808204341738008</v>
      </c>
      <c r="L52" s="902">
        <f>L51/SUM($K$51:$O$51)</f>
        <v>0.34577302950532757</v>
      </c>
      <c r="M52" s="902">
        <f>M51/SUM($K$51:$O$51)</f>
        <v>8.9833482080498572E-2</v>
      </c>
      <c r="N52" s="902">
        <f>N51/SUM($K$51:$O$51)</f>
        <v>0.16867242582431122</v>
      </c>
      <c r="O52" s="166">
        <f>O51/SUM($K$50:$O$51)</f>
        <v>0.10763901917248267</v>
      </c>
      <c r="P52" s="896"/>
      <c r="Q52" s="897"/>
      <c r="R52" s="897"/>
      <c r="S52" s="897"/>
      <c r="T52" s="897"/>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3"/>
      <c r="AT52" s="43"/>
      <c r="AU52" s="43"/>
      <c r="AV52" s="43"/>
      <c r="AW52" s="43"/>
    </row>
    <row r="53" spans="1:49">
      <c r="A53" s="43"/>
      <c r="B53" s="43"/>
      <c r="C53" s="43"/>
      <c r="D53" s="43"/>
      <c r="E53" s="43">
        <v>6</v>
      </c>
      <c r="F53" s="43"/>
      <c r="G53" s="43">
        <v>5</v>
      </c>
      <c r="H53" s="43">
        <v>4</v>
      </c>
      <c r="I53" s="43">
        <v>3</v>
      </c>
      <c r="J53" s="43">
        <v>2</v>
      </c>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3"/>
      <c r="AS53" s="43"/>
      <c r="AT53" s="43"/>
      <c r="AU53" s="43"/>
      <c r="AV53" s="43"/>
      <c r="AW53" s="43"/>
    </row>
    <row r="54" spans="1:49">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43"/>
      <c r="AI54" s="43"/>
      <c r="AJ54" s="43"/>
      <c r="AK54" s="43"/>
      <c r="AL54" s="43"/>
      <c r="AM54" s="43"/>
      <c r="AN54" s="43"/>
      <c r="AO54" s="43"/>
      <c r="AP54" s="43"/>
      <c r="AQ54" s="43"/>
      <c r="AR54" s="43"/>
      <c r="AS54" s="43"/>
      <c r="AT54" s="43"/>
      <c r="AU54" s="43"/>
      <c r="AV54" s="43"/>
      <c r="AW54" s="43"/>
    </row>
    <row r="55" spans="1:49">
      <c r="A55" s="43"/>
      <c r="B55" s="43"/>
      <c r="C55" s="43"/>
      <c r="D55" s="217" t="s">
        <v>408</v>
      </c>
      <c r="E55" s="43"/>
      <c r="F55" s="43"/>
      <c r="G55" s="43"/>
      <c r="H55" s="43"/>
      <c r="I55" s="43"/>
      <c r="J55" s="43"/>
      <c r="K55" s="486"/>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row>
    <row r="56" spans="1:49">
      <c r="A56" s="43"/>
      <c r="B56" s="43"/>
      <c r="C56" s="43"/>
      <c r="D56" s="822" t="s">
        <v>886</v>
      </c>
      <c r="E56" s="43"/>
      <c r="F56" s="43"/>
      <c r="G56" s="43"/>
      <c r="H56" s="43"/>
      <c r="I56" s="43"/>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row>
    <row r="57" spans="1:49">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row>
    <row r="58" spans="1:49" s="213" customFormat="1">
      <c r="A58" s="208" t="s">
        <v>895</v>
      </c>
      <c r="N58" s="214"/>
      <c r="O58" s="214"/>
      <c r="P58" s="214"/>
      <c r="Q58" s="214"/>
      <c r="R58" s="214"/>
      <c r="S58" s="214"/>
      <c r="T58" s="214"/>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row>
    <row r="60" spans="1:49" ht="13.5" thickBot="1">
      <c r="B60" s="2257" t="s">
        <v>494</v>
      </c>
      <c r="C60" s="2257"/>
      <c r="D60" s="2257"/>
      <c r="E60" s="2257"/>
      <c r="F60" s="2257"/>
      <c r="G60" s="2257"/>
    </row>
    <row r="61" spans="1:49">
      <c r="B61" s="121" t="s">
        <v>875</v>
      </c>
      <c r="C61" s="122"/>
      <c r="D61" s="122"/>
      <c r="E61" s="122"/>
      <c r="F61" s="122">
        <f>'Summary of revenue'!J11</f>
        <v>164.61900800000001</v>
      </c>
      <c r="G61" s="123">
        <f>F61/$F$66</f>
        <v>0.94427803641023134</v>
      </c>
      <c r="K61" s="932"/>
      <c r="L61" s="932"/>
      <c r="M61" s="135"/>
      <c r="N61" s="823"/>
      <c r="O61" s="823"/>
      <c r="P61" s="934" t="s">
        <v>14</v>
      </c>
      <c r="Q61" s="934" t="s">
        <v>992</v>
      </c>
      <c r="R61" s="934" t="s">
        <v>993</v>
      </c>
    </row>
    <row r="62" spans="1:49">
      <c r="B62" s="124" t="s">
        <v>454</v>
      </c>
      <c r="C62" s="125"/>
      <c r="D62" s="125"/>
      <c r="E62" s="125"/>
      <c r="F62" s="125">
        <f>'Summary of revenue'!J12</f>
        <v>-0.91199699999999995</v>
      </c>
      <c r="G62" s="930">
        <f>F62/$F$66</f>
        <v>-5.2313444652273789E-3</v>
      </c>
      <c r="K62" s="932"/>
      <c r="L62" s="932"/>
      <c r="M62" s="137"/>
      <c r="N62" s="138"/>
      <c r="O62" s="138"/>
      <c r="P62" s="139"/>
      <c r="Q62" s="139"/>
      <c r="R62" s="139"/>
    </row>
    <row r="63" spans="1:49">
      <c r="B63" s="124" t="s">
        <v>446</v>
      </c>
      <c r="C63" s="125"/>
      <c r="D63" s="125"/>
      <c r="E63" s="125"/>
      <c r="F63" s="125">
        <f>'Summary of revenue'!J13</f>
        <v>2.5028890000000001</v>
      </c>
      <c r="G63" s="930">
        <f>F63/$F$66</f>
        <v>1.435692717983556E-2</v>
      </c>
      <c r="K63" s="932"/>
      <c r="L63" s="932"/>
      <c r="M63" s="137" t="s">
        <v>450</v>
      </c>
      <c r="N63" s="138"/>
      <c r="O63" s="138"/>
      <c r="P63" s="952">
        <f>F66</f>
        <v>174.33319600000002</v>
      </c>
      <c r="Q63" s="952">
        <f>'DNO Final Allocation'!G68</f>
        <v>6.800000433437333</v>
      </c>
      <c r="R63" s="952">
        <f>P63-Q63</f>
        <v>167.53319556656268</v>
      </c>
    </row>
    <row r="64" spans="1:49">
      <c r="B64" s="951" t="s">
        <v>894</v>
      </c>
      <c r="C64" s="125"/>
      <c r="D64" s="125"/>
      <c r="E64" s="125"/>
      <c r="F64" s="125">
        <f>'Summary of revenue'!J21</f>
        <v>2.533296</v>
      </c>
      <c r="G64" s="930">
        <f>F64/$F$66</f>
        <v>1.4531346055285993E-2</v>
      </c>
      <c r="K64" s="932"/>
      <c r="L64" s="932"/>
      <c r="M64" s="137"/>
      <c r="N64" s="138"/>
      <c r="O64" s="138"/>
      <c r="P64" s="952"/>
      <c r="Q64" s="952"/>
      <c r="R64" s="952"/>
    </row>
    <row r="65" spans="2:19" ht="14.25">
      <c r="B65" s="124" t="s">
        <v>447</v>
      </c>
      <c r="C65" s="125"/>
      <c r="D65" s="125"/>
      <c r="E65" s="125"/>
      <c r="F65" s="125">
        <f>'Summary of revenue'!J46+'Summary of revenue'!J47</f>
        <v>5.59</v>
      </c>
      <c r="G65" s="930">
        <f>F65/$F$66</f>
        <v>3.2065034819874459E-2</v>
      </c>
      <c r="K65" s="932"/>
      <c r="L65" s="932"/>
      <c r="M65" s="137" t="s">
        <v>985</v>
      </c>
      <c r="N65" s="138"/>
      <c r="O65" s="933"/>
      <c r="P65" s="952">
        <f>-F63</f>
        <v>-2.5028890000000001</v>
      </c>
      <c r="Q65" s="952">
        <f>Q$63*P65/P$63</f>
        <v>-9.7627111045710049E-2</v>
      </c>
      <c r="R65" s="952">
        <f>P65-Q65</f>
        <v>-2.4052618889542901</v>
      </c>
    </row>
    <row r="66" spans="2:19" ht="13.5" thickBot="1">
      <c r="B66" s="126" t="s">
        <v>245</v>
      </c>
      <c r="C66" s="127"/>
      <c r="D66" s="127"/>
      <c r="E66" s="127"/>
      <c r="F66" s="127">
        <f>SUM(F61:F65)</f>
        <v>174.33319600000002</v>
      </c>
      <c r="G66" s="931">
        <f>SUM(G61:G65)</f>
        <v>1</v>
      </c>
      <c r="K66" s="932"/>
      <c r="L66" s="932"/>
      <c r="M66" s="137" t="s">
        <v>984</v>
      </c>
      <c r="N66" s="138"/>
      <c r="O66" s="138"/>
      <c r="P66" s="952">
        <f>-'Calc DNO Opex Allocation'!I37</f>
        <v>-4.2</v>
      </c>
      <c r="Q66" s="952">
        <f>Q$63*P66/P$63</f>
        <v>-0.16382423127513132</v>
      </c>
      <c r="R66" s="952">
        <f>P66-Q66</f>
        <v>-4.0361757687248687</v>
      </c>
    </row>
    <row r="67" spans="2:19" ht="15" thickBot="1">
      <c r="K67" s="932"/>
      <c r="L67" s="932"/>
      <c r="M67" s="137"/>
      <c r="N67" s="138"/>
      <c r="O67" s="933"/>
      <c r="P67" s="952"/>
      <c r="Q67" s="952"/>
      <c r="R67" s="952"/>
    </row>
    <row r="68" spans="2:19" ht="19.5" thickBot="1">
      <c r="B68" s="1287" t="s">
        <v>983</v>
      </c>
      <c r="C68" s="1288"/>
      <c r="D68" s="1288"/>
      <c r="E68" s="1288"/>
      <c r="F68" s="1288"/>
      <c r="G68" s="1289">
        <f>(('Summary of revenue'!J11+'Summary of revenue'!J63)/'Summary of revenue'!J62)-'Summary of revenue'!J61</f>
        <v>6.800000433437333</v>
      </c>
      <c r="K68" s="932"/>
      <c r="L68" s="932"/>
      <c r="M68" s="137" t="s">
        <v>991</v>
      </c>
      <c r="N68" s="138"/>
      <c r="O68" s="933"/>
      <c r="P68" s="952">
        <f>-SUM(P65:P67)</f>
        <v>6.7028890000000008</v>
      </c>
      <c r="Q68" s="952">
        <f>-SUM(Q65:Q67)</f>
        <v>0.26145134232084138</v>
      </c>
      <c r="R68" s="952">
        <f>P68-Q68</f>
        <v>6.4414376576791597</v>
      </c>
    </row>
    <row r="69" spans="2:19" ht="13.5" thickBot="1">
      <c r="K69" s="932"/>
      <c r="L69" s="932"/>
      <c r="M69" s="149" t="s">
        <v>366</v>
      </c>
      <c r="N69" s="150"/>
      <c r="O69" s="150"/>
      <c r="P69" s="953">
        <f>SUM(P63:P67)</f>
        <v>167.63030700000002</v>
      </c>
      <c r="Q69" s="953">
        <f>SUM(Q63:Q67)</f>
        <v>6.5385490911164919</v>
      </c>
      <c r="R69" s="952">
        <f>P69-Q69</f>
        <v>161.09175790888352</v>
      </c>
    </row>
    <row r="70" spans="2:19">
      <c r="B70" s="43"/>
      <c r="C70" s="43"/>
      <c r="D70" s="43"/>
      <c r="E70" s="43"/>
      <c r="F70" s="43"/>
      <c r="G70" s="43"/>
      <c r="H70" s="43"/>
      <c r="I70" s="43"/>
      <c r="J70" s="43"/>
      <c r="K70" s="43"/>
      <c r="L70" s="43"/>
      <c r="M70" s="43"/>
      <c r="N70" s="43"/>
      <c r="O70" s="43"/>
      <c r="P70" s="43"/>
      <c r="Q70" s="43"/>
      <c r="R70" s="43"/>
    </row>
    <row r="71" spans="2:19" s="75" customFormat="1" ht="39" customHeight="1" thickBot="1">
      <c r="D71" s="2254"/>
      <c r="E71" s="2255"/>
      <c r="F71" s="2255"/>
      <c r="G71" s="2255"/>
      <c r="H71" s="2255"/>
      <c r="I71" s="2255"/>
      <c r="J71" s="2255"/>
      <c r="K71" s="2256"/>
      <c r="L71" s="2254" t="s">
        <v>766</v>
      </c>
      <c r="M71" s="2255"/>
      <c r="N71" s="2255"/>
      <c r="O71" s="2255"/>
      <c r="P71" s="2255"/>
      <c r="Q71" s="2255"/>
      <c r="R71" s="2256"/>
    </row>
    <row r="72" spans="2:19">
      <c r="B72" s="926" t="s">
        <v>889</v>
      </c>
      <c r="C72" s="136"/>
      <c r="D72" s="2245" t="s">
        <v>14</v>
      </c>
      <c r="E72" s="2246"/>
      <c r="F72" s="2246"/>
      <c r="G72" s="2246"/>
      <c r="H72" s="2246"/>
      <c r="I72" s="2246"/>
      <c r="J72" s="2246"/>
      <c r="K72" s="823"/>
      <c r="L72" s="2245" t="s">
        <v>340</v>
      </c>
      <c r="M72" s="2247"/>
      <c r="N72" s="2247"/>
      <c r="O72" s="2247"/>
      <c r="P72" s="2247"/>
      <c r="Q72" s="2246"/>
      <c r="R72" s="2248"/>
    </row>
    <row r="73" spans="2:19">
      <c r="B73" s="137"/>
      <c r="C73" s="138"/>
      <c r="D73" s="140" t="s">
        <v>245</v>
      </c>
      <c r="E73" s="140"/>
      <c r="F73" s="140" t="s">
        <v>244</v>
      </c>
      <c r="G73" s="140" t="s">
        <v>238</v>
      </c>
      <c r="H73" s="140" t="s">
        <v>405</v>
      </c>
      <c r="I73" s="140" t="s">
        <v>239</v>
      </c>
      <c r="J73" s="140" t="s">
        <v>384</v>
      </c>
      <c r="K73" s="907"/>
      <c r="L73" s="908" t="s">
        <v>244</v>
      </c>
      <c r="M73" s="141" t="s">
        <v>238</v>
      </c>
      <c r="N73" s="141" t="s">
        <v>405</v>
      </c>
      <c r="O73" s="141" t="s">
        <v>619</v>
      </c>
      <c r="P73" s="140" t="s">
        <v>384</v>
      </c>
      <c r="Q73" s="140"/>
      <c r="R73" s="140" t="s">
        <v>245</v>
      </c>
      <c r="S73" s="910" t="s">
        <v>879</v>
      </c>
    </row>
    <row r="74" spans="2:19">
      <c r="B74" s="137"/>
      <c r="C74" s="138"/>
      <c r="D74" s="137"/>
      <c r="E74" s="138"/>
      <c r="F74" s="138"/>
      <c r="G74" s="138"/>
      <c r="H74" s="138"/>
      <c r="I74" s="138"/>
      <c r="J74" s="138"/>
      <c r="K74" s="138"/>
      <c r="L74" s="912"/>
      <c r="M74" s="900"/>
      <c r="N74" s="900"/>
      <c r="O74" s="900"/>
      <c r="P74" s="159"/>
      <c r="Q74" s="159"/>
      <c r="R74" s="159"/>
      <c r="S74" s="139"/>
    </row>
    <row r="75" spans="2:19">
      <c r="B75" s="137" t="s">
        <v>652</v>
      </c>
      <c r="C75" s="138"/>
      <c r="D75" s="144">
        <f>SUM(F75:J75)</f>
        <v>167.53319556656271</v>
      </c>
      <c r="E75" s="138"/>
      <c r="F75" s="145">
        <f>$R$69*K52</f>
        <v>46.407642796089064</v>
      </c>
      <c r="G75" s="145">
        <f>$R$69*L52</f>
        <v>55.701185160493466</v>
      </c>
      <c r="H75" s="145">
        <f>$R$69*M52</f>
        <v>14.471433547423702</v>
      </c>
      <c r="I75" s="145">
        <f>$R$69*(N52+O52)</f>
        <v>44.511496404877306</v>
      </c>
      <c r="J75" s="935">
        <f>R68</f>
        <v>6.4414376576791597</v>
      </c>
      <c r="K75" s="138"/>
      <c r="L75" s="913">
        <f>F75*100000000/'Calc-Units'!E23</f>
        <v>0.37375294194639341</v>
      </c>
      <c r="M75" s="914">
        <f>G75*100000000/'Calc-Units'!D23</f>
        <v>0.57941079617436164</v>
      </c>
      <c r="N75" s="914">
        <f>H75*100000000/'Calc-Units'!C23</f>
        <v>0.20054079897646809</v>
      </c>
      <c r="O75" s="914">
        <f>I75*100000000/'Calc-Units'!C23</f>
        <v>0.61682700773355059</v>
      </c>
      <c r="P75" s="914">
        <f>J75*100000000/'Calc-Units'!E23</f>
        <v>5.1877366094637327E-2</v>
      </c>
      <c r="Q75" s="159"/>
      <c r="R75" s="914"/>
      <c r="S75" s="911"/>
    </row>
    <row r="76" spans="2:19">
      <c r="B76" s="137"/>
      <c r="C76" s="138"/>
      <c r="D76" s="137"/>
      <c r="E76" s="138"/>
      <c r="F76" s="138"/>
      <c r="G76" s="138"/>
      <c r="H76" s="138"/>
      <c r="I76" s="138"/>
      <c r="J76" s="138"/>
      <c r="K76" s="138"/>
      <c r="L76" s="912"/>
      <c r="M76" s="900"/>
      <c r="N76" s="900"/>
      <c r="O76" s="900"/>
      <c r="P76" s="900"/>
      <c r="Q76" s="159"/>
      <c r="R76" s="159"/>
      <c r="S76" s="139"/>
    </row>
    <row r="77" spans="2:19">
      <c r="B77" s="137" t="s">
        <v>431</v>
      </c>
      <c r="C77" s="138"/>
      <c r="D77" s="137"/>
      <c r="E77" s="138"/>
      <c r="F77" s="138"/>
      <c r="G77" s="138"/>
      <c r="H77" s="138"/>
      <c r="I77" s="138"/>
      <c r="J77" s="138"/>
      <c r="K77" s="138"/>
      <c r="L77" s="913">
        <f>L75</f>
        <v>0.37375294194639341</v>
      </c>
      <c r="M77" s="914">
        <f>M75</f>
        <v>0.57941079617436164</v>
      </c>
      <c r="N77" s="914">
        <f>N75</f>
        <v>0.20054079897646809</v>
      </c>
      <c r="O77" s="914">
        <f>O75</f>
        <v>0.61682700773355059</v>
      </c>
      <c r="P77" s="914">
        <f>P75</f>
        <v>5.1877366094637327E-2</v>
      </c>
      <c r="Q77" s="159"/>
      <c r="R77" s="915">
        <f>SUM(L77:P77)</f>
        <v>1.8224089109254111</v>
      </c>
      <c r="S77" s="146"/>
    </row>
    <row r="78" spans="2:19">
      <c r="B78" s="137" t="s">
        <v>432</v>
      </c>
      <c r="C78" s="138"/>
      <c r="D78" s="137"/>
      <c r="E78" s="138"/>
      <c r="F78" s="138"/>
      <c r="G78" s="138"/>
      <c r="H78" s="138"/>
      <c r="I78" s="138"/>
      <c r="J78" s="138"/>
      <c r="K78" s="138"/>
      <c r="L78" s="913"/>
      <c r="M78" s="914"/>
      <c r="N78" s="914"/>
      <c r="O78" s="900"/>
      <c r="P78" s="914"/>
      <c r="Q78" s="159"/>
      <c r="R78" s="915"/>
      <c r="S78" s="146"/>
    </row>
    <row r="79" spans="2:19">
      <c r="B79" s="137" t="s">
        <v>433</v>
      </c>
      <c r="C79" s="138"/>
      <c r="D79" s="137"/>
      <c r="E79" s="138"/>
      <c r="F79" s="138"/>
      <c r="G79" s="138"/>
      <c r="H79" s="138"/>
      <c r="I79" s="138"/>
      <c r="J79" s="138"/>
      <c r="K79" s="138"/>
      <c r="L79" s="913"/>
      <c r="M79" s="900"/>
      <c r="N79" s="900"/>
      <c r="O79" s="900"/>
      <c r="P79" s="914"/>
      <c r="Q79" s="159"/>
      <c r="R79" s="915"/>
      <c r="S79" s="146"/>
    </row>
    <row r="80" spans="2:19">
      <c r="B80" s="137"/>
      <c r="C80" s="138"/>
      <c r="D80" s="137"/>
      <c r="E80" s="138"/>
      <c r="F80" s="138"/>
      <c r="G80" s="138"/>
      <c r="H80" s="138"/>
      <c r="I80" s="138"/>
      <c r="J80" s="138"/>
      <c r="K80" s="138"/>
      <c r="L80" s="912"/>
      <c r="M80" s="900"/>
      <c r="N80" s="900"/>
      <c r="O80" s="900"/>
      <c r="P80" s="900"/>
      <c r="Q80" s="159"/>
      <c r="R80" s="159"/>
      <c r="S80" s="139"/>
    </row>
    <row r="81" spans="2:20">
      <c r="B81" s="137" t="s">
        <v>431</v>
      </c>
      <c r="C81" s="138"/>
      <c r="D81" s="137"/>
      <c r="E81" s="138"/>
      <c r="F81" s="138"/>
      <c r="G81" s="138"/>
      <c r="H81" s="138"/>
      <c r="I81" s="138"/>
      <c r="J81" s="138"/>
      <c r="K81" s="138"/>
      <c r="L81" s="916">
        <f>L77/$R77</f>
        <v>0.20508731037569572</v>
      </c>
      <c r="M81" s="917">
        <f>M77/$R77</f>
        <v>0.3179367663869353</v>
      </c>
      <c r="N81" s="917">
        <f>N77/$R77</f>
        <v>0.11004160360181424</v>
      </c>
      <c r="O81" s="917">
        <f>$O77/$R77*$N52/($N52+$O52)</f>
        <v>0.20661543771044102</v>
      </c>
      <c r="P81" s="917">
        <f>P77/$R77</f>
        <v>2.8466369860041033E-2</v>
      </c>
      <c r="Q81" s="918"/>
      <c r="R81" s="919">
        <f>SUM(L81:P81) + S81</f>
        <v>1</v>
      </c>
      <c r="S81" s="215">
        <f>$O77/$R77*$O52/($N52+$O52)</f>
        <v>0.13185251206507259</v>
      </c>
      <c r="T81" s="486"/>
    </row>
    <row r="82" spans="2:20">
      <c r="B82" s="137" t="s">
        <v>432</v>
      </c>
      <c r="C82" s="138"/>
      <c r="D82" s="137"/>
      <c r="E82" s="138"/>
      <c r="F82" s="138"/>
      <c r="G82" s="138"/>
      <c r="H82" s="138"/>
      <c r="I82" s="138"/>
      <c r="J82" s="138"/>
      <c r="K82" s="138"/>
      <c r="L82" s="920"/>
      <c r="M82" s="921"/>
      <c r="N82" s="921"/>
      <c r="O82" s="921"/>
      <c r="P82" s="921"/>
      <c r="Q82" s="922"/>
      <c r="R82" s="922"/>
      <c r="S82" s="148"/>
    </row>
    <row r="83" spans="2:20" ht="13.5" thickBot="1">
      <c r="B83" s="149" t="s">
        <v>433</v>
      </c>
      <c r="C83" s="150"/>
      <c r="D83" s="149"/>
      <c r="E83" s="150"/>
      <c r="F83" s="150"/>
      <c r="G83" s="150"/>
      <c r="H83" s="150"/>
      <c r="I83" s="150"/>
      <c r="J83" s="150"/>
      <c r="K83" s="150"/>
      <c r="L83" s="923"/>
      <c r="M83" s="924"/>
      <c r="N83" s="924"/>
      <c r="O83" s="924"/>
      <c r="P83" s="924"/>
      <c r="Q83" s="925"/>
      <c r="R83" s="925"/>
      <c r="S83" s="909"/>
    </row>
  </sheetData>
  <sheetProtection sheet="1" objects="1" scenarios="1"/>
  <mergeCells count="8">
    <mergeCell ref="D72:J72"/>
    <mergeCell ref="L72:R72"/>
    <mergeCell ref="E45:I45"/>
    <mergeCell ref="K45:N45"/>
    <mergeCell ref="P45:T45"/>
    <mergeCell ref="D71:K71"/>
    <mergeCell ref="L71:R71"/>
    <mergeCell ref="B60:G60"/>
  </mergeCells>
  <phoneticPr fontId="0" type="noConversion"/>
  <pageMargins left="0.70866141732283472" right="0.70866141732283472" top="0.74803149606299213" bottom="0.74803149606299213" header="0.31496062992125984" footer="0.31496062992125984"/>
  <pageSetup paperSize="9" scale="29" orientation="landscape"/>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enableFormatConditionsCalculation="0">
    <tabColor rgb="FFFFFF00"/>
    <pageSetUpPr fitToPage="1"/>
  </sheetPr>
  <dimension ref="A1:G40"/>
  <sheetViews>
    <sheetView showGridLines="0" workbookViewId="0"/>
  </sheetViews>
  <sheetFormatPr defaultColWidth="8.85546875" defaultRowHeight="12.75"/>
  <cols>
    <col min="1" max="1" width="44" customWidth="1"/>
    <col min="2" max="7" width="13.42578125" customWidth="1"/>
    <col min="8" max="8" width="9.140625" customWidth="1"/>
  </cols>
  <sheetData>
    <row r="1" spans="1:7" s="1263" customFormat="1" ht="19.5">
      <c r="A1" s="1261" t="str">
        <f>"Allocation Summary for Method M ("&amp;'Calc-Net capex'!B5&amp;") for "&amp;Inputs!B6&amp;" in "&amp;Inputs!C6&amp;"  Status: "&amp;Inputs!D6&amp;""</f>
        <v>Allocation Summary for Method M (LR1) for WPD South Wales in 2015/16  Status: 2014/15</v>
      </c>
    </row>
    <row r="3" spans="1:7" ht="12.75" customHeight="1">
      <c r="A3" s="176" t="s">
        <v>891</v>
      </c>
      <c r="B3" s="2258" t="s">
        <v>342</v>
      </c>
      <c r="C3" s="2258"/>
      <c r="D3" s="2258"/>
      <c r="E3" s="2258"/>
      <c r="F3" s="2258"/>
      <c r="G3" s="2258"/>
    </row>
    <row r="4" spans="1:7">
      <c r="A4" s="180"/>
      <c r="B4" s="837" t="s">
        <v>879</v>
      </c>
      <c r="C4" s="827" t="s">
        <v>619</v>
      </c>
      <c r="D4" s="828" t="s">
        <v>373</v>
      </c>
      <c r="E4" s="827" t="s">
        <v>238</v>
      </c>
      <c r="F4" s="827" t="s">
        <v>244</v>
      </c>
      <c r="G4" s="829" t="s">
        <v>445</v>
      </c>
    </row>
    <row r="5" spans="1:7">
      <c r="A5" s="936" t="s">
        <v>482</v>
      </c>
      <c r="B5" s="203">
        <f>'DNO Final Allocation'!J49</f>
        <v>0.15709490817307806</v>
      </c>
      <c r="C5" s="830">
        <f>'DNO Final Allocation'!I49</f>
        <v>0.26625307549138683</v>
      </c>
      <c r="D5" s="830">
        <f>'DNO Final Allocation'!H49</f>
        <v>8.4927143688100545E-2</v>
      </c>
      <c r="E5" s="830">
        <f>'DNO Final Allocation'!G49</f>
        <v>0.29487234766408704</v>
      </c>
      <c r="F5" s="830">
        <f>'DNO Final Allocation'!E49</f>
        <v>0.1968525249833474</v>
      </c>
      <c r="G5" s="831" t="s">
        <v>476</v>
      </c>
    </row>
    <row r="6" spans="1:7">
      <c r="A6" s="937" t="s">
        <v>437</v>
      </c>
      <c r="B6" s="204">
        <f>'DNO Final Allocation'!J47</f>
        <v>8.1165232531706127E-2</v>
      </c>
      <c r="C6" s="832">
        <f>'DNO Final Allocation'!I48</f>
        <v>0.11643740686583239</v>
      </c>
      <c r="D6" s="832">
        <f>'DNO Final Allocation'!H48</f>
        <v>9.2459849908730962E-2</v>
      </c>
      <c r="E6" s="832">
        <f>'DNO Final Allocation'!G48</f>
        <v>0.37302021519273526</v>
      </c>
      <c r="F6" s="832">
        <f>'DNO Final Allocation'!E48</f>
        <v>0.33691729550099531</v>
      </c>
      <c r="G6" s="833" t="s">
        <v>476</v>
      </c>
    </row>
    <row r="7" spans="1:7">
      <c r="A7" s="938" t="s">
        <v>341</v>
      </c>
      <c r="B7" s="205">
        <f>'DNO Final Allocation'!J48</f>
        <v>8.1165232531706127E-2</v>
      </c>
      <c r="C7" s="834">
        <f>'DNO Final Allocation'!I47</f>
        <v>0.11643740686583239</v>
      </c>
      <c r="D7" s="834">
        <f>'DNO Final Allocation'!H47</f>
        <v>9.2459849908730962E-2</v>
      </c>
      <c r="E7" s="834">
        <f>'DNO Final Allocation'!G47</f>
        <v>0.37302021519273526</v>
      </c>
      <c r="F7" s="834">
        <f>'DNO Final Allocation'!E47</f>
        <v>0.33691729550099531</v>
      </c>
      <c r="G7" s="835" t="s">
        <v>476</v>
      </c>
    </row>
    <row r="8" spans="1:7">
      <c r="A8" s="939" t="s">
        <v>444</v>
      </c>
      <c r="B8" s="206">
        <f>'DNO Final Allocation'!O52</f>
        <v>0.10763901917248267</v>
      </c>
      <c r="C8" s="484">
        <f>'DNO Final Allocation'!N52</f>
        <v>0.16867242582431122</v>
      </c>
      <c r="D8" s="825">
        <f>'DNO Final Allocation'!M52</f>
        <v>8.9833482080498572E-2</v>
      </c>
      <c r="E8" s="825">
        <f>'DNO Final Allocation'!L52</f>
        <v>0.34577302950532757</v>
      </c>
      <c r="F8" s="825">
        <f>'DNO Final Allocation'!K52</f>
        <v>0.28808204341738008</v>
      </c>
      <c r="G8" s="484" t="s">
        <v>476</v>
      </c>
    </row>
    <row r="9" spans="1:7" ht="41.25" customHeight="1">
      <c r="A9" s="940" t="s">
        <v>892</v>
      </c>
      <c r="B9" s="202">
        <f>'DNO Final Allocation'!S81</f>
        <v>0.13185251206507259</v>
      </c>
      <c r="C9" s="826">
        <f>'DNO Final Allocation'!O81</f>
        <v>0.20661543771044102</v>
      </c>
      <c r="D9" s="826">
        <f>'DNO Final Allocation'!N81</f>
        <v>0.11004160360181424</v>
      </c>
      <c r="E9" s="826">
        <f>'DNO Final Allocation'!M81</f>
        <v>0.3179367663869353</v>
      </c>
      <c r="F9" s="826">
        <f>'DNO Final Allocation'!L81</f>
        <v>0.20508731037569572</v>
      </c>
      <c r="G9" s="826">
        <f>'DNO Final Allocation'!P81</f>
        <v>2.8466369860041033E-2</v>
      </c>
    </row>
    <row r="10" spans="1:7">
      <c r="A10" s="940" t="s">
        <v>441</v>
      </c>
      <c r="B10" s="221">
        <f>'Calc DNO Opex Allocation'!AD49</f>
        <v>0.49423185915389717</v>
      </c>
      <c r="C10" s="836">
        <f>'Calc DNO Opex Allocation'!AC49</f>
        <v>0.49423185915389717</v>
      </c>
      <c r="D10" s="836">
        <f>'Calc DNO Opex Allocation'!AB49</f>
        <v>0.74095359824197038</v>
      </c>
      <c r="E10" s="836">
        <f>'Calc DNO Opex Allocation'!AA49</f>
        <v>0.73187316534258906</v>
      </c>
      <c r="F10" s="836">
        <f>'Calc DNO Opex Allocation'!Z49</f>
        <v>0.74552938084315901</v>
      </c>
      <c r="G10" s="836" t="s">
        <v>476</v>
      </c>
    </row>
    <row r="12" spans="1:7" ht="12" customHeight="1"/>
    <row r="22" ht="12" customHeight="1"/>
    <row r="31" ht="12" customHeight="1"/>
    <row r="40" ht="12" customHeight="1"/>
  </sheetData>
  <sheetProtection sheet="1" objects="1" scenarios="1"/>
  <mergeCells count="1">
    <mergeCell ref="B3:G3"/>
  </mergeCells>
  <phoneticPr fontId="2"/>
  <pageMargins left="0.70866141732283472" right="0.70866141732283472" top="0.74803149606299213" bottom="0.74803149606299213" header="0.31496062992125984" footer="0.31496062992125984"/>
  <pageSetup paperSize="9" scale="70" orientation="portrait"/>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enableFormatConditionsCalculation="0">
    <tabColor rgb="FFFFFF00"/>
  </sheetPr>
  <dimension ref="A1:F7"/>
  <sheetViews>
    <sheetView showGridLines="0" tabSelected="1" workbookViewId="0">
      <selection activeCell="C6" sqref="C6:F6"/>
    </sheetView>
  </sheetViews>
  <sheetFormatPr defaultColWidth="17.7109375" defaultRowHeight="12.75"/>
  <sheetData>
    <row r="1" spans="1:6" s="1263" customFormat="1" ht="19.5">
      <c r="A1" s="1261" t="str">
        <f>"Results for Method M ("&amp;'Calc-Net capex'!B5&amp;") for "&amp;Inputs!B6&amp;" in "&amp;Inputs!C6&amp;"  Status: "&amp;Inputs!D6&amp;""</f>
        <v>Results for Method M (LR1) for WPD South Wales in 2015/16  Status: 2014/15</v>
      </c>
    </row>
    <row r="3" spans="1:6" s="1263" customFormat="1" ht="17.25">
      <c r="A3" s="1264" t="s">
        <v>925</v>
      </c>
    </row>
    <row r="4" spans="1:6" s="1263" customFormat="1" ht="17.25">
      <c r="A4" s="1264"/>
    </row>
    <row r="5" spans="1:6" s="1263" customFormat="1" ht="25.5">
      <c r="A5" s="1277"/>
      <c r="B5" s="1278" t="s">
        <v>348</v>
      </c>
      <c r="C5" s="1278" t="s">
        <v>349</v>
      </c>
      <c r="D5" s="1278" t="s">
        <v>350</v>
      </c>
      <c r="E5" s="1278" t="s">
        <v>351</v>
      </c>
      <c r="F5" s="1278" t="s">
        <v>352</v>
      </c>
    </row>
    <row r="6" spans="1:6" s="1263" customFormat="1" ht="15">
      <c r="A6" s="1279" t="s">
        <v>353</v>
      </c>
      <c r="B6" s="1280"/>
      <c r="C6" s="1280">
        <f>'Allocation Summary'!C9*(1-'Allocation Summary'!C10*Inputs!B12)+'Allocation Summary'!B9</f>
        <v>0.31963777193139675</v>
      </c>
      <c r="D6" s="1280">
        <f>'Allocation Summary'!C9 +'Allocation Summary'!D9+('Allocation Summary'!E9*(1-Inputs!B13*'Allocation Summary'!E10))+'Allocation Summary'!B9</f>
        <v>0.63846715658734676</v>
      </c>
      <c r="E6" s="1280">
        <f>('Allocation Summary'!D9 + 'Allocation Summary'!E9  *(1-Inputs!B13* 'Allocation Summary'!E10))/(1-'Allocation Summary'!C9-'Allocation Summary'!B9)</f>
        <v>0.45349156811076713</v>
      </c>
      <c r="F6" s="1280">
        <f>'Allocation Summary'!E9*(1-Inputs!B13*'Allocation Summary'!E10)/(1-'Allocation Summary'!B9-'Allocation Summary'!C9-'Allocation Summary'!D9)</f>
        <v>0.34444405043336535</v>
      </c>
    </row>
    <row r="7" spans="1:6" s="1263" customFormat="1" ht="15"/>
  </sheetData>
  <sheetProtection sheet="1" objects="1" scenarios="1"/>
  <pageMargins left="0.74803149606299213" right="0.74803149606299213" top="0.98425196850393704" bottom="0.98425196850393704" header="0.51181102362204722" footer="0.51181102362204722"/>
  <pageSetup paperSize="9" orientation="landscape" r:id="rId1"/>
  <headerFooter>
    <oddFooter>&amp;L&amp;Z&amp;F&amp;A&amp;R&amp;D</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tabColor rgb="FFC1DFFF"/>
  </sheetPr>
  <dimension ref="A1:J33"/>
  <sheetViews>
    <sheetView workbookViewId="0">
      <selection activeCell="C3" sqref="C3:H30"/>
    </sheetView>
  </sheetViews>
  <sheetFormatPr defaultColWidth="8.85546875" defaultRowHeight="12.75"/>
  <cols>
    <col min="1" max="1" width="5" customWidth="1"/>
    <col min="2" max="2" width="38.140625" bestFit="1" customWidth="1"/>
    <col min="3" max="8" width="9.42578125" customWidth="1"/>
  </cols>
  <sheetData>
    <row r="1" spans="1:10">
      <c r="C1" s="229" t="s">
        <v>200</v>
      </c>
      <c r="D1" s="229" t="s">
        <v>196</v>
      </c>
      <c r="E1" s="229" t="s">
        <v>197</v>
      </c>
      <c r="F1" s="229" t="s">
        <v>198</v>
      </c>
      <c r="G1" s="229" t="s">
        <v>199</v>
      </c>
      <c r="H1" s="229" t="s">
        <v>35</v>
      </c>
      <c r="J1" s="230"/>
    </row>
    <row r="2" spans="1:10">
      <c r="C2" s="229" t="s">
        <v>201</v>
      </c>
      <c r="D2" s="229" t="s">
        <v>201</v>
      </c>
      <c r="E2" s="229" t="s">
        <v>201</v>
      </c>
      <c r="F2" s="229" t="s">
        <v>201</v>
      </c>
      <c r="G2" s="229" t="s">
        <v>201</v>
      </c>
      <c r="H2" s="229" t="s">
        <v>201</v>
      </c>
    </row>
    <row r="3" spans="1:10">
      <c r="A3">
        <v>1</v>
      </c>
      <c r="B3" t="s">
        <v>596</v>
      </c>
      <c r="C3" s="883"/>
      <c r="D3" s="884">
        <v>573.6</v>
      </c>
      <c r="E3" s="884">
        <v>577.79999999999995</v>
      </c>
      <c r="F3" s="884">
        <v>579.29999999999995</v>
      </c>
      <c r="G3" s="884">
        <v>578.4</v>
      </c>
      <c r="H3" s="884">
        <v>575</v>
      </c>
      <c r="I3" t="s">
        <v>853</v>
      </c>
    </row>
    <row r="4" spans="1:10">
      <c r="A4">
        <v>2</v>
      </c>
      <c r="B4" t="s">
        <v>598</v>
      </c>
      <c r="C4" s="883"/>
      <c r="D4" s="884">
        <v>49.9</v>
      </c>
      <c r="E4" s="884">
        <v>49.7</v>
      </c>
      <c r="F4" s="884">
        <v>49.7</v>
      </c>
      <c r="G4" s="884">
        <v>49.7</v>
      </c>
      <c r="H4" s="884">
        <v>49.7</v>
      </c>
      <c r="I4" t="s">
        <v>853</v>
      </c>
    </row>
    <row r="5" spans="1:10">
      <c r="A5">
        <v>3</v>
      </c>
      <c r="B5" t="s">
        <v>437</v>
      </c>
      <c r="C5" s="883"/>
      <c r="D5" s="884">
        <v>-45.7</v>
      </c>
      <c r="E5" s="884">
        <v>-48.2</v>
      </c>
      <c r="F5" s="884">
        <v>-50.6</v>
      </c>
      <c r="G5" s="884">
        <v>-53.1</v>
      </c>
      <c r="H5" s="884">
        <v>-55.6</v>
      </c>
      <c r="I5" t="s">
        <v>853</v>
      </c>
    </row>
    <row r="6" spans="1:10">
      <c r="A6">
        <v>4</v>
      </c>
      <c r="B6" t="s">
        <v>361</v>
      </c>
      <c r="C6" s="883"/>
      <c r="D6" s="884">
        <v>577.79999999999995</v>
      </c>
      <c r="E6" s="884">
        <v>579.29999999999995</v>
      </c>
      <c r="F6" s="884">
        <v>578.4</v>
      </c>
      <c r="G6" s="884">
        <v>575</v>
      </c>
      <c r="H6" s="884">
        <v>569.1</v>
      </c>
      <c r="I6" t="s">
        <v>853</v>
      </c>
    </row>
    <row r="7" spans="1:10">
      <c r="A7">
        <v>5</v>
      </c>
      <c r="B7" t="s">
        <v>149</v>
      </c>
      <c r="C7" s="883"/>
      <c r="D7" s="884"/>
      <c r="E7" s="884"/>
      <c r="F7" s="884" t="s">
        <v>853</v>
      </c>
      <c r="G7" s="884"/>
      <c r="H7" s="884">
        <v>434.51048876277451</v>
      </c>
    </row>
    <row r="8" spans="1:10">
      <c r="A8">
        <v>6</v>
      </c>
      <c r="B8" t="s">
        <v>195</v>
      </c>
      <c r="C8" s="883"/>
      <c r="D8" s="884"/>
      <c r="E8" s="884" t="s">
        <v>853</v>
      </c>
      <c r="F8" s="884"/>
      <c r="G8" s="884"/>
      <c r="H8" s="884">
        <v>139.08951123722551</v>
      </c>
    </row>
    <row r="9" spans="1:10">
      <c r="A9" s="485" t="s">
        <v>247</v>
      </c>
      <c r="D9" s="167"/>
      <c r="E9" s="167"/>
      <c r="F9" s="167"/>
      <c r="G9" s="167"/>
      <c r="H9" s="167"/>
    </row>
    <row r="10" spans="1:10">
      <c r="A10">
        <v>7</v>
      </c>
      <c r="B10" t="s">
        <v>150</v>
      </c>
      <c r="C10" s="883"/>
      <c r="D10" s="884">
        <v>43</v>
      </c>
      <c r="E10" s="884">
        <v>44.5</v>
      </c>
      <c r="F10" s="884">
        <v>45.1</v>
      </c>
      <c r="G10" s="884">
        <v>44.7</v>
      </c>
      <c r="H10" s="884">
        <v>44.3</v>
      </c>
      <c r="I10" t="s">
        <v>853</v>
      </c>
    </row>
    <row r="11" spans="1:10">
      <c r="A11">
        <v>8</v>
      </c>
      <c r="B11" t="s">
        <v>151</v>
      </c>
      <c r="C11" s="883"/>
      <c r="D11" s="884">
        <v>44.1</v>
      </c>
      <c r="E11" s="884">
        <v>44</v>
      </c>
      <c r="F11" s="884">
        <v>43.8</v>
      </c>
      <c r="G11" s="884">
        <v>43.7</v>
      </c>
      <c r="H11" s="884">
        <v>43.6</v>
      </c>
      <c r="I11" t="s">
        <v>853</v>
      </c>
    </row>
    <row r="12" spans="1:10">
      <c r="A12">
        <v>9</v>
      </c>
      <c r="B12" t="s">
        <v>152</v>
      </c>
      <c r="C12" s="883"/>
      <c r="D12" s="884">
        <v>10</v>
      </c>
      <c r="E12" s="884">
        <v>9.9</v>
      </c>
      <c r="F12" s="884">
        <v>10.199999999999999</v>
      </c>
      <c r="G12" s="884">
        <v>10.4</v>
      </c>
      <c r="H12" s="884">
        <v>10.5</v>
      </c>
      <c r="I12" t="s">
        <v>853</v>
      </c>
    </row>
    <row r="13" spans="1:10">
      <c r="A13">
        <v>10</v>
      </c>
      <c r="B13" t="s">
        <v>335</v>
      </c>
      <c r="C13" s="883"/>
      <c r="D13" s="884">
        <v>13.1</v>
      </c>
      <c r="E13" s="884">
        <v>14.2</v>
      </c>
      <c r="F13" s="884">
        <v>15</v>
      </c>
      <c r="G13" s="884">
        <v>15.9</v>
      </c>
      <c r="H13" s="884">
        <v>16.7</v>
      </c>
      <c r="I13" t="s">
        <v>853</v>
      </c>
    </row>
    <row r="14" spans="1:10">
      <c r="A14">
        <v>11</v>
      </c>
      <c r="B14" t="s">
        <v>153</v>
      </c>
      <c r="C14" s="883"/>
      <c r="D14" s="884">
        <v>-1.7</v>
      </c>
      <c r="E14" s="884">
        <v>-1.1000000000000001</v>
      </c>
      <c r="F14" s="884">
        <v>-0.9</v>
      </c>
      <c r="G14" s="884">
        <v>-0.3</v>
      </c>
      <c r="H14" s="884">
        <v>-0.1</v>
      </c>
      <c r="I14" t="s">
        <v>853</v>
      </c>
    </row>
    <row r="15" spans="1:10">
      <c r="A15">
        <v>12</v>
      </c>
      <c r="B15" t="s">
        <v>154</v>
      </c>
      <c r="C15" s="883"/>
      <c r="D15" s="884">
        <v>1.2</v>
      </c>
      <c r="E15" s="884">
        <v>1.2</v>
      </c>
      <c r="F15" s="884">
        <v>1.2</v>
      </c>
      <c r="G15" s="884">
        <v>1.2</v>
      </c>
      <c r="H15" s="884">
        <v>1.1000000000000001</v>
      </c>
      <c r="I15" t="s">
        <v>853</v>
      </c>
    </row>
    <row r="16" spans="1:10">
      <c r="A16">
        <v>13</v>
      </c>
      <c r="B16" t="s">
        <v>179</v>
      </c>
      <c r="C16" s="883"/>
      <c r="D16" s="885"/>
      <c r="E16" s="885"/>
      <c r="F16" s="885"/>
      <c r="G16" s="885"/>
      <c r="H16" s="885"/>
      <c r="I16" t="s">
        <v>853</v>
      </c>
    </row>
    <row r="17" spans="1:9">
      <c r="A17">
        <v>14</v>
      </c>
      <c r="B17" t="s">
        <v>180</v>
      </c>
      <c r="C17" s="883"/>
      <c r="D17" s="885">
        <v>1.6</v>
      </c>
      <c r="E17" s="885">
        <v>1.6</v>
      </c>
      <c r="F17" s="885">
        <v>1.6</v>
      </c>
      <c r="G17" s="885">
        <v>1.3</v>
      </c>
      <c r="H17" s="885">
        <v>1.3</v>
      </c>
      <c r="I17" t="s">
        <v>853</v>
      </c>
    </row>
    <row r="18" spans="1:9">
      <c r="A18">
        <v>15</v>
      </c>
      <c r="B18" t="s">
        <v>364</v>
      </c>
      <c r="C18" s="883"/>
      <c r="D18" s="885">
        <v>0.9</v>
      </c>
      <c r="E18" s="885"/>
      <c r="F18" s="885"/>
      <c r="G18" s="885"/>
      <c r="H18" s="885"/>
      <c r="I18" t="s">
        <v>853</v>
      </c>
    </row>
    <row r="19" spans="1:9">
      <c r="A19">
        <v>16</v>
      </c>
      <c r="B19" t="s">
        <v>651</v>
      </c>
      <c r="C19" s="886"/>
      <c r="D19" s="887">
        <v>112.2</v>
      </c>
      <c r="E19" s="887">
        <v>114.3</v>
      </c>
      <c r="F19" s="887">
        <v>116</v>
      </c>
      <c r="G19" s="887">
        <v>116.9</v>
      </c>
      <c r="H19" s="887">
        <v>117.4</v>
      </c>
      <c r="I19" t="s">
        <v>853</v>
      </c>
    </row>
    <row r="20" spans="1:9">
      <c r="A20">
        <v>17</v>
      </c>
      <c r="B20" t="s">
        <v>181</v>
      </c>
      <c r="C20" s="883"/>
      <c r="D20" s="884">
        <v>109.21292148782669</v>
      </c>
      <c r="E20" s="884">
        <v>105.41192249868327</v>
      </c>
      <c r="F20" s="884">
        <v>101.35935275953834</v>
      </c>
      <c r="G20" s="884">
        <v>96.779346753468715</v>
      </c>
      <c r="H20" s="884">
        <v>92.087060022660708</v>
      </c>
      <c r="I20" t="s">
        <v>853</v>
      </c>
    </row>
    <row r="21" spans="1:9">
      <c r="A21">
        <v>18</v>
      </c>
      <c r="B21" t="s">
        <v>365</v>
      </c>
      <c r="C21" s="883"/>
      <c r="D21" s="884"/>
      <c r="E21" s="884" t="s">
        <v>853</v>
      </c>
      <c r="F21" s="884"/>
      <c r="G21" s="884"/>
      <c r="H21" s="884">
        <v>139.08951123722551</v>
      </c>
    </row>
    <row r="22" spans="1:9">
      <c r="A22">
        <v>19</v>
      </c>
      <c r="B22" s="486" t="s">
        <v>182</v>
      </c>
      <c r="C22" s="883"/>
      <c r="D22" s="884"/>
      <c r="E22" s="884"/>
      <c r="F22" s="884"/>
      <c r="G22" s="884"/>
      <c r="H22" s="887">
        <v>643.94011475940329</v>
      </c>
    </row>
    <row r="23" spans="1:9">
      <c r="A23" s="485" t="s">
        <v>775</v>
      </c>
      <c r="D23" s="167"/>
      <c r="E23" s="167"/>
      <c r="F23" s="167"/>
      <c r="G23" s="167"/>
      <c r="H23" s="167"/>
    </row>
    <row r="24" spans="1:9">
      <c r="A24">
        <v>20</v>
      </c>
      <c r="B24" t="s">
        <v>434</v>
      </c>
      <c r="C24" s="883"/>
      <c r="D24" s="888">
        <v>1</v>
      </c>
      <c r="E24" s="888">
        <v>1.0129999999999999</v>
      </c>
      <c r="F24" s="888">
        <v>1.026</v>
      </c>
      <c r="G24" s="888">
        <v>1.0369999999999999</v>
      </c>
      <c r="H24" s="888">
        <v>1.05</v>
      </c>
      <c r="I24" t="s">
        <v>853</v>
      </c>
    </row>
    <row r="25" spans="1:9">
      <c r="A25">
        <v>21</v>
      </c>
      <c r="B25" t="s">
        <v>435</v>
      </c>
      <c r="C25" s="883"/>
      <c r="D25" s="888">
        <v>0.97337719686120061</v>
      </c>
      <c r="E25" s="888">
        <v>0.93422814952901245</v>
      </c>
      <c r="F25" s="888">
        <v>0.89650599940764086</v>
      </c>
      <c r="G25" s="888">
        <v>0.85851311020827237</v>
      </c>
      <c r="H25" s="888">
        <v>0.82360658452975932</v>
      </c>
      <c r="I25" t="s">
        <v>853</v>
      </c>
    </row>
    <row r="26" spans="1:9">
      <c r="A26">
        <v>22</v>
      </c>
      <c r="B26" t="s">
        <v>436</v>
      </c>
      <c r="C26" s="883"/>
      <c r="D26" s="884">
        <v>140.70458227880613</v>
      </c>
      <c r="E26" s="884">
        <v>142.53374184843059</v>
      </c>
      <c r="F26" s="884">
        <v>144.36290141805509</v>
      </c>
      <c r="G26" s="884">
        <v>145.91065182312195</v>
      </c>
      <c r="H26" s="884">
        <v>147.73981139274645</v>
      </c>
      <c r="I26" t="s">
        <v>853</v>
      </c>
    </row>
    <row r="27" spans="1:9">
      <c r="A27">
        <v>23</v>
      </c>
      <c r="B27" t="s">
        <v>183</v>
      </c>
      <c r="C27" s="883"/>
      <c r="D27" s="884">
        <v>2.9</v>
      </c>
      <c r="E27" s="884">
        <v>2.9</v>
      </c>
      <c r="F27" s="884">
        <v>2.9</v>
      </c>
      <c r="G27" s="884">
        <v>2.9</v>
      </c>
      <c r="H27" s="884">
        <v>2.9</v>
      </c>
      <c r="I27" t="s">
        <v>853</v>
      </c>
    </row>
    <row r="28" spans="1:9">
      <c r="A28">
        <v>24</v>
      </c>
      <c r="B28" t="s">
        <v>359</v>
      </c>
      <c r="C28" s="883"/>
      <c r="D28" s="884">
        <v>143.60458227880613</v>
      </c>
      <c r="E28" s="884">
        <v>145.4337418484306</v>
      </c>
      <c r="F28" s="884">
        <v>147.26290141805509</v>
      </c>
      <c r="G28" s="884">
        <v>148.81065182312196</v>
      </c>
      <c r="H28" s="884">
        <v>150.63981139274645</v>
      </c>
      <c r="I28" t="s">
        <v>853</v>
      </c>
    </row>
    <row r="29" spans="1:9">
      <c r="A29">
        <v>25</v>
      </c>
      <c r="B29" t="s">
        <v>184</v>
      </c>
      <c r="C29" s="883"/>
      <c r="D29" s="884">
        <v>139.78142575496796</v>
      </c>
      <c r="E29" s="884">
        <v>134.12467475433311</v>
      </c>
      <c r="F29" s="884">
        <v>128.67648597608419</v>
      </c>
      <c r="G29" s="884">
        <v>123.19758488793515</v>
      </c>
      <c r="H29" s="884">
        <v>118.15994338608289</v>
      </c>
      <c r="I29" t="s">
        <v>853</v>
      </c>
    </row>
    <row r="30" spans="1:9">
      <c r="A30">
        <v>26</v>
      </c>
      <c r="B30" t="s">
        <v>182</v>
      </c>
      <c r="C30" s="883"/>
      <c r="D30" s="884"/>
      <c r="E30" s="884"/>
      <c r="F30" s="884"/>
      <c r="G30" s="884"/>
      <c r="H30" s="887">
        <v>643.94011475940329</v>
      </c>
    </row>
    <row r="32" spans="1:9">
      <c r="A32" t="s">
        <v>131</v>
      </c>
    </row>
    <row r="33" spans="1:1">
      <c r="A33" s="487" t="s">
        <v>225</v>
      </c>
    </row>
  </sheetData>
  <phoneticPr fontId="0" type="noConversion"/>
  <hyperlinks>
    <hyperlink ref="A33" r:id="rId1"/>
  </hyperlink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rgb="FFC1DFFF"/>
  </sheetPr>
  <dimension ref="A1:AE147"/>
  <sheetViews>
    <sheetView workbookViewId="0">
      <selection sqref="A1:XFD1048576"/>
    </sheetView>
  </sheetViews>
  <sheetFormatPr defaultColWidth="8.85546875" defaultRowHeight="12.75"/>
  <cols>
    <col min="1" max="4" width="8.85546875" customWidth="1"/>
    <col min="5" max="5" width="33" customWidth="1"/>
    <col min="6" max="6" width="10.85546875" customWidth="1"/>
    <col min="7" max="10" width="8.85546875" customWidth="1"/>
    <col min="11" max="11" width="11.140625" customWidth="1"/>
    <col min="12" max="15" width="8.85546875" customWidth="1"/>
    <col min="16" max="16" width="11" customWidth="1"/>
    <col min="17" max="20" width="8.85546875" customWidth="1"/>
    <col min="21" max="21" width="11.42578125" customWidth="1"/>
    <col min="22" max="25" width="8.85546875" customWidth="1"/>
    <col min="26" max="26" width="11" customWidth="1"/>
    <col min="27" max="30" width="8.85546875" customWidth="1"/>
    <col min="31" max="31" width="12.28515625" customWidth="1"/>
  </cols>
  <sheetData>
    <row r="1" spans="1:31">
      <c r="A1" s="1342" t="s">
        <v>852</v>
      </c>
      <c r="B1" s="1342"/>
      <c r="F1" t="s">
        <v>853</v>
      </c>
      <c r="G1" s="230" t="s">
        <v>1019</v>
      </c>
      <c r="I1" t="s">
        <v>853</v>
      </c>
      <c r="K1" t="s">
        <v>853</v>
      </c>
      <c r="L1" t="s">
        <v>853</v>
      </c>
      <c r="N1" t="s">
        <v>853</v>
      </c>
      <c r="P1" t="s">
        <v>853</v>
      </c>
      <c r="Q1" t="s">
        <v>853</v>
      </c>
      <c r="S1" t="s">
        <v>853</v>
      </c>
      <c r="U1" t="s">
        <v>853</v>
      </c>
      <c r="V1" t="s">
        <v>853</v>
      </c>
      <c r="X1" t="s">
        <v>853</v>
      </c>
      <c r="Z1" t="s">
        <v>853</v>
      </c>
      <c r="AA1" t="s">
        <v>853</v>
      </c>
      <c r="AC1" t="s">
        <v>853</v>
      </c>
      <c r="AE1" t="s">
        <v>853</v>
      </c>
    </row>
    <row r="2" spans="1:31">
      <c r="A2" s="1342"/>
      <c r="B2" s="1342"/>
    </row>
    <row r="3" spans="1:31">
      <c r="A3" s="1342" t="s">
        <v>686</v>
      </c>
      <c r="B3" s="1342"/>
    </row>
    <row r="4" spans="1:31">
      <c r="A4" s="1342"/>
      <c r="B4" s="1342"/>
    </row>
    <row r="5" spans="1:31">
      <c r="A5" s="1342"/>
      <c r="B5" s="1342" t="s">
        <v>687</v>
      </c>
    </row>
    <row r="6" spans="1:31" ht="13.5" thickBot="1"/>
    <row r="7" spans="1:31" ht="13.5" customHeight="1" thickBot="1">
      <c r="B7" s="1873" t="s">
        <v>635</v>
      </c>
      <c r="C7" s="1874"/>
      <c r="D7" s="1874"/>
      <c r="E7" s="1875"/>
      <c r="F7" s="1870" t="s">
        <v>688</v>
      </c>
      <c r="G7" s="1883" t="s">
        <v>32</v>
      </c>
      <c r="H7" s="1883"/>
      <c r="I7" s="1883"/>
      <c r="J7" s="1883"/>
      <c r="K7" s="1884"/>
      <c r="L7" s="1883" t="s">
        <v>33</v>
      </c>
      <c r="M7" s="1883"/>
      <c r="N7" s="1883"/>
      <c r="O7" s="1883"/>
      <c r="P7" s="1884"/>
      <c r="Q7" s="1882" t="s">
        <v>29</v>
      </c>
      <c r="R7" s="1883"/>
      <c r="S7" s="1883"/>
      <c r="T7" s="1883"/>
      <c r="U7" s="1884"/>
      <c r="V7" s="1882" t="s">
        <v>34</v>
      </c>
      <c r="W7" s="1883"/>
      <c r="X7" s="1883"/>
      <c r="Y7" s="1883"/>
      <c r="Z7" s="1884"/>
      <c r="AA7" s="1882" t="s">
        <v>35</v>
      </c>
      <c r="AB7" s="1883"/>
      <c r="AC7" s="1883"/>
      <c r="AD7" s="1883"/>
      <c r="AE7" s="1884"/>
    </row>
    <row r="8" spans="1:31" ht="38.25">
      <c r="B8" s="1876"/>
      <c r="C8" s="1877"/>
      <c r="D8" s="1877"/>
      <c r="E8" s="1878"/>
      <c r="F8" s="1871"/>
      <c r="G8" s="1877" t="s">
        <v>855</v>
      </c>
      <c r="H8" s="1877"/>
      <c r="I8" s="1876" t="s">
        <v>692</v>
      </c>
      <c r="J8" s="1877"/>
      <c r="K8" s="1335" t="s">
        <v>693</v>
      </c>
      <c r="L8" s="1877" t="s">
        <v>855</v>
      </c>
      <c r="M8" s="1877"/>
      <c r="N8" s="1876" t="s">
        <v>692</v>
      </c>
      <c r="O8" s="1878"/>
      <c r="P8" s="1334" t="s">
        <v>693</v>
      </c>
      <c r="Q8" s="1877" t="s">
        <v>855</v>
      </c>
      <c r="R8" s="1877"/>
      <c r="S8" s="1876" t="s">
        <v>692</v>
      </c>
      <c r="T8" s="1877"/>
      <c r="U8" s="1335" t="s">
        <v>693</v>
      </c>
      <c r="V8" s="1877" t="s">
        <v>855</v>
      </c>
      <c r="W8" s="1877"/>
      <c r="X8" s="1876" t="s">
        <v>692</v>
      </c>
      <c r="Y8" s="1878"/>
      <c r="Z8" s="1334" t="s">
        <v>693</v>
      </c>
      <c r="AA8" s="1877" t="s">
        <v>855</v>
      </c>
      <c r="AB8" s="1877"/>
      <c r="AC8" s="1876" t="s">
        <v>692</v>
      </c>
      <c r="AD8" s="1878"/>
      <c r="AE8" s="1334" t="s">
        <v>540</v>
      </c>
    </row>
    <row r="9" spans="1:31" ht="16.5" customHeight="1" thickBot="1">
      <c r="B9" s="1879"/>
      <c r="C9" s="1880"/>
      <c r="D9" s="1880"/>
      <c r="E9" s="1881"/>
      <c r="F9" s="1872"/>
      <c r="G9" s="1343" t="s">
        <v>541</v>
      </c>
      <c r="H9" s="1344" t="s">
        <v>542</v>
      </c>
      <c r="I9" s="1345" t="s">
        <v>541</v>
      </c>
      <c r="J9" s="1346" t="s">
        <v>542</v>
      </c>
      <c r="K9" s="1347" t="s">
        <v>32</v>
      </c>
      <c r="L9" s="1343" t="s">
        <v>541</v>
      </c>
      <c r="M9" s="1344" t="s">
        <v>542</v>
      </c>
      <c r="N9" s="1345" t="s">
        <v>541</v>
      </c>
      <c r="O9" s="1348" t="s">
        <v>542</v>
      </c>
      <c r="P9" s="1349" t="s">
        <v>33</v>
      </c>
      <c r="Q9" s="1343" t="s">
        <v>541</v>
      </c>
      <c r="R9" s="1344" t="s">
        <v>542</v>
      </c>
      <c r="S9" s="1345" t="s">
        <v>541</v>
      </c>
      <c r="T9" s="1346" t="s">
        <v>542</v>
      </c>
      <c r="U9" s="1347" t="s">
        <v>29</v>
      </c>
      <c r="V9" s="1343" t="s">
        <v>541</v>
      </c>
      <c r="W9" s="1344" t="s">
        <v>542</v>
      </c>
      <c r="X9" s="1345" t="s">
        <v>541</v>
      </c>
      <c r="Y9" s="1348" t="s">
        <v>542</v>
      </c>
      <c r="Z9" s="1349" t="s">
        <v>34</v>
      </c>
      <c r="AA9" s="1343" t="s">
        <v>541</v>
      </c>
      <c r="AB9" s="1344" t="s">
        <v>542</v>
      </c>
      <c r="AC9" s="1345" t="s">
        <v>541</v>
      </c>
      <c r="AD9" s="1348" t="s">
        <v>542</v>
      </c>
      <c r="AE9" s="1349" t="s">
        <v>35</v>
      </c>
    </row>
    <row r="10" spans="1:31">
      <c r="B10" s="241"/>
      <c r="C10" s="242" t="s">
        <v>459</v>
      </c>
      <c r="D10" s="242"/>
      <c r="E10" s="243"/>
      <c r="F10" s="244"/>
      <c r="G10" s="245"/>
      <c r="H10" s="246"/>
      <c r="I10" s="245"/>
      <c r="J10" s="247"/>
      <c r="K10" s="244"/>
      <c r="L10" s="245"/>
      <c r="M10" s="246"/>
      <c r="N10" s="245"/>
      <c r="O10" s="247"/>
      <c r="P10" s="244"/>
      <c r="Q10" s="245"/>
      <c r="R10" s="246"/>
      <c r="S10" s="245"/>
      <c r="T10" s="247"/>
      <c r="U10" s="244"/>
      <c r="V10" s="245"/>
      <c r="W10" s="246"/>
      <c r="X10" s="245"/>
      <c r="Y10" s="246"/>
      <c r="Z10" s="244"/>
      <c r="AA10" s="245"/>
      <c r="AB10" s="246"/>
      <c r="AC10" s="245"/>
      <c r="AD10" s="246"/>
      <c r="AE10" s="244"/>
    </row>
    <row r="11" spans="1:31">
      <c r="B11" s="241"/>
      <c r="C11" s="243"/>
      <c r="D11" s="248" t="s">
        <v>578</v>
      </c>
      <c r="E11" s="243"/>
      <c r="F11" s="249"/>
      <c r="G11" s="250"/>
      <c r="H11" s="251"/>
      <c r="I11" s="250"/>
      <c r="J11" s="252"/>
      <c r="K11" s="249"/>
      <c r="L11" s="250"/>
      <c r="M11" s="251"/>
      <c r="N11" s="250"/>
      <c r="O11" s="252"/>
      <c r="P11" s="249"/>
      <c r="Q11" s="250"/>
      <c r="R11" s="251"/>
      <c r="S11" s="250"/>
      <c r="T11" s="252"/>
      <c r="U11" s="253"/>
      <c r="V11" s="250"/>
      <c r="W11" s="251"/>
      <c r="X11" s="250"/>
      <c r="Y11" s="251"/>
      <c r="Z11" s="249"/>
      <c r="AA11" s="250"/>
      <c r="AB11" s="251"/>
      <c r="AC11" s="250"/>
      <c r="AD11" s="251"/>
      <c r="AE11" s="249"/>
    </row>
    <row r="12" spans="1:31">
      <c r="B12" s="254"/>
      <c r="C12" s="243"/>
      <c r="D12" s="243"/>
      <c r="E12" s="243" t="s">
        <v>460</v>
      </c>
      <c r="F12" s="255">
        <v>3215</v>
      </c>
      <c r="G12" s="256">
        <v>0</v>
      </c>
      <c r="H12" s="257">
        <v>9</v>
      </c>
      <c r="I12" s="256">
        <v>0</v>
      </c>
      <c r="J12" s="257">
        <v>4</v>
      </c>
      <c r="K12" s="255">
        <v>3210</v>
      </c>
      <c r="L12" s="256">
        <v>0</v>
      </c>
      <c r="M12" s="257">
        <v>61</v>
      </c>
      <c r="N12" s="256">
        <v>0</v>
      </c>
      <c r="O12" s="257">
        <v>56</v>
      </c>
      <c r="P12" s="255">
        <v>3205</v>
      </c>
      <c r="Q12" s="256">
        <v>0</v>
      </c>
      <c r="R12" s="257">
        <v>66</v>
      </c>
      <c r="S12" s="256">
        <v>0</v>
      </c>
      <c r="T12" s="257">
        <v>54</v>
      </c>
      <c r="U12" s="258">
        <v>3193</v>
      </c>
      <c r="V12" s="256">
        <v>0</v>
      </c>
      <c r="W12" s="257">
        <v>39</v>
      </c>
      <c r="X12" s="256">
        <v>0</v>
      </c>
      <c r="Y12" s="257">
        <v>39</v>
      </c>
      <c r="Z12" s="255">
        <v>3193</v>
      </c>
      <c r="AA12" s="256">
        <v>0</v>
      </c>
      <c r="AB12" s="257">
        <v>43</v>
      </c>
      <c r="AC12" s="256">
        <v>0</v>
      </c>
      <c r="AD12" s="257">
        <v>42</v>
      </c>
      <c r="AE12" s="255">
        <v>3192</v>
      </c>
    </row>
    <row r="13" spans="1:31">
      <c r="B13" s="254"/>
      <c r="C13" s="243"/>
      <c r="D13" s="243"/>
      <c r="E13" s="243" t="s">
        <v>461</v>
      </c>
      <c r="F13" s="255">
        <v>317000</v>
      </c>
      <c r="G13" s="256">
        <v>0</v>
      </c>
      <c r="H13" s="257">
        <v>5256</v>
      </c>
      <c r="I13" s="256">
        <v>0</v>
      </c>
      <c r="J13" s="259">
        <v>5256</v>
      </c>
      <c r="K13" s="255">
        <v>317000</v>
      </c>
      <c r="L13" s="256">
        <v>0</v>
      </c>
      <c r="M13" s="257">
        <v>5428</v>
      </c>
      <c r="N13" s="256">
        <v>0</v>
      </c>
      <c r="O13" s="259">
        <v>5428</v>
      </c>
      <c r="P13" s="255">
        <v>317000</v>
      </c>
      <c r="Q13" s="256">
        <v>0</v>
      </c>
      <c r="R13" s="257">
        <v>9048</v>
      </c>
      <c r="S13" s="256">
        <v>0</v>
      </c>
      <c r="T13" s="259">
        <v>9048</v>
      </c>
      <c r="U13" s="258">
        <v>317000</v>
      </c>
      <c r="V13" s="256">
        <v>0</v>
      </c>
      <c r="W13" s="257">
        <v>5000</v>
      </c>
      <c r="X13" s="256">
        <v>0</v>
      </c>
      <c r="Y13" s="257">
        <v>5000</v>
      </c>
      <c r="Z13" s="255">
        <v>317000</v>
      </c>
      <c r="AA13" s="256">
        <v>0</v>
      </c>
      <c r="AB13" s="257">
        <v>2500</v>
      </c>
      <c r="AC13" s="256">
        <v>0</v>
      </c>
      <c r="AD13" s="257">
        <v>2500</v>
      </c>
      <c r="AE13" s="255">
        <v>317000</v>
      </c>
    </row>
    <row r="14" spans="1:31">
      <c r="B14" s="254"/>
      <c r="C14" s="243"/>
      <c r="D14" s="243"/>
      <c r="E14" s="243"/>
      <c r="F14" s="260"/>
      <c r="G14" s="261"/>
      <c r="H14" s="262"/>
      <c r="I14" s="261"/>
      <c r="J14" s="263"/>
      <c r="K14" s="260"/>
      <c r="L14" s="261"/>
      <c r="M14" s="262"/>
      <c r="N14" s="261"/>
      <c r="O14" s="263"/>
      <c r="P14" s="260"/>
      <c r="Q14" s="261"/>
      <c r="R14" s="262"/>
      <c r="S14" s="261"/>
      <c r="T14" s="263"/>
      <c r="U14" s="264"/>
      <c r="V14" s="261"/>
      <c r="W14" s="262"/>
      <c r="X14" s="261"/>
      <c r="Y14" s="262"/>
      <c r="Z14" s="260"/>
      <c r="AA14" s="261"/>
      <c r="AB14" s="262"/>
      <c r="AC14" s="261"/>
      <c r="AD14" s="262"/>
      <c r="AE14" s="260"/>
    </row>
    <row r="15" spans="1:31">
      <c r="B15" s="254"/>
      <c r="C15" s="243"/>
      <c r="D15" s="248" t="s">
        <v>739</v>
      </c>
      <c r="E15" s="243"/>
      <c r="F15" s="260"/>
      <c r="G15" s="261"/>
      <c r="H15" s="262"/>
      <c r="I15" s="261"/>
      <c r="J15" s="263"/>
      <c r="K15" s="260"/>
      <c r="L15" s="261"/>
      <c r="M15" s="262"/>
      <c r="N15" s="261"/>
      <c r="O15" s="263"/>
      <c r="P15" s="260"/>
      <c r="Q15" s="261"/>
      <c r="R15" s="262"/>
      <c r="S15" s="261"/>
      <c r="T15" s="263"/>
      <c r="U15" s="264"/>
      <c r="V15" s="261"/>
      <c r="W15" s="262"/>
      <c r="X15" s="261"/>
      <c r="Y15" s="262"/>
      <c r="Z15" s="260"/>
      <c r="AA15" s="261"/>
      <c r="AB15" s="262"/>
      <c r="AC15" s="261"/>
      <c r="AD15" s="262"/>
      <c r="AE15" s="260"/>
    </row>
    <row r="16" spans="1:31">
      <c r="B16" s="254"/>
      <c r="C16" s="243"/>
      <c r="D16" s="243"/>
      <c r="E16" s="243" t="s">
        <v>740</v>
      </c>
      <c r="F16" s="255">
        <v>98008</v>
      </c>
      <c r="G16" s="256">
        <v>0</v>
      </c>
      <c r="H16" s="257">
        <v>1043</v>
      </c>
      <c r="I16" s="256">
        <v>0</v>
      </c>
      <c r="J16" s="259">
        <v>961</v>
      </c>
      <c r="K16" s="255">
        <v>97926</v>
      </c>
      <c r="L16" s="256">
        <v>0</v>
      </c>
      <c r="M16" s="257">
        <v>1028</v>
      </c>
      <c r="N16" s="256">
        <v>0</v>
      </c>
      <c r="O16" s="259">
        <v>833</v>
      </c>
      <c r="P16" s="255">
        <v>97731</v>
      </c>
      <c r="Q16" s="256">
        <v>0</v>
      </c>
      <c r="R16" s="257">
        <v>900</v>
      </c>
      <c r="S16" s="256">
        <v>0</v>
      </c>
      <c r="T16" s="259">
        <v>734</v>
      </c>
      <c r="U16" s="258">
        <v>97565</v>
      </c>
      <c r="V16" s="256">
        <v>0</v>
      </c>
      <c r="W16" s="257">
        <v>840</v>
      </c>
      <c r="X16" s="256">
        <v>0</v>
      </c>
      <c r="Y16" s="257">
        <v>840</v>
      </c>
      <c r="Z16" s="255">
        <v>97565</v>
      </c>
      <c r="AA16" s="256">
        <v>0</v>
      </c>
      <c r="AB16" s="257">
        <v>845</v>
      </c>
      <c r="AC16" s="256">
        <v>0</v>
      </c>
      <c r="AD16" s="257">
        <v>826</v>
      </c>
      <c r="AE16" s="255">
        <v>97546</v>
      </c>
    </row>
    <row r="17" spans="2:31">
      <c r="B17" s="254"/>
      <c r="C17" s="243"/>
      <c r="D17" s="243"/>
      <c r="E17" s="243"/>
      <c r="F17" s="260"/>
      <c r="G17" s="261"/>
      <c r="H17" s="262"/>
      <c r="I17" s="261"/>
      <c r="J17" s="263"/>
      <c r="K17" s="260"/>
      <c r="L17" s="261"/>
      <c r="M17" s="262"/>
      <c r="N17" s="261"/>
      <c r="O17" s="263"/>
      <c r="P17" s="260"/>
      <c r="Q17" s="261"/>
      <c r="R17" s="262"/>
      <c r="S17" s="261"/>
      <c r="T17" s="263"/>
      <c r="U17" s="264"/>
      <c r="V17" s="261"/>
      <c r="W17" s="262"/>
      <c r="X17" s="261"/>
      <c r="Y17" s="262"/>
      <c r="Z17" s="260"/>
      <c r="AA17" s="261"/>
      <c r="AB17" s="262"/>
      <c r="AC17" s="261"/>
      <c r="AD17" s="262"/>
      <c r="AE17" s="260"/>
    </row>
    <row r="18" spans="2:31">
      <c r="B18" s="254"/>
      <c r="C18" s="243"/>
      <c r="D18" s="248" t="s">
        <v>872</v>
      </c>
      <c r="E18" s="243"/>
      <c r="F18" s="260"/>
      <c r="G18" s="261"/>
      <c r="H18" s="262"/>
      <c r="I18" s="261"/>
      <c r="J18" s="263"/>
      <c r="K18" s="260"/>
      <c r="L18" s="261"/>
      <c r="M18" s="262"/>
      <c r="N18" s="261"/>
      <c r="O18" s="263"/>
      <c r="P18" s="260"/>
      <c r="Q18" s="261"/>
      <c r="R18" s="262"/>
      <c r="S18" s="261"/>
      <c r="T18" s="263"/>
      <c r="U18" s="264"/>
      <c r="V18" s="261"/>
      <c r="W18" s="262"/>
      <c r="X18" s="261"/>
      <c r="Y18" s="262"/>
      <c r="Z18" s="260"/>
      <c r="AA18" s="261"/>
      <c r="AB18" s="262"/>
      <c r="AC18" s="261"/>
      <c r="AD18" s="262"/>
      <c r="AE18" s="260"/>
    </row>
    <row r="19" spans="2:31">
      <c r="B19" s="254"/>
      <c r="C19" s="243"/>
      <c r="D19" s="248"/>
      <c r="E19" s="243" t="s">
        <v>767</v>
      </c>
      <c r="F19" s="255">
        <v>0</v>
      </c>
      <c r="G19" s="256">
        <v>0</v>
      </c>
      <c r="H19" s="257">
        <v>0</v>
      </c>
      <c r="I19" s="256" t="s">
        <v>1020</v>
      </c>
      <c r="J19" s="259">
        <v>0</v>
      </c>
      <c r="K19" s="255">
        <v>0</v>
      </c>
      <c r="L19" s="256">
        <v>0</v>
      </c>
      <c r="M19" s="257">
        <v>0</v>
      </c>
      <c r="N19" s="256" t="s">
        <v>1020</v>
      </c>
      <c r="O19" s="259">
        <v>0</v>
      </c>
      <c r="P19" s="255">
        <v>0</v>
      </c>
      <c r="Q19" s="256">
        <v>0</v>
      </c>
      <c r="R19" s="257">
        <v>0</v>
      </c>
      <c r="S19" s="256" t="s">
        <v>1020</v>
      </c>
      <c r="T19" s="259">
        <v>0</v>
      </c>
      <c r="U19" s="258">
        <v>0</v>
      </c>
      <c r="V19" s="256">
        <v>0</v>
      </c>
      <c r="W19" s="257">
        <v>0</v>
      </c>
      <c r="X19" s="256">
        <v>0</v>
      </c>
      <c r="Y19" s="257">
        <v>0</v>
      </c>
      <c r="Z19" s="255">
        <v>0</v>
      </c>
      <c r="AA19" s="256">
        <v>0</v>
      </c>
      <c r="AB19" s="257">
        <v>0</v>
      </c>
      <c r="AC19" s="256">
        <v>0</v>
      </c>
      <c r="AD19" s="257">
        <v>0</v>
      </c>
      <c r="AE19" s="255">
        <v>0</v>
      </c>
    </row>
    <row r="20" spans="2:31">
      <c r="B20" s="254"/>
      <c r="C20" s="243"/>
      <c r="D20" s="248"/>
      <c r="E20" s="243" t="s">
        <v>628</v>
      </c>
      <c r="F20" s="255">
        <v>3999</v>
      </c>
      <c r="G20" s="256">
        <v>0</v>
      </c>
      <c r="H20" s="257">
        <v>0</v>
      </c>
      <c r="I20" s="256">
        <v>248</v>
      </c>
      <c r="J20" s="259">
        <v>4</v>
      </c>
      <c r="K20" s="255">
        <v>4251</v>
      </c>
      <c r="L20" s="256">
        <v>0</v>
      </c>
      <c r="M20" s="257">
        <v>2</v>
      </c>
      <c r="N20" s="256">
        <v>134.79</v>
      </c>
      <c r="O20" s="259">
        <v>9.4</v>
      </c>
      <c r="P20" s="255">
        <v>4393.1899999999996</v>
      </c>
      <c r="Q20" s="256">
        <v>0</v>
      </c>
      <c r="R20" s="257">
        <v>2</v>
      </c>
      <c r="S20" s="256">
        <v>143.9</v>
      </c>
      <c r="T20" s="259">
        <v>2</v>
      </c>
      <c r="U20" s="258">
        <v>4537.09</v>
      </c>
      <c r="V20" s="256">
        <v>0</v>
      </c>
      <c r="W20" s="257">
        <v>0</v>
      </c>
      <c r="X20" s="256">
        <v>117</v>
      </c>
      <c r="Y20" s="257">
        <v>2</v>
      </c>
      <c r="Z20" s="255">
        <v>4656.09</v>
      </c>
      <c r="AA20" s="256">
        <v>0</v>
      </c>
      <c r="AB20" s="257">
        <v>0</v>
      </c>
      <c r="AC20" s="256">
        <v>113</v>
      </c>
      <c r="AD20" s="257">
        <v>3</v>
      </c>
      <c r="AE20" s="255">
        <v>4772.09</v>
      </c>
    </row>
    <row r="21" spans="2:31">
      <c r="B21" s="254"/>
      <c r="C21" s="243"/>
      <c r="D21" s="248"/>
      <c r="E21" s="243" t="s">
        <v>629</v>
      </c>
      <c r="F21" s="255">
        <v>6214.9</v>
      </c>
      <c r="G21" s="256">
        <v>0</v>
      </c>
      <c r="H21" s="257">
        <v>4</v>
      </c>
      <c r="I21" s="256" t="s">
        <v>1020</v>
      </c>
      <c r="J21" s="259">
        <v>0</v>
      </c>
      <c r="K21" s="255">
        <v>6210.9</v>
      </c>
      <c r="L21" s="256">
        <v>0</v>
      </c>
      <c r="M21" s="257">
        <v>7.4</v>
      </c>
      <c r="N21" s="256" t="s">
        <v>1020</v>
      </c>
      <c r="O21" s="259">
        <v>0</v>
      </c>
      <c r="P21" s="255">
        <v>6203.5</v>
      </c>
      <c r="Q21" s="256">
        <v>0</v>
      </c>
      <c r="R21" s="257">
        <v>5</v>
      </c>
      <c r="S21" s="256" t="s">
        <v>1020</v>
      </c>
      <c r="T21" s="259">
        <v>0</v>
      </c>
      <c r="U21" s="258">
        <v>6198.5</v>
      </c>
      <c r="V21" s="256">
        <v>0</v>
      </c>
      <c r="W21" s="257">
        <v>2</v>
      </c>
      <c r="X21" s="256">
        <v>0</v>
      </c>
      <c r="Y21" s="257">
        <v>0</v>
      </c>
      <c r="Z21" s="255">
        <v>6196.5</v>
      </c>
      <c r="AA21" s="256">
        <v>0</v>
      </c>
      <c r="AB21" s="257">
        <v>2</v>
      </c>
      <c r="AC21" s="256">
        <v>0</v>
      </c>
      <c r="AD21" s="257">
        <v>0</v>
      </c>
      <c r="AE21" s="255">
        <v>6194.5</v>
      </c>
    </row>
    <row r="22" spans="2:31">
      <c r="B22" s="254"/>
      <c r="C22" s="243"/>
      <c r="D22" s="248"/>
      <c r="E22" s="243" t="s">
        <v>630</v>
      </c>
      <c r="F22" s="255">
        <v>732157</v>
      </c>
      <c r="G22" s="256">
        <v>0</v>
      </c>
      <c r="H22" s="257">
        <v>0</v>
      </c>
      <c r="I22" s="256">
        <v>10675</v>
      </c>
      <c r="J22" s="259">
        <v>0</v>
      </c>
      <c r="K22" s="255">
        <v>742832</v>
      </c>
      <c r="L22" s="256">
        <v>0</v>
      </c>
      <c r="M22" s="257">
        <v>0</v>
      </c>
      <c r="N22" s="256">
        <v>11542</v>
      </c>
      <c r="O22" s="259">
        <v>0</v>
      </c>
      <c r="P22" s="255">
        <v>754374</v>
      </c>
      <c r="Q22" s="256">
        <v>0</v>
      </c>
      <c r="R22" s="257">
        <v>0</v>
      </c>
      <c r="S22" s="256">
        <v>8211</v>
      </c>
      <c r="T22" s="259">
        <v>0</v>
      </c>
      <c r="U22" s="258">
        <v>762585</v>
      </c>
      <c r="V22" s="256">
        <v>0</v>
      </c>
      <c r="W22" s="257">
        <v>1100</v>
      </c>
      <c r="X22" s="256">
        <v>8288</v>
      </c>
      <c r="Y22" s="257">
        <v>1100</v>
      </c>
      <c r="Z22" s="255">
        <v>770873</v>
      </c>
      <c r="AA22" s="256">
        <v>0</v>
      </c>
      <c r="AB22" s="257">
        <v>750</v>
      </c>
      <c r="AC22" s="256">
        <v>7973</v>
      </c>
      <c r="AD22" s="257">
        <v>750</v>
      </c>
      <c r="AE22" s="255">
        <v>778846</v>
      </c>
    </row>
    <row r="23" spans="2:31">
      <c r="B23" s="254"/>
      <c r="C23" s="243"/>
      <c r="D23" s="243"/>
      <c r="E23" s="243"/>
      <c r="F23" s="260"/>
      <c r="G23" s="261"/>
      <c r="H23" s="262"/>
      <c r="I23" s="261"/>
      <c r="J23" s="263"/>
      <c r="K23" s="260"/>
      <c r="L23" s="261"/>
      <c r="M23" s="262"/>
      <c r="N23" s="261"/>
      <c r="O23" s="263"/>
      <c r="P23" s="260"/>
      <c r="Q23" s="261"/>
      <c r="R23" s="262"/>
      <c r="S23" s="261"/>
      <c r="T23" s="263"/>
      <c r="U23" s="264"/>
      <c r="V23" s="261"/>
      <c r="W23" s="262"/>
      <c r="X23" s="261"/>
      <c r="Y23" s="262"/>
      <c r="Z23" s="260"/>
      <c r="AA23" s="261"/>
      <c r="AB23" s="262"/>
      <c r="AC23" s="261"/>
      <c r="AD23" s="262"/>
      <c r="AE23" s="260"/>
    </row>
    <row r="24" spans="2:31">
      <c r="B24" s="254"/>
      <c r="C24" s="243"/>
      <c r="D24" s="248" t="s">
        <v>631</v>
      </c>
      <c r="E24" s="243"/>
      <c r="F24" s="260"/>
      <c r="G24" s="261"/>
      <c r="H24" s="262"/>
      <c r="I24" s="261"/>
      <c r="J24" s="263"/>
      <c r="K24" s="260"/>
      <c r="L24" s="261"/>
      <c r="M24" s="262"/>
      <c r="N24" s="261"/>
      <c r="O24" s="263"/>
      <c r="P24" s="260"/>
      <c r="Q24" s="261"/>
      <c r="R24" s="262"/>
      <c r="S24" s="261"/>
      <c r="T24" s="263"/>
      <c r="U24" s="264"/>
      <c r="V24" s="261"/>
      <c r="W24" s="262"/>
      <c r="X24" s="261"/>
      <c r="Y24" s="262"/>
      <c r="Z24" s="260"/>
      <c r="AA24" s="261"/>
      <c r="AB24" s="262"/>
      <c r="AC24" s="261"/>
      <c r="AD24" s="262"/>
      <c r="AE24" s="260"/>
    </row>
    <row r="25" spans="2:31">
      <c r="B25" s="254"/>
      <c r="C25" s="243"/>
      <c r="D25" s="248"/>
      <c r="E25" s="243" t="s">
        <v>632</v>
      </c>
      <c r="F25" s="255">
        <v>3736</v>
      </c>
      <c r="G25" s="256">
        <v>0</v>
      </c>
      <c r="H25" s="257">
        <v>0</v>
      </c>
      <c r="I25" s="256">
        <v>40</v>
      </c>
      <c r="J25" s="259">
        <v>65</v>
      </c>
      <c r="K25" s="255">
        <v>3841</v>
      </c>
      <c r="L25" s="256">
        <v>0</v>
      </c>
      <c r="M25" s="257">
        <v>22</v>
      </c>
      <c r="N25" s="256">
        <v>38</v>
      </c>
      <c r="O25" s="259">
        <v>59</v>
      </c>
      <c r="P25" s="255">
        <v>3916</v>
      </c>
      <c r="Q25" s="256">
        <v>0</v>
      </c>
      <c r="R25" s="257">
        <v>53</v>
      </c>
      <c r="S25" s="256">
        <v>54</v>
      </c>
      <c r="T25" s="259">
        <v>88</v>
      </c>
      <c r="U25" s="258">
        <v>4005</v>
      </c>
      <c r="V25" s="256">
        <v>0</v>
      </c>
      <c r="W25" s="257">
        <v>0</v>
      </c>
      <c r="X25" s="256">
        <v>39</v>
      </c>
      <c r="Y25" s="257">
        <v>0</v>
      </c>
      <c r="Z25" s="255">
        <v>4044</v>
      </c>
      <c r="AA25" s="256">
        <v>0</v>
      </c>
      <c r="AB25" s="257">
        <v>0</v>
      </c>
      <c r="AC25" s="256">
        <v>37</v>
      </c>
      <c r="AD25" s="257">
        <v>0</v>
      </c>
      <c r="AE25" s="255">
        <v>4081</v>
      </c>
    </row>
    <row r="26" spans="2:31">
      <c r="B26" s="254"/>
      <c r="C26" s="243"/>
      <c r="D26" s="248"/>
      <c r="E26" s="243" t="s">
        <v>633</v>
      </c>
      <c r="F26" s="255">
        <v>3893</v>
      </c>
      <c r="G26" s="256">
        <v>21</v>
      </c>
      <c r="H26" s="257">
        <v>8</v>
      </c>
      <c r="I26" s="256">
        <v>1</v>
      </c>
      <c r="J26" s="259">
        <v>8</v>
      </c>
      <c r="K26" s="255">
        <v>3873</v>
      </c>
      <c r="L26" s="256">
        <v>23</v>
      </c>
      <c r="M26" s="257">
        <v>14</v>
      </c>
      <c r="N26" s="256">
        <v>1</v>
      </c>
      <c r="O26" s="259">
        <v>13</v>
      </c>
      <c r="P26" s="255">
        <v>3850</v>
      </c>
      <c r="Q26" s="256">
        <v>29</v>
      </c>
      <c r="R26" s="257">
        <v>14</v>
      </c>
      <c r="S26" s="256">
        <v>3</v>
      </c>
      <c r="T26" s="259">
        <v>14</v>
      </c>
      <c r="U26" s="258">
        <v>3824</v>
      </c>
      <c r="V26" s="256">
        <v>22</v>
      </c>
      <c r="W26" s="257">
        <v>30</v>
      </c>
      <c r="X26" s="256">
        <v>2</v>
      </c>
      <c r="Y26" s="257">
        <v>30</v>
      </c>
      <c r="Z26" s="255">
        <v>3804</v>
      </c>
      <c r="AA26" s="256">
        <v>21</v>
      </c>
      <c r="AB26" s="257">
        <v>40</v>
      </c>
      <c r="AC26" s="256">
        <v>2</v>
      </c>
      <c r="AD26" s="257">
        <v>40</v>
      </c>
      <c r="AE26" s="255">
        <v>3785</v>
      </c>
    </row>
    <row r="27" spans="2:31">
      <c r="B27" s="254"/>
      <c r="C27" s="243"/>
      <c r="D27" s="248"/>
      <c r="E27" s="243" t="s">
        <v>752</v>
      </c>
      <c r="F27" s="255">
        <v>215</v>
      </c>
      <c r="G27" s="256">
        <v>1</v>
      </c>
      <c r="H27" s="257">
        <v>0</v>
      </c>
      <c r="I27" s="256">
        <v>0</v>
      </c>
      <c r="J27" s="259">
        <v>0</v>
      </c>
      <c r="K27" s="255">
        <v>214</v>
      </c>
      <c r="L27" s="256">
        <v>11</v>
      </c>
      <c r="M27" s="257">
        <v>0</v>
      </c>
      <c r="N27" s="256">
        <v>0</v>
      </c>
      <c r="O27" s="259">
        <v>0</v>
      </c>
      <c r="P27" s="255">
        <v>203</v>
      </c>
      <c r="Q27" s="256">
        <v>0</v>
      </c>
      <c r="R27" s="257">
        <v>0</v>
      </c>
      <c r="S27" s="256">
        <v>3</v>
      </c>
      <c r="T27" s="259">
        <v>0</v>
      </c>
      <c r="U27" s="258">
        <v>206</v>
      </c>
      <c r="V27" s="256">
        <v>5</v>
      </c>
      <c r="W27" s="257">
        <v>0</v>
      </c>
      <c r="X27" s="256">
        <v>1</v>
      </c>
      <c r="Y27" s="257">
        <v>0</v>
      </c>
      <c r="Z27" s="255">
        <v>202</v>
      </c>
      <c r="AA27" s="256">
        <v>4</v>
      </c>
      <c r="AB27" s="257">
        <v>0</v>
      </c>
      <c r="AC27" s="256">
        <v>1</v>
      </c>
      <c r="AD27" s="257">
        <v>0</v>
      </c>
      <c r="AE27" s="255">
        <v>199</v>
      </c>
    </row>
    <row r="28" spans="2:31">
      <c r="B28" s="254"/>
      <c r="C28" s="243"/>
      <c r="D28" s="248"/>
      <c r="E28" s="243" t="s">
        <v>753</v>
      </c>
      <c r="F28" s="255">
        <v>3635</v>
      </c>
      <c r="G28" s="256">
        <v>6</v>
      </c>
      <c r="H28" s="257">
        <v>10</v>
      </c>
      <c r="I28" s="256">
        <v>14</v>
      </c>
      <c r="J28" s="259">
        <v>10</v>
      </c>
      <c r="K28" s="255">
        <v>3643</v>
      </c>
      <c r="L28" s="256">
        <v>5</v>
      </c>
      <c r="M28" s="257">
        <v>8</v>
      </c>
      <c r="N28" s="256">
        <v>11</v>
      </c>
      <c r="O28" s="259">
        <v>8</v>
      </c>
      <c r="P28" s="255">
        <v>3649</v>
      </c>
      <c r="Q28" s="256">
        <v>18</v>
      </c>
      <c r="R28" s="257">
        <v>8</v>
      </c>
      <c r="S28" s="256">
        <v>13</v>
      </c>
      <c r="T28" s="259">
        <v>8</v>
      </c>
      <c r="U28" s="258">
        <v>3644</v>
      </c>
      <c r="V28" s="256">
        <v>10</v>
      </c>
      <c r="W28" s="257">
        <v>0</v>
      </c>
      <c r="X28" s="256">
        <v>10</v>
      </c>
      <c r="Y28" s="257">
        <v>0</v>
      </c>
      <c r="Z28" s="255">
        <v>3644</v>
      </c>
      <c r="AA28" s="256">
        <v>9</v>
      </c>
      <c r="AB28" s="257">
        <v>0</v>
      </c>
      <c r="AC28" s="256">
        <v>10</v>
      </c>
      <c r="AD28" s="257">
        <v>0</v>
      </c>
      <c r="AE28" s="255">
        <v>3645</v>
      </c>
    </row>
    <row r="29" spans="2:31">
      <c r="B29" s="254"/>
      <c r="C29" s="243"/>
      <c r="D29" s="248"/>
      <c r="E29" s="243" t="s">
        <v>41</v>
      </c>
      <c r="F29" s="255">
        <v>31144</v>
      </c>
      <c r="G29" s="256">
        <v>0</v>
      </c>
      <c r="H29" s="257">
        <v>511</v>
      </c>
      <c r="I29" s="256">
        <v>0</v>
      </c>
      <c r="J29" s="259">
        <v>640</v>
      </c>
      <c r="K29" s="255">
        <v>31273</v>
      </c>
      <c r="L29" s="256">
        <v>0</v>
      </c>
      <c r="M29" s="257">
        <v>0</v>
      </c>
      <c r="N29" s="256">
        <v>0</v>
      </c>
      <c r="O29" s="259">
        <v>0</v>
      </c>
      <c r="P29" s="255">
        <v>31273</v>
      </c>
      <c r="Q29" s="256">
        <v>0</v>
      </c>
      <c r="R29" s="257">
        <v>0</v>
      </c>
      <c r="S29" s="256">
        <v>0</v>
      </c>
      <c r="T29" s="259">
        <v>103</v>
      </c>
      <c r="U29" s="258">
        <v>31376</v>
      </c>
      <c r="V29" s="256">
        <v>0</v>
      </c>
      <c r="W29" s="257">
        <v>0</v>
      </c>
      <c r="X29" s="256">
        <v>0</v>
      </c>
      <c r="Y29" s="257">
        <v>0</v>
      </c>
      <c r="Z29" s="255">
        <v>31376</v>
      </c>
      <c r="AA29" s="256">
        <v>0</v>
      </c>
      <c r="AB29" s="257">
        <v>0</v>
      </c>
      <c r="AC29" s="256">
        <v>0</v>
      </c>
      <c r="AD29" s="257">
        <v>0</v>
      </c>
      <c r="AE29" s="255">
        <v>31376</v>
      </c>
    </row>
    <row r="30" spans="2:31">
      <c r="B30" s="254"/>
      <c r="C30" s="243"/>
      <c r="D30" s="248"/>
      <c r="E30" s="243" t="s">
        <v>42</v>
      </c>
      <c r="F30" s="255">
        <v>2813</v>
      </c>
      <c r="G30" s="256">
        <v>20</v>
      </c>
      <c r="H30" s="257">
        <v>0</v>
      </c>
      <c r="I30" s="256">
        <v>0</v>
      </c>
      <c r="J30" s="259">
        <v>0</v>
      </c>
      <c r="K30" s="255">
        <v>2793</v>
      </c>
      <c r="L30" s="256">
        <v>36</v>
      </c>
      <c r="M30" s="257">
        <v>0</v>
      </c>
      <c r="N30" s="256">
        <v>0</v>
      </c>
      <c r="O30" s="259">
        <v>0</v>
      </c>
      <c r="P30" s="255">
        <v>2757</v>
      </c>
      <c r="Q30" s="256">
        <v>41</v>
      </c>
      <c r="R30" s="257">
        <v>0</v>
      </c>
      <c r="S30" s="256">
        <v>0</v>
      </c>
      <c r="T30" s="259">
        <v>0</v>
      </c>
      <c r="U30" s="258">
        <v>2716</v>
      </c>
      <c r="V30" s="256">
        <v>32</v>
      </c>
      <c r="W30" s="257">
        <v>0</v>
      </c>
      <c r="X30" s="256">
        <v>0</v>
      </c>
      <c r="Y30" s="257">
        <v>0</v>
      </c>
      <c r="Z30" s="255">
        <v>2684</v>
      </c>
      <c r="AA30" s="256">
        <v>31</v>
      </c>
      <c r="AB30" s="257">
        <v>0</v>
      </c>
      <c r="AC30" s="256">
        <v>0</v>
      </c>
      <c r="AD30" s="257">
        <v>0</v>
      </c>
      <c r="AE30" s="255">
        <v>2653</v>
      </c>
    </row>
    <row r="31" spans="2:31" ht="13.5" thickBot="1">
      <c r="B31" s="239"/>
      <c r="C31" s="240"/>
      <c r="D31" s="240"/>
      <c r="E31" s="240"/>
      <c r="F31" s="265"/>
      <c r="G31" s="266"/>
      <c r="H31" s="267"/>
      <c r="I31" s="266"/>
      <c r="J31" s="268"/>
      <c r="K31" s="269"/>
      <c r="L31" s="266"/>
      <c r="M31" s="267"/>
      <c r="N31" s="266"/>
      <c r="O31" s="268"/>
      <c r="P31" s="269"/>
      <c r="Q31" s="266"/>
      <c r="R31" s="267"/>
      <c r="S31" s="266"/>
      <c r="T31" s="268"/>
      <c r="U31" s="270"/>
      <c r="V31" s="266"/>
      <c r="W31" s="267"/>
      <c r="X31" s="266"/>
      <c r="Y31" s="267"/>
      <c r="Z31" s="269"/>
      <c r="AA31" s="266"/>
      <c r="AB31" s="267"/>
      <c r="AC31" s="266"/>
      <c r="AD31" s="267"/>
      <c r="AE31" s="269"/>
    </row>
    <row r="32" spans="2:31">
      <c r="B32" s="271"/>
      <c r="C32" s="272" t="s">
        <v>43</v>
      </c>
      <c r="D32" s="272"/>
      <c r="E32" s="273"/>
      <c r="F32" s="260"/>
      <c r="G32" s="261"/>
      <c r="H32" s="262"/>
      <c r="I32" s="261"/>
      <c r="J32" s="263"/>
      <c r="K32" s="260"/>
      <c r="L32" s="261"/>
      <c r="M32" s="262"/>
      <c r="N32" s="261"/>
      <c r="O32" s="263"/>
      <c r="P32" s="260"/>
      <c r="Q32" s="261"/>
      <c r="R32" s="262"/>
      <c r="S32" s="261"/>
      <c r="T32" s="263"/>
      <c r="U32" s="264"/>
      <c r="V32" s="261"/>
      <c r="W32" s="262"/>
      <c r="X32" s="261"/>
      <c r="Y32" s="262"/>
      <c r="Z32" s="260"/>
      <c r="AA32" s="261"/>
      <c r="AB32" s="262"/>
      <c r="AC32" s="261"/>
      <c r="AD32" s="262"/>
      <c r="AE32" s="260"/>
    </row>
    <row r="33" spans="2:31">
      <c r="B33" s="254"/>
      <c r="C33" s="243"/>
      <c r="D33" s="248" t="s">
        <v>578</v>
      </c>
      <c r="E33" s="243"/>
      <c r="F33" s="260"/>
      <c r="G33" s="261"/>
      <c r="H33" s="262"/>
      <c r="I33" s="261"/>
      <c r="J33" s="263"/>
      <c r="K33" s="260"/>
      <c r="L33" s="261"/>
      <c r="M33" s="262"/>
      <c r="N33" s="261"/>
      <c r="O33" s="263"/>
      <c r="P33" s="260"/>
      <c r="Q33" s="261"/>
      <c r="R33" s="262"/>
      <c r="S33" s="261"/>
      <c r="T33" s="263"/>
      <c r="U33" s="264"/>
      <c r="V33" s="261"/>
      <c r="W33" s="262"/>
      <c r="X33" s="261"/>
      <c r="Y33" s="262"/>
      <c r="Z33" s="260"/>
      <c r="AA33" s="261"/>
      <c r="AB33" s="262"/>
      <c r="AC33" s="261"/>
      <c r="AD33" s="262"/>
      <c r="AE33" s="260"/>
    </row>
    <row r="34" spans="2:31">
      <c r="B34" s="254"/>
      <c r="C34" s="243"/>
      <c r="D34" s="248"/>
      <c r="E34" s="243" t="s">
        <v>44</v>
      </c>
      <c r="F34" s="255">
        <v>12254</v>
      </c>
      <c r="G34" s="256">
        <v>0</v>
      </c>
      <c r="H34" s="257">
        <v>52</v>
      </c>
      <c r="I34" s="256">
        <v>0</v>
      </c>
      <c r="J34" s="259">
        <v>32</v>
      </c>
      <c r="K34" s="255">
        <v>12234</v>
      </c>
      <c r="L34" s="256">
        <v>0</v>
      </c>
      <c r="M34" s="257">
        <v>89</v>
      </c>
      <c r="N34" s="256">
        <v>0</v>
      </c>
      <c r="O34" s="259">
        <v>77</v>
      </c>
      <c r="P34" s="255">
        <v>12222</v>
      </c>
      <c r="Q34" s="256">
        <v>0</v>
      </c>
      <c r="R34" s="257">
        <v>79</v>
      </c>
      <c r="S34" s="256">
        <v>0</v>
      </c>
      <c r="T34" s="259">
        <v>64</v>
      </c>
      <c r="U34" s="258">
        <v>12207</v>
      </c>
      <c r="V34" s="256">
        <v>0</v>
      </c>
      <c r="W34" s="257">
        <v>55</v>
      </c>
      <c r="X34" s="256">
        <v>0</v>
      </c>
      <c r="Y34" s="257">
        <v>55</v>
      </c>
      <c r="Z34" s="255">
        <v>12207</v>
      </c>
      <c r="AA34" s="256">
        <v>0</v>
      </c>
      <c r="AB34" s="257">
        <v>55</v>
      </c>
      <c r="AC34" s="256">
        <v>0</v>
      </c>
      <c r="AD34" s="257">
        <v>55</v>
      </c>
      <c r="AE34" s="255">
        <v>12207</v>
      </c>
    </row>
    <row r="35" spans="2:31">
      <c r="B35" s="254"/>
      <c r="C35" s="243"/>
      <c r="D35" s="248"/>
      <c r="E35" s="243" t="s">
        <v>45</v>
      </c>
      <c r="F35" s="255">
        <v>0</v>
      </c>
      <c r="G35" s="256">
        <v>0</v>
      </c>
      <c r="H35" s="257">
        <v>0</v>
      </c>
      <c r="I35" s="256">
        <v>0</v>
      </c>
      <c r="J35" s="259">
        <v>0</v>
      </c>
      <c r="K35" s="255">
        <v>0</v>
      </c>
      <c r="L35" s="256">
        <v>0</v>
      </c>
      <c r="M35" s="257">
        <v>0</v>
      </c>
      <c r="N35" s="256">
        <v>0</v>
      </c>
      <c r="O35" s="259">
        <v>0</v>
      </c>
      <c r="P35" s="255">
        <v>0</v>
      </c>
      <c r="Q35" s="256">
        <v>0</v>
      </c>
      <c r="R35" s="257">
        <v>0</v>
      </c>
      <c r="S35" s="256">
        <v>0</v>
      </c>
      <c r="T35" s="259">
        <v>0</v>
      </c>
      <c r="U35" s="258">
        <v>0</v>
      </c>
      <c r="V35" s="256">
        <v>0</v>
      </c>
      <c r="W35" s="257">
        <v>0</v>
      </c>
      <c r="X35" s="256">
        <v>0</v>
      </c>
      <c r="Y35" s="257">
        <v>0</v>
      </c>
      <c r="Z35" s="255">
        <v>0</v>
      </c>
      <c r="AA35" s="256">
        <v>0</v>
      </c>
      <c r="AB35" s="257">
        <v>0</v>
      </c>
      <c r="AC35" s="256">
        <v>0</v>
      </c>
      <c r="AD35" s="257">
        <v>0</v>
      </c>
      <c r="AE35" s="255">
        <v>0</v>
      </c>
    </row>
    <row r="36" spans="2:31">
      <c r="B36" s="254"/>
      <c r="C36" s="243"/>
      <c r="D36" s="243"/>
      <c r="E36" s="243" t="s">
        <v>46</v>
      </c>
      <c r="F36" s="255">
        <v>0</v>
      </c>
      <c r="G36" s="256">
        <v>0</v>
      </c>
      <c r="H36" s="257">
        <v>0</v>
      </c>
      <c r="I36" s="256">
        <v>0</v>
      </c>
      <c r="J36" s="259">
        <v>0</v>
      </c>
      <c r="K36" s="255">
        <v>0</v>
      </c>
      <c r="L36" s="256">
        <v>0</v>
      </c>
      <c r="M36" s="257">
        <v>0</v>
      </c>
      <c r="N36" s="256">
        <v>0</v>
      </c>
      <c r="O36" s="259">
        <v>0</v>
      </c>
      <c r="P36" s="255">
        <v>0</v>
      </c>
      <c r="Q36" s="256">
        <v>0</v>
      </c>
      <c r="R36" s="257">
        <v>0</v>
      </c>
      <c r="S36" s="256">
        <v>0</v>
      </c>
      <c r="T36" s="259">
        <v>0</v>
      </c>
      <c r="U36" s="258">
        <v>0</v>
      </c>
      <c r="V36" s="256">
        <v>0</v>
      </c>
      <c r="W36" s="257">
        <v>0</v>
      </c>
      <c r="X36" s="256">
        <v>0</v>
      </c>
      <c r="Y36" s="257">
        <v>0</v>
      </c>
      <c r="Z36" s="255">
        <v>0</v>
      </c>
      <c r="AA36" s="256">
        <v>0</v>
      </c>
      <c r="AB36" s="257">
        <v>0</v>
      </c>
      <c r="AC36" s="256">
        <v>0</v>
      </c>
      <c r="AD36" s="257">
        <v>0</v>
      </c>
      <c r="AE36" s="255">
        <v>0</v>
      </c>
    </row>
    <row r="37" spans="2:31">
      <c r="B37" s="254"/>
      <c r="C37" s="243"/>
      <c r="D37" s="243"/>
      <c r="E37" s="243" t="s">
        <v>643</v>
      </c>
      <c r="F37" s="255">
        <v>0</v>
      </c>
      <c r="G37" s="256">
        <v>0</v>
      </c>
      <c r="H37" s="257">
        <v>0</v>
      </c>
      <c r="I37" s="256">
        <v>0</v>
      </c>
      <c r="J37" s="259">
        <v>0</v>
      </c>
      <c r="K37" s="255">
        <v>0</v>
      </c>
      <c r="L37" s="256">
        <v>0</v>
      </c>
      <c r="M37" s="257">
        <v>0</v>
      </c>
      <c r="N37" s="256">
        <v>0</v>
      </c>
      <c r="O37" s="259">
        <v>0</v>
      </c>
      <c r="P37" s="255">
        <v>0</v>
      </c>
      <c r="Q37" s="256">
        <v>0</v>
      </c>
      <c r="R37" s="257">
        <v>0</v>
      </c>
      <c r="S37" s="256">
        <v>0</v>
      </c>
      <c r="T37" s="259">
        <v>0</v>
      </c>
      <c r="U37" s="258">
        <v>0</v>
      </c>
      <c r="V37" s="256">
        <v>0</v>
      </c>
      <c r="W37" s="257">
        <v>0</v>
      </c>
      <c r="X37" s="256">
        <v>0</v>
      </c>
      <c r="Y37" s="257">
        <v>0</v>
      </c>
      <c r="Z37" s="255">
        <v>0</v>
      </c>
      <c r="AA37" s="256">
        <v>0</v>
      </c>
      <c r="AB37" s="257">
        <v>0</v>
      </c>
      <c r="AC37" s="256">
        <v>0</v>
      </c>
      <c r="AD37" s="257">
        <v>0</v>
      </c>
      <c r="AE37" s="255">
        <v>0</v>
      </c>
    </row>
    <row r="38" spans="2:31">
      <c r="B38" s="254"/>
      <c r="C38" s="243"/>
      <c r="D38" s="243"/>
      <c r="E38" s="243"/>
      <c r="F38" s="260"/>
      <c r="G38" s="261"/>
      <c r="H38" s="262"/>
      <c r="I38" s="261"/>
      <c r="J38" s="263"/>
      <c r="K38" s="260"/>
      <c r="L38" s="261"/>
      <c r="M38" s="262"/>
      <c r="N38" s="261"/>
      <c r="O38" s="263"/>
      <c r="P38" s="260"/>
      <c r="Q38" s="261"/>
      <c r="R38" s="262"/>
      <c r="S38" s="261"/>
      <c r="T38" s="263"/>
      <c r="U38" s="264"/>
      <c r="V38" s="261"/>
      <c r="W38" s="262"/>
      <c r="X38" s="261"/>
      <c r="Y38" s="262"/>
      <c r="Z38" s="260"/>
      <c r="AA38" s="261"/>
      <c r="AB38" s="262"/>
      <c r="AC38" s="261"/>
      <c r="AD38" s="262"/>
      <c r="AE38" s="260"/>
    </row>
    <row r="39" spans="2:31">
      <c r="B39" s="254"/>
      <c r="C39" s="243"/>
      <c r="D39" s="248" t="s">
        <v>739</v>
      </c>
      <c r="E39" s="243"/>
      <c r="F39" s="260"/>
      <c r="G39" s="261"/>
      <c r="H39" s="262"/>
      <c r="I39" s="261"/>
      <c r="J39" s="263"/>
      <c r="K39" s="260"/>
      <c r="L39" s="261"/>
      <c r="M39" s="262"/>
      <c r="N39" s="261"/>
      <c r="O39" s="263"/>
      <c r="P39" s="260"/>
      <c r="Q39" s="261"/>
      <c r="R39" s="262"/>
      <c r="S39" s="261"/>
      <c r="T39" s="263"/>
      <c r="U39" s="264"/>
      <c r="V39" s="261"/>
      <c r="W39" s="262"/>
      <c r="X39" s="261"/>
      <c r="Y39" s="262"/>
      <c r="Z39" s="260"/>
      <c r="AA39" s="261"/>
      <c r="AB39" s="262"/>
      <c r="AC39" s="261"/>
      <c r="AD39" s="262"/>
      <c r="AE39" s="260"/>
    </row>
    <row r="40" spans="2:31">
      <c r="B40" s="254"/>
      <c r="C40" s="243"/>
      <c r="D40" s="273"/>
      <c r="E40" s="243" t="s">
        <v>761</v>
      </c>
      <c r="F40" s="255">
        <v>163307</v>
      </c>
      <c r="G40" s="256">
        <v>0</v>
      </c>
      <c r="H40" s="257">
        <v>1809</v>
      </c>
      <c r="I40" s="256">
        <v>0</v>
      </c>
      <c r="J40" s="259">
        <v>1678</v>
      </c>
      <c r="K40" s="255">
        <v>163176</v>
      </c>
      <c r="L40" s="256">
        <v>0</v>
      </c>
      <c r="M40" s="257">
        <v>2035</v>
      </c>
      <c r="N40" s="256">
        <v>0</v>
      </c>
      <c r="O40" s="259">
        <v>1912</v>
      </c>
      <c r="P40" s="255">
        <v>163053</v>
      </c>
      <c r="Q40" s="256">
        <v>0</v>
      </c>
      <c r="R40" s="257">
        <v>2381</v>
      </c>
      <c r="S40" s="256">
        <v>0</v>
      </c>
      <c r="T40" s="259">
        <v>1861</v>
      </c>
      <c r="U40" s="258">
        <v>162533</v>
      </c>
      <c r="V40" s="256">
        <v>0</v>
      </c>
      <c r="W40" s="257">
        <v>1582.5</v>
      </c>
      <c r="X40" s="256">
        <v>0</v>
      </c>
      <c r="Y40" s="257">
        <v>1582.5</v>
      </c>
      <c r="Z40" s="255">
        <v>162533</v>
      </c>
      <c r="AA40" s="256">
        <v>0</v>
      </c>
      <c r="AB40" s="257">
        <v>1582.5</v>
      </c>
      <c r="AC40" s="256">
        <v>0</v>
      </c>
      <c r="AD40" s="257">
        <v>1582.5</v>
      </c>
      <c r="AE40" s="255">
        <v>162533</v>
      </c>
    </row>
    <row r="41" spans="2:31">
      <c r="B41" s="254"/>
      <c r="C41" s="243"/>
      <c r="D41" s="248"/>
      <c r="E41" s="243" t="s">
        <v>762</v>
      </c>
      <c r="F41" s="255">
        <v>0</v>
      </c>
      <c r="G41" s="256">
        <v>0</v>
      </c>
      <c r="H41" s="257">
        <v>0</v>
      </c>
      <c r="I41" s="256">
        <v>0</v>
      </c>
      <c r="J41" s="259">
        <v>0</v>
      </c>
      <c r="K41" s="255">
        <v>0</v>
      </c>
      <c r="L41" s="256">
        <v>0</v>
      </c>
      <c r="M41" s="257">
        <v>0</v>
      </c>
      <c r="N41" s="256">
        <v>0</v>
      </c>
      <c r="O41" s="259">
        <v>0</v>
      </c>
      <c r="P41" s="255">
        <v>0</v>
      </c>
      <c r="Q41" s="256">
        <v>0</v>
      </c>
      <c r="R41" s="257">
        <v>0</v>
      </c>
      <c r="S41" s="256">
        <v>0</v>
      </c>
      <c r="T41" s="259">
        <v>0</v>
      </c>
      <c r="U41" s="258">
        <v>0</v>
      </c>
      <c r="V41" s="256">
        <v>0</v>
      </c>
      <c r="W41" s="257">
        <v>0</v>
      </c>
      <c r="X41" s="256">
        <v>0</v>
      </c>
      <c r="Y41" s="257">
        <v>0</v>
      </c>
      <c r="Z41" s="255">
        <v>0</v>
      </c>
      <c r="AA41" s="256">
        <v>0</v>
      </c>
      <c r="AB41" s="257">
        <v>0</v>
      </c>
      <c r="AC41" s="256">
        <v>0</v>
      </c>
      <c r="AD41" s="257">
        <v>0</v>
      </c>
      <c r="AE41" s="255">
        <v>0</v>
      </c>
    </row>
    <row r="42" spans="2:31">
      <c r="B42" s="254"/>
      <c r="C42" s="243"/>
      <c r="D42" s="243"/>
      <c r="E42" s="243"/>
      <c r="F42" s="260"/>
      <c r="G42" s="261"/>
      <c r="H42" s="262"/>
      <c r="I42" s="261"/>
      <c r="J42" s="263"/>
      <c r="K42" s="260"/>
      <c r="L42" s="261"/>
      <c r="M42" s="262"/>
      <c r="N42" s="261"/>
      <c r="O42" s="263"/>
      <c r="P42" s="260"/>
      <c r="Q42" s="261"/>
      <c r="R42" s="262"/>
      <c r="S42" s="261"/>
      <c r="T42" s="263"/>
      <c r="U42" s="264"/>
      <c r="V42" s="261"/>
      <c r="W42" s="262"/>
      <c r="X42" s="261"/>
      <c r="Y42" s="262"/>
      <c r="Z42" s="260"/>
      <c r="AA42" s="261"/>
      <c r="AB42" s="262"/>
      <c r="AC42" s="261"/>
      <c r="AD42" s="262"/>
      <c r="AE42" s="260"/>
    </row>
    <row r="43" spans="2:31">
      <c r="B43" s="254"/>
      <c r="C43" s="243"/>
      <c r="D43" s="248" t="s">
        <v>763</v>
      </c>
      <c r="E43" s="243"/>
      <c r="F43" s="260"/>
      <c r="G43" s="261"/>
      <c r="H43" s="262"/>
      <c r="I43" s="261"/>
      <c r="J43" s="263"/>
      <c r="K43" s="260"/>
      <c r="L43" s="261"/>
      <c r="M43" s="262"/>
      <c r="N43" s="261"/>
      <c r="O43" s="263"/>
      <c r="P43" s="260"/>
      <c r="Q43" s="261"/>
      <c r="R43" s="262"/>
      <c r="S43" s="261"/>
      <c r="T43" s="263"/>
      <c r="U43" s="264"/>
      <c r="V43" s="261"/>
      <c r="W43" s="262"/>
      <c r="X43" s="261"/>
      <c r="Y43" s="262"/>
      <c r="Z43" s="260"/>
      <c r="AA43" s="261"/>
      <c r="AB43" s="262"/>
      <c r="AC43" s="261"/>
      <c r="AD43" s="262"/>
      <c r="AE43" s="260"/>
    </row>
    <row r="44" spans="2:31">
      <c r="B44" s="254"/>
      <c r="C44" s="243"/>
      <c r="D44" s="248"/>
      <c r="E44" s="243" t="s">
        <v>764</v>
      </c>
      <c r="F44" s="255">
        <v>5119.7</v>
      </c>
      <c r="G44" s="256">
        <v>0</v>
      </c>
      <c r="H44" s="257">
        <v>0</v>
      </c>
      <c r="I44" s="256">
        <v>120</v>
      </c>
      <c r="J44" s="259">
        <v>0</v>
      </c>
      <c r="K44" s="255">
        <v>5239.7</v>
      </c>
      <c r="L44" s="256">
        <v>0</v>
      </c>
      <c r="M44" s="257">
        <v>11</v>
      </c>
      <c r="N44" s="256">
        <v>54.8</v>
      </c>
      <c r="O44" s="259">
        <v>11</v>
      </c>
      <c r="P44" s="255">
        <v>5294.5</v>
      </c>
      <c r="Q44" s="256">
        <v>0</v>
      </c>
      <c r="R44" s="257">
        <v>4.7</v>
      </c>
      <c r="S44" s="256">
        <v>66.900000000000006</v>
      </c>
      <c r="T44" s="259">
        <v>5</v>
      </c>
      <c r="U44" s="258">
        <v>5361.7</v>
      </c>
      <c r="V44" s="256">
        <v>0</v>
      </c>
      <c r="W44" s="257">
        <v>0</v>
      </c>
      <c r="X44" s="256">
        <v>51</v>
      </c>
      <c r="Y44" s="257">
        <v>0</v>
      </c>
      <c r="Z44" s="255">
        <v>5412.7</v>
      </c>
      <c r="AA44" s="256">
        <v>0</v>
      </c>
      <c r="AB44" s="257">
        <v>0</v>
      </c>
      <c r="AC44" s="256">
        <v>49</v>
      </c>
      <c r="AD44" s="257">
        <v>0</v>
      </c>
      <c r="AE44" s="255">
        <v>5461.7</v>
      </c>
    </row>
    <row r="45" spans="2:31">
      <c r="B45" s="254"/>
      <c r="C45" s="243"/>
      <c r="D45" s="248"/>
      <c r="E45" s="243" t="s">
        <v>765</v>
      </c>
      <c r="F45" s="255">
        <v>0</v>
      </c>
      <c r="G45" s="256">
        <v>0</v>
      </c>
      <c r="H45" s="257">
        <v>0</v>
      </c>
      <c r="I45" s="256" t="s">
        <v>1020</v>
      </c>
      <c r="J45" s="259">
        <v>0</v>
      </c>
      <c r="K45" s="255">
        <v>0</v>
      </c>
      <c r="L45" s="256">
        <v>0</v>
      </c>
      <c r="M45" s="257">
        <v>0</v>
      </c>
      <c r="N45" s="256" t="s">
        <v>1020</v>
      </c>
      <c r="O45" s="259">
        <v>0</v>
      </c>
      <c r="P45" s="255">
        <v>0</v>
      </c>
      <c r="Q45" s="256">
        <v>0</v>
      </c>
      <c r="R45" s="257">
        <v>0</v>
      </c>
      <c r="S45" s="256" t="s">
        <v>1020</v>
      </c>
      <c r="T45" s="259">
        <v>0</v>
      </c>
      <c r="U45" s="258">
        <v>0</v>
      </c>
      <c r="V45" s="256">
        <v>0</v>
      </c>
      <c r="W45" s="257">
        <v>0</v>
      </c>
      <c r="X45" s="256">
        <v>0</v>
      </c>
      <c r="Y45" s="257">
        <v>0</v>
      </c>
      <c r="Z45" s="255">
        <v>0</v>
      </c>
      <c r="AA45" s="256">
        <v>0</v>
      </c>
      <c r="AB45" s="257">
        <v>0</v>
      </c>
      <c r="AC45" s="256">
        <v>0</v>
      </c>
      <c r="AD45" s="257">
        <v>0</v>
      </c>
      <c r="AE45" s="255">
        <v>0</v>
      </c>
    </row>
    <row r="46" spans="2:31">
      <c r="B46" s="254"/>
      <c r="C46" s="243"/>
      <c r="D46" s="248"/>
      <c r="E46" s="243"/>
      <c r="F46" s="260"/>
      <c r="G46" s="261"/>
      <c r="H46" s="262"/>
      <c r="I46" s="261"/>
      <c r="J46" s="263"/>
      <c r="K46" s="260"/>
      <c r="L46" s="261"/>
      <c r="M46" s="262"/>
      <c r="N46" s="261"/>
      <c r="O46" s="263"/>
      <c r="P46" s="260"/>
      <c r="Q46" s="261"/>
      <c r="R46" s="262"/>
      <c r="S46" s="261"/>
      <c r="T46" s="263"/>
      <c r="U46" s="264"/>
      <c r="V46" s="261"/>
      <c r="W46" s="262"/>
      <c r="X46" s="261"/>
      <c r="Y46" s="262"/>
      <c r="Z46" s="260"/>
      <c r="AA46" s="261"/>
      <c r="AB46" s="262"/>
      <c r="AC46" s="261"/>
      <c r="AD46" s="262"/>
      <c r="AE46" s="260"/>
    </row>
    <row r="47" spans="2:31">
      <c r="B47" s="254"/>
      <c r="C47" s="243"/>
      <c r="D47" s="248" t="s">
        <v>68</v>
      </c>
      <c r="E47" s="243"/>
      <c r="F47" s="260"/>
      <c r="G47" s="261"/>
      <c r="H47" s="262"/>
      <c r="I47" s="261"/>
      <c r="J47" s="263"/>
      <c r="K47" s="260"/>
      <c r="L47" s="261"/>
      <c r="M47" s="262"/>
      <c r="N47" s="261"/>
      <c r="O47" s="263"/>
      <c r="P47" s="260"/>
      <c r="Q47" s="261"/>
      <c r="R47" s="262"/>
      <c r="S47" s="261"/>
      <c r="T47" s="263"/>
      <c r="U47" s="264"/>
      <c r="V47" s="261"/>
      <c r="W47" s="262"/>
      <c r="X47" s="261"/>
      <c r="Y47" s="262"/>
      <c r="Z47" s="260"/>
      <c r="AA47" s="261"/>
      <c r="AB47" s="262"/>
      <c r="AC47" s="261"/>
      <c r="AD47" s="262"/>
      <c r="AE47" s="260"/>
    </row>
    <row r="48" spans="2:31">
      <c r="B48" s="254"/>
      <c r="C48" s="243"/>
      <c r="D48" s="248"/>
      <c r="E48" s="243" t="s">
        <v>69</v>
      </c>
      <c r="F48" s="255">
        <v>5</v>
      </c>
      <c r="G48" s="256">
        <v>0</v>
      </c>
      <c r="H48" s="257">
        <v>0</v>
      </c>
      <c r="I48" s="256" t="s">
        <v>1020</v>
      </c>
      <c r="J48" s="259">
        <v>0</v>
      </c>
      <c r="K48" s="255">
        <v>5</v>
      </c>
      <c r="L48" s="256">
        <v>0</v>
      </c>
      <c r="M48" s="257">
        <v>0</v>
      </c>
      <c r="N48" s="256" t="s">
        <v>1020</v>
      </c>
      <c r="O48" s="259">
        <v>0</v>
      </c>
      <c r="P48" s="255">
        <v>5</v>
      </c>
      <c r="Q48" s="256">
        <v>0</v>
      </c>
      <c r="R48" s="257">
        <v>0</v>
      </c>
      <c r="S48" s="256" t="s">
        <v>1020</v>
      </c>
      <c r="T48" s="259">
        <v>0</v>
      </c>
      <c r="U48" s="258">
        <v>5</v>
      </c>
      <c r="V48" s="256">
        <v>0</v>
      </c>
      <c r="W48" s="257">
        <v>0</v>
      </c>
      <c r="X48" s="256">
        <v>0</v>
      </c>
      <c r="Y48" s="257">
        <v>0</v>
      </c>
      <c r="Z48" s="255">
        <v>5</v>
      </c>
      <c r="AA48" s="256">
        <v>0</v>
      </c>
      <c r="AB48" s="257">
        <v>0</v>
      </c>
      <c r="AC48" s="256">
        <v>0</v>
      </c>
      <c r="AD48" s="257">
        <v>0</v>
      </c>
      <c r="AE48" s="255">
        <v>5</v>
      </c>
    </row>
    <row r="49" spans="2:31">
      <c r="B49" s="254"/>
      <c r="C49" s="243"/>
      <c r="D49" s="248"/>
      <c r="E49" s="243"/>
      <c r="F49" s="260"/>
      <c r="G49" s="261"/>
      <c r="H49" s="262"/>
      <c r="I49" s="261"/>
      <c r="J49" s="263"/>
      <c r="K49" s="260"/>
      <c r="L49" s="261"/>
      <c r="M49" s="262"/>
      <c r="N49" s="261"/>
      <c r="O49" s="263"/>
      <c r="P49" s="260"/>
      <c r="Q49" s="261"/>
      <c r="R49" s="262"/>
      <c r="S49" s="261"/>
      <c r="T49" s="263"/>
      <c r="U49" s="264"/>
      <c r="V49" s="261"/>
      <c r="W49" s="262"/>
      <c r="X49" s="261"/>
      <c r="Y49" s="262"/>
      <c r="Z49" s="260"/>
      <c r="AA49" s="261"/>
      <c r="AB49" s="262"/>
      <c r="AC49" s="261"/>
      <c r="AD49" s="262"/>
      <c r="AE49" s="260"/>
    </row>
    <row r="50" spans="2:31">
      <c r="B50" s="254"/>
      <c r="C50" s="243"/>
      <c r="D50" s="248" t="s">
        <v>631</v>
      </c>
      <c r="E50" s="243"/>
      <c r="F50" s="260"/>
      <c r="G50" s="261"/>
      <c r="H50" s="262"/>
      <c r="I50" s="261"/>
      <c r="J50" s="263"/>
      <c r="K50" s="260"/>
      <c r="L50" s="261"/>
      <c r="M50" s="262"/>
      <c r="N50" s="261"/>
      <c r="O50" s="263"/>
      <c r="P50" s="260"/>
      <c r="Q50" s="261"/>
      <c r="R50" s="262"/>
      <c r="S50" s="261"/>
      <c r="T50" s="263"/>
      <c r="U50" s="264"/>
      <c r="V50" s="261"/>
      <c r="W50" s="262"/>
      <c r="X50" s="261"/>
      <c r="Y50" s="262"/>
      <c r="Z50" s="260"/>
      <c r="AA50" s="261"/>
      <c r="AB50" s="262"/>
      <c r="AC50" s="261"/>
      <c r="AD50" s="262"/>
      <c r="AE50" s="260"/>
    </row>
    <row r="51" spans="2:31">
      <c r="B51" s="254"/>
      <c r="C51" s="243"/>
      <c r="D51" s="248"/>
      <c r="E51" s="243" t="s">
        <v>70</v>
      </c>
      <c r="F51" s="255">
        <v>615</v>
      </c>
      <c r="G51" s="256">
        <v>0</v>
      </c>
      <c r="H51" s="257">
        <v>48</v>
      </c>
      <c r="I51" s="256">
        <v>0</v>
      </c>
      <c r="J51" s="259">
        <v>196</v>
      </c>
      <c r="K51" s="255">
        <v>763</v>
      </c>
      <c r="L51" s="256">
        <v>0</v>
      </c>
      <c r="M51" s="257">
        <v>55</v>
      </c>
      <c r="N51" s="256">
        <v>0</v>
      </c>
      <c r="O51" s="259">
        <v>119</v>
      </c>
      <c r="P51" s="255">
        <v>827</v>
      </c>
      <c r="Q51" s="256">
        <v>0</v>
      </c>
      <c r="R51" s="257">
        <v>64</v>
      </c>
      <c r="S51" s="256">
        <v>0</v>
      </c>
      <c r="T51" s="259">
        <v>150</v>
      </c>
      <c r="U51" s="258">
        <v>913</v>
      </c>
      <c r="V51" s="256">
        <v>0</v>
      </c>
      <c r="W51" s="257">
        <v>100</v>
      </c>
      <c r="X51" s="256">
        <v>0</v>
      </c>
      <c r="Y51" s="257">
        <v>100</v>
      </c>
      <c r="Z51" s="255">
        <v>913</v>
      </c>
      <c r="AA51" s="256">
        <v>0</v>
      </c>
      <c r="AB51" s="257">
        <v>43</v>
      </c>
      <c r="AC51" s="256">
        <v>0</v>
      </c>
      <c r="AD51" s="257">
        <v>43</v>
      </c>
      <c r="AE51" s="255">
        <v>913</v>
      </c>
    </row>
    <row r="52" spans="2:31">
      <c r="B52" s="254"/>
      <c r="C52" s="243"/>
      <c r="D52" s="248"/>
      <c r="E52" s="243" t="s">
        <v>80</v>
      </c>
      <c r="F52" s="255">
        <v>2940</v>
      </c>
      <c r="G52" s="256">
        <v>0</v>
      </c>
      <c r="H52" s="257">
        <v>24</v>
      </c>
      <c r="I52" s="256">
        <v>15</v>
      </c>
      <c r="J52" s="259">
        <v>36</v>
      </c>
      <c r="K52" s="255">
        <v>2967</v>
      </c>
      <c r="L52" s="256">
        <v>7</v>
      </c>
      <c r="M52" s="257">
        <v>43</v>
      </c>
      <c r="N52" s="256">
        <v>22</v>
      </c>
      <c r="O52" s="259">
        <v>33</v>
      </c>
      <c r="P52" s="255">
        <v>2972</v>
      </c>
      <c r="Q52" s="256">
        <v>0</v>
      </c>
      <c r="R52" s="257">
        <v>43</v>
      </c>
      <c r="S52" s="256">
        <v>13</v>
      </c>
      <c r="T52" s="259">
        <v>50</v>
      </c>
      <c r="U52" s="258">
        <v>2992</v>
      </c>
      <c r="V52" s="256">
        <v>3</v>
      </c>
      <c r="W52" s="257">
        <v>50</v>
      </c>
      <c r="X52" s="256">
        <v>15</v>
      </c>
      <c r="Y52" s="257">
        <v>50</v>
      </c>
      <c r="Z52" s="255">
        <v>3004</v>
      </c>
      <c r="AA52" s="256">
        <v>3</v>
      </c>
      <c r="AB52" s="257">
        <v>50</v>
      </c>
      <c r="AC52" s="256">
        <v>14</v>
      </c>
      <c r="AD52" s="257">
        <v>50</v>
      </c>
      <c r="AE52" s="255">
        <v>3015</v>
      </c>
    </row>
    <row r="53" spans="2:31">
      <c r="B53" s="254"/>
      <c r="C53" s="243"/>
      <c r="D53" s="248"/>
      <c r="E53" s="243" t="s">
        <v>81</v>
      </c>
      <c r="F53" s="255">
        <v>138</v>
      </c>
      <c r="G53" s="256">
        <v>0</v>
      </c>
      <c r="H53" s="257">
        <v>3</v>
      </c>
      <c r="I53" s="256">
        <v>0</v>
      </c>
      <c r="J53" s="259">
        <v>15</v>
      </c>
      <c r="K53" s="255">
        <v>150</v>
      </c>
      <c r="L53" s="256">
        <v>0</v>
      </c>
      <c r="M53" s="257">
        <v>2</v>
      </c>
      <c r="N53" s="256">
        <v>0</v>
      </c>
      <c r="O53" s="259">
        <v>14</v>
      </c>
      <c r="P53" s="255">
        <v>162</v>
      </c>
      <c r="Q53" s="256">
        <v>8</v>
      </c>
      <c r="R53" s="257">
        <v>3</v>
      </c>
      <c r="S53" s="256">
        <v>0</v>
      </c>
      <c r="T53" s="259">
        <v>3</v>
      </c>
      <c r="U53" s="258">
        <v>154</v>
      </c>
      <c r="V53" s="256">
        <v>3</v>
      </c>
      <c r="W53" s="257">
        <v>100</v>
      </c>
      <c r="X53" s="256">
        <v>0</v>
      </c>
      <c r="Y53" s="257">
        <v>100</v>
      </c>
      <c r="Z53" s="255">
        <v>151</v>
      </c>
      <c r="AA53" s="256">
        <v>3</v>
      </c>
      <c r="AB53" s="257">
        <v>43</v>
      </c>
      <c r="AC53" s="256">
        <v>0</v>
      </c>
      <c r="AD53" s="257">
        <v>43</v>
      </c>
      <c r="AE53" s="255">
        <v>148</v>
      </c>
    </row>
    <row r="54" spans="2:31">
      <c r="B54" s="254"/>
      <c r="C54" s="243"/>
      <c r="D54" s="248"/>
      <c r="E54" s="243" t="s">
        <v>82</v>
      </c>
      <c r="F54" s="255">
        <v>2496</v>
      </c>
      <c r="G54" s="256">
        <v>14</v>
      </c>
      <c r="H54" s="257">
        <v>18</v>
      </c>
      <c r="I54" s="256">
        <v>4</v>
      </c>
      <c r="J54" s="259">
        <v>18</v>
      </c>
      <c r="K54" s="255">
        <v>2486</v>
      </c>
      <c r="L54" s="256">
        <v>48</v>
      </c>
      <c r="M54" s="257">
        <v>26</v>
      </c>
      <c r="N54" s="256">
        <v>5</v>
      </c>
      <c r="O54" s="259">
        <v>25</v>
      </c>
      <c r="P54" s="255">
        <v>2442</v>
      </c>
      <c r="Q54" s="256">
        <v>50</v>
      </c>
      <c r="R54" s="257">
        <v>26</v>
      </c>
      <c r="S54" s="256">
        <v>8</v>
      </c>
      <c r="T54" s="259">
        <v>26</v>
      </c>
      <c r="U54" s="258">
        <v>2400</v>
      </c>
      <c r="V54" s="256">
        <v>41</v>
      </c>
      <c r="W54" s="257">
        <v>25</v>
      </c>
      <c r="X54" s="256">
        <v>6</v>
      </c>
      <c r="Y54" s="257">
        <v>25</v>
      </c>
      <c r="Z54" s="255">
        <v>2365</v>
      </c>
      <c r="AA54" s="256">
        <v>40</v>
      </c>
      <c r="AB54" s="257">
        <v>50</v>
      </c>
      <c r="AC54" s="256">
        <v>5</v>
      </c>
      <c r="AD54" s="257">
        <v>50</v>
      </c>
      <c r="AE54" s="255">
        <v>2330</v>
      </c>
    </row>
    <row r="55" spans="2:31">
      <c r="B55" s="254"/>
      <c r="C55" s="243"/>
      <c r="D55" s="248"/>
      <c r="E55" s="243" t="s">
        <v>776</v>
      </c>
      <c r="F55" s="255">
        <v>7060</v>
      </c>
      <c r="G55" s="256">
        <v>0</v>
      </c>
      <c r="H55" s="257">
        <v>49</v>
      </c>
      <c r="I55" s="256">
        <v>83</v>
      </c>
      <c r="J55" s="259">
        <v>72</v>
      </c>
      <c r="K55" s="255">
        <v>7166</v>
      </c>
      <c r="L55" s="256">
        <v>0</v>
      </c>
      <c r="M55" s="257">
        <v>72</v>
      </c>
      <c r="N55" s="256">
        <v>87</v>
      </c>
      <c r="O55" s="259">
        <v>73</v>
      </c>
      <c r="P55" s="255">
        <v>7254</v>
      </c>
      <c r="Q55" s="256">
        <v>5</v>
      </c>
      <c r="R55" s="257">
        <v>100</v>
      </c>
      <c r="S55" s="256">
        <v>114</v>
      </c>
      <c r="T55" s="259">
        <v>100</v>
      </c>
      <c r="U55" s="258">
        <v>7363</v>
      </c>
      <c r="V55" s="256">
        <v>2</v>
      </c>
      <c r="W55" s="257">
        <v>225</v>
      </c>
      <c r="X55" s="256">
        <v>85</v>
      </c>
      <c r="Y55" s="257">
        <v>225</v>
      </c>
      <c r="Z55" s="255">
        <v>7446</v>
      </c>
      <c r="AA55" s="256">
        <v>2</v>
      </c>
      <c r="AB55" s="257">
        <v>160</v>
      </c>
      <c r="AC55" s="256">
        <v>82</v>
      </c>
      <c r="AD55" s="257">
        <v>160</v>
      </c>
      <c r="AE55" s="255">
        <v>7526</v>
      </c>
    </row>
    <row r="56" spans="2:31">
      <c r="B56" s="254"/>
      <c r="C56" s="243"/>
      <c r="D56" s="248"/>
      <c r="E56" s="243" t="s">
        <v>777</v>
      </c>
      <c r="F56" s="255">
        <v>5011</v>
      </c>
      <c r="G56" s="256">
        <v>0</v>
      </c>
      <c r="H56" s="257">
        <v>93</v>
      </c>
      <c r="I56" s="256">
        <v>21</v>
      </c>
      <c r="J56" s="259">
        <v>252</v>
      </c>
      <c r="K56" s="255">
        <v>5191</v>
      </c>
      <c r="L56" s="256">
        <v>0</v>
      </c>
      <c r="M56" s="257">
        <v>36</v>
      </c>
      <c r="N56" s="256">
        <v>24</v>
      </c>
      <c r="O56" s="259">
        <v>305</v>
      </c>
      <c r="P56" s="255">
        <v>5484</v>
      </c>
      <c r="Q56" s="256">
        <v>0</v>
      </c>
      <c r="R56" s="257">
        <v>65</v>
      </c>
      <c r="S56" s="256">
        <v>20</v>
      </c>
      <c r="T56" s="259">
        <v>227</v>
      </c>
      <c r="U56" s="258">
        <v>5666</v>
      </c>
      <c r="V56" s="256">
        <v>0</v>
      </c>
      <c r="W56" s="257">
        <v>0</v>
      </c>
      <c r="X56" s="256">
        <v>18</v>
      </c>
      <c r="Y56" s="257">
        <v>0</v>
      </c>
      <c r="Z56" s="255">
        <v>5684</v>
      </c>
      <c r="AA56" s="256">
        <v>0</v>
      </c>
      <c r="AB56" s="257">
        <v>0</v>
      </c>
      <c r="AC56" s="256">
        <v>18</v>
      </c>
      <c r="AD56" s="257">
        <v>0</v>
      </c>
      <c r="AE56" s="255">
        <v>5702</v>
      </c>
    </row>
    <row r="57" spans="2:31">
      <c r="B57" s="254"/>
      <c r="C57" s="243"/>
      <c r="D57" s="248"/>
      <c r="E57" s="243" t="s">
        <v>72</v>
      </c>
      <c r="F57" s="255">
        <v>1</v>
      </c>
      <c r="G57" s="256">
        <v>0</v>
      </c>
      <c r="H57" s="257">
        <v>0</v>
      </c>
      <c r="I57" s="256">
        <v>0</v>
      </c>
      <c r="J57" s="259">
        <v>0</v>
      </c>
      <c r="K57" s="255">
        <v>1</v>
      </c>
      <c r="L57" s="256">
        <v>0</v>
      </c>
      <c r="M57" s="257">
        <v>0</v>
      </c>
      <c r="N57" s="256">
        <v>0</v>
      </c>
      <c r="O57" s="259">
        <v>0</v>
      </c>
      <c r="P57" s="255">
        <v>1</v>
      </c>
      <c r="Q57" s="256">
        <v>0</v>
      </c>
      <c r="R57" s="257">
        <v>0</v>
      </c>
      <c r="S57" s="256">
        <v>0</v>
      </c>
      <c r="T57" s="259">
        <v>0</v>
      </c>
      <c r="U57" s="258">
        <v>1</v>
      </c>
      <c r="V57" s="256">
        <v>0</v>
      </c>
      <c r="W57" s="257">
        <v>0</v>
      </c>
      <c r="X57" s="256">
        <v>0</v>
      </c>
      <c r="Y57" s="257">
        <v>0</v>
      </c>
      <c r="Z57" s="255">
        <v>1</v>
      </c>
      <c r="AA57" s="256">
        <v>0</v>
      </c>
      <c r="AB57" s="257">
        <v>0</v>
      </c>
      <c r="AC57" s="256">
        <v>0</v>
      </c>
      <c r="AD57" s="257">
        <v>0</v>
      </c>
      <c r="AE57" s="255">
        <v>1</v>
      </c>
    </row>
    <row r="58" spans="2:31">
      <c r="B58" s="254"/>
      <c r="C58" s="243"/>
      <c r="D58" s="243"/>
      <c r="E58" s="243" t="s">
        <v>656</v>
      </c>
      <c r="F58" s="255">
        <v>0</v>
      </c>
      <c r="G58" s="256">
        <v>0</v>
      </c>
      <c r="H58" s="257">
        <v>0</v>
      </c>
      <c r="I58" s="256">
        <v>0</v>
      </c>
      <c r="J58" s="259">
        <v>0</v>
      </c>
      <c r="K58" s="255">
        <v>0</v>
      </c>
      <c r="L58" s="256">
        <v>0</v>
      </c>
      <c r="M58" s="257">
        <v>0</v>
      </c>
      <c r="N58" s="256">
        <v>0</v>
      </c>
      <c r="O58" s="259">
        <v>0</v>
      </c>
      <c r="P58" s="255">
        <v>0</v>
      </c>
      <c r="Q58" s="256">
        <v>0</v>
      </c>
      <c r="R58" s="257">
        <v>0</v>
      </c>
      <c r="S58" s="256">
        <v>0</v>
      </c>
      <c r="T58" s="259">
        <v>0</v>
      </c>
      <c r="U58" s="258">
        <v>0</v>
      </c>
      <c r="V58" s="256">
        <v>0</v>
      </c>
      <c r="W58" s="257">
        <v>0</v>
      </c>
      <c r="X58" s="256">
        <v>0</v>
      </c>
      <c r="Y58" s="257">
        <v>0</v>
      </c>
      <c r="Z58" s="255">
        <v>0</v>
      </c>
      <c r="AA58" s="256">
        <v>0</v>
      </c>
      <c r="AB58" s="257">
        <v>0</v>
      </c>
      <c r="AC58" s="256">
        <v>0</v>
      </c>
      <c r="AD58" s="257">
        <v>0</v>
      </c>
      <c r="AE58" s="255">
        <v>0</v>
      </c>
    </row>
    <row r="59" spans="2:31">
      <c r="B59" s="254"/>
      <c r="C59" s="243"/>
      <c r="D59" s="243"/>
      <c r="E59" s="243" t="s">
        <v>495</v>
      </c>
      <c r="F59" s="255">
        <v>0</v>
      </c>
      <c r="G59" s="256">
        <v>0</v>
      </c>
      <c r="H59" s="257">
        <v>0</v>
      </c>
      <c r="I59" s="256">
        <v>0</v>
      </c>
      <c r="J59" s="259">
        <v>0</v>
      </c>
      <c r="K59" s="255">
        <v>0</v>
      </c>
      <c r="L59" s="256">
        <v>0</v>
      </c>
      <c r="M59" s="257">
        <v>0</v>
      </c>
      <c r="N59" s="256">
        <v>0</v>
      </c>
      <c r="O59" s="259">
        <v>0</v>
      </c>
      <c r="P59" s="255">
        <v>0</v>
      </c>
      <c r="Q59" s="256">
        <v>0</v>
      </c>
      <c r="R59" s="257">
        <v>0</v>
      </c>
      <c r="S59" s="256">
        <v>0</v>
      </c>
      <c r="T59" s="259">
        <v>0</v>
      </c>
      <c r="U59" s="258">
        <v>0</v>
      </c>
      <c r="V59" s="256">
        <v>0</v>
      </c>
      <c r="W59" s="257">
        <v>0</v>
      </c>
      <c r="X59" s="256">
        <v>0</v>
      </c>
      <c r="Y59" s="257">
        <v>0</v>
      </c>
      <c r="Z59" s="255">
        <v>0</v>
      </c>
      <c r="AA59" s="256">
        <v>0</v>
      </c>
      <c r="AB59" s="257">
        <v>0</v>
      </c>
      <c r="AC59" s="256">
        <v>0</v>
      </c>
      <c r="AD59" s="257">
        <v>0</v>
      </c>
      <c r="AE59" s="255">
        <v>0</v>
      </c>
    </row>
    <row r="60" spans="2:31">
      <c r="B60" s="254"/>
      <c r="C60" s="243"/>
      <c r="D60" s="248"/>
      <c r="E60" s="243" t="s">
        <v>496</v>
      </c>
      <c r="F60" s="255">
        <v>0</v>
      </c>
      <c r="G60" s="256">
        <v>0</v>
      </c>
      <c r="H60" s="257">
        <v>0</v>
      </c>
      <c r="I60" s="256">
        <v>0</v>
      </c>
      <c r="J60" s="259">
        <v>0</v>
      </c>
      <c r="K60" s="255">
        <v>0</v>
      </c>
      <c r="L60" s="256">
        <v>0</v>
      </c>
      <c r="M60" s="257">
        <v>0</v>
      </c>
      <c r="N60" s="256">
        <v>0</v>
      </c>
      <c r="O60" s="259">
        <v>0</v>
      </c>
      <c r="P60" s="255">
        <v>0</v>
      </c>
      <c r="Q60" s="256">
        <v>0</v>
      </c>
      <c r="R60" s="257">
        <v>0</v>
      </c>
      <c r="S60" s="256">
        <v>0</v>
      </c>
      <c r="T60" s="259">
        <v>0</v>
      </c>
      <c r="U60" s="258">
        <v>0</v>
      </c>
      <c r="V60" s="256">
        <v>0</v>
      </c>
      <c r="W60" s="257">
        <v>0</v>
      </c>
      <c r="X60" s="256">
        <v>0</v>
      </c>
      <c r="Y60" s="257">
        <v>0</v>
      </c>
      <c r="Z60" s="255">
        <v>0</v>
      </c>
      <c r="AA60" s="256">
        <v>0</v>
      </c>
      <c r="AB60" s="257">
        <v>0</v>
      </c>
      <c r="AC60" s="256">
        <v>0</v>
      </c>
      <c r="AD60" s="257">
        <v>0</v>
      </c>
      <c r="AE60" s="255">
        <v>0</v>
      </c>
    </row>
    <row r="61" spans="2:31">
      <c r="B61" s="254"/>
      <c r="C61" s="243"/>
      <c r="D61" s="248"/>
      <c r="E61" s="243" t="s">
        <v>497</v>
      </c>
      <c r="F61" s="255">
        <v>0</v>
      </c>
      <c r="G61" s="256">
        <v>0</v>
      </c>
      <c r="H61" s="257">
        <v>0</v>
      </c>
      <c r="I61" s="256">
        <v>0</v>
      </c>
      <c r="J61" s="259">
        <v>0</v>
      </c>
      <c r="K61" s="255">
        <v>0</v>
      </c>
      <c r="L61" s="256">
        <v>0</v>
      </c>
      <c r="M61" s="257">
        <v>0</v>
      </c>
      <c r="N61" s="256">
        <v>0</v>
      </c>
      <c r="O61" s="259">
        <v>0</v>
      </c>
      <c r="P61" s="255">
        <v>0</v>
      </c>
      <c r="Q61" s="256">
        <v>0</v>
      </c>
      <c r="R61" s="257">
        <v>0</v>
      </c>
      <c r="S61" s="256">
        <v>0</v>
      </c>
      <c r="T61" s="259">
        <v>0</v>
      </c>
      <c r="U61" s="258">
        <v>0</v>
      </c>
      <c r="V61" s="256">
        <v>0</v>
      </c>
      <c r="W61" s="257">
        <v>0</v>
      </c>
      <c r="X61" s="256">
        <v>0</v>
      </c>
      <c r="Y61" s="257">
        <v>0</v>
      </c>
      <c r="Z61" s="255">
        <v>0</v>
      </c>
      <c r="AA61" s="256">
        <v>0</v>
      </c>
      <c r="AB61" s="257">
        <v>0</v>
      </c>
      <c r="AC61" s="256">
        <v>0</v>
      </c>
      <c r="AD61" s="257">
        <v>0</v>
      </c>
      <c r="AE61" s="255">
        <v>0</v>
      </c>
    </row>
    <row r="62" spans="2:31">
      <c r="B62" s="254"/>
      <c r="C62" s="243"/>
      <c r="D62" s="248"/>
      <c r="E62" s="243" t="s">
        <v>500</v>
      </c>
      <c r="F62" s="255">
        <v>0</v>
      </c>
      <c r="G62" s="256">
        <v>0</v>
      </c>
      <c r="H62" s="257">
        <v>0</v>
      </c>
      <c r="I62" s="256">
        <v>0</v>
      </c>
      <c r="J62" s="259">
        <v>0</v>
      </c>
      <c r="K62" s="255">
        <v>0</v>
      </c>
      <c r="L62" s="256">
        <v>0</v>
      </c>
      <c r="M62" s="257">
        <v>0</v>
      </c>
      <c r="N62" s="256">
        <v>0</v>
      </c>
      <c r="O62" s="259">
        <v>0</v>
      </c>
      <c r="P62" s="255">
        <v>0</v>
      </c>
      <c r="Q62" s="256">
        <v>0</v>
      </c>
      <c r="R62" s="257">
        <v>0</v>
      </c>
      <c r="S62" s="256">
        <v>0</v>
      </c>
      <c r="T62" s="259">
        <v>0</v>
      </c>
      <c r="U62" s="258">
        <v>0</v>
      </c>
      <c r="V62" s="256">
        <v>0</v>
      </c>
      <c r="W62" s="257">
        <v>0</v>
      </c>
      <c r="X62" s="256">
        <v>0</v>
      </c>
      <c r="Y62" s="257">
        <v>0</v>
      </c>
      <c r="Z62" s="255">
        <v>0</v>
      </c>
      <c r="AA62" s="256">
        <v>0</v>
      </c>
      <c r="AB62" s="257">
        <v>0</v>
      </c>
      <c r="AC62" s="256">
        <v>0</v>
      </c>
      <c r="AD62" s="257">
        <v>0</v>
      </c>
      <c r="AE62" s="255">
        <v>0</v>
      </c>
    </row>
    <row r="63" spans="2:31">
      <c r="B63" s="254"/>
      <c r="C63" s="243"/>
      <c r="D63" s="248"/>
      <c r="E63" s="243" t="s">
        <v>659</v>
      </c>
      <c r="F63" s="255">
        <v>0</v>
      </c>
      <c r="G63" s="256">
        <v>0</v>
      </c>
      <c r="H63" s="257">
        <v>0</v>
      </c>
      <c r="I63" s="256">
        <v>0</v>
      </c>
      <c r="J63" s="259">
        <v>0</v>
      </c>
      <c r="K63" s="255">
        <v>0</v>
      </c>
      <c r="L63" s="256">
        <v>0</v>
      </c>
      <c r="M63" s="257">
        <v>0</v>
      </c>
      <c r="N63" s="256">
        <v>0</v>
      </c>
      <c r="O63" s="259">
        <v>0</v>
      </c>
      <c r="P63" s="255">
        <v>0</v>
      </c>
      <c r="Q63" s="256">
        <v>0</v>
      </c>
      <c r="R63" s="257">
        <v>0</v>
      </c>
      <c r="S63" s="256">
        <v>0</v>
      </c>
      <c r="T63" s="259">
        <v>0</v>
      </c>
      <c r="U63" s="258">
        <v>0</v>
      </c>
      <c r="V63" s="256">
        <v>0</v>
      </c>
      <c r="W63" s="257">
        <v>0</v>
      </c>
      <c r="X63" s="256">
        <v>0</v>
      </c>
      <c r="Y63" s="257">
        <v>0</v>
      </c>
      <c r="Z63" s="255">
        <v>0</v>
      </c>
      <c r="AA63" s="256">
        <v>0</v>
      </c>
      <c r="AB63" s="257">
        <v>0</v>
      </c>
      <c r="AC63" s="256">
        <v>0</v>
      </c>
      <c r="AD63" s="257">
        <v>0</v>
      </c>
      <c r="AE63" s="255">
        <v>0</v>
      </c>
    </row>
    <row r="64" spans="2:31">
      <c r="B64" s="254"/>
      <c r="C64" s="243"/>
      <c r="D64" s="248"/>
      <c r="E64" s="243" t="s">
        <v>505</v>
      </c>
      <c r="F64" s="255">
        <v>0</v>
      </c>
      <c r="G64" s="256">
        <v>0</v>
      </c>
      <c r="H64" s="257">
        <v>0</v>
      </c>
      <c r="I64" s="256">
        <v>0</v>
      </c>
      <c r="J64" s="259">
        <v>0</v>
      </c>
      <c r="K64" s="255">
        <v>0</v>
      </c>
      <c r="L64" s="256">
        <v>0</v>
      </c>
      <c r="M64" s="257">
        <v>0</v>
      </c>
      <c r="N64" s="256">
        <v>0</v>
      </c>
      <c r="O64" s="259">
        <v>0</v>
      </c>
      <c r="P64" s="255">
        <v>0</v>
      </c>
      <c r="Q64" s="256">
        <v>0</v>
      </c>
      <c r="R64" s="257">
        <v>0</v>
      </c>
      <c r="S64" s="256">
        <v>0</v>
      </c>
      <c r="T64" s="259">
        <v>0</v>
      </c>
      <c r="U64" s="258">
        <v>0</v>
      </c>
      <c r="V64" s="256">
        <v>0</v>
      </c>
      <c r="W64" s="257">
        <v>0</v>
      </c>
      <c r="X64" s="256">
        <v>0</v>
      </c>
      <c r="Y64" s="257">
        <v>0</v>
      </c>
      <c r="Z64" s="255">
        <v>0</v>
      </c>
      <c r="AA64" s="256">
        <v>0</v>
      </c>
      <c r="AB64" s="257">
        <v>0</v>
      </c>
      <c r="AC64" s="256">
        <v>0</v>
      </c>
      <c r="AD64" s="257">
        <v>0</v>
      </c>
      <c r="AE64" s="255">
        <v>0</v>
      </c>
    </row>
    <row r="65" spans="2:31">
      <c r="B65" s="254"/>
      <c r="C65" s="243"/>
      <c r="D65" s="248"/>
      <c r="E65" s="243"/>
      <c r="F65" s="260"/>
      <c r="G65" s="261"/>
      <c r="H65" s="262"/>
      <c r="I65" s="261"/>
      <c r="J65" s="263"/>
      <c r="K65" s="260"/>
      <c r="L65" s="261"/>
      <c r="M65" s="262"/>
      <c r="N65" s="261"/>
      <c r="O65" s="263"/>
      <c r="P65" s="260"/>
      <c r="Q65" s="261"/>
      <c r="R65" s="262"/>
      <c r="S65" s="261"/>
      <c r="T65" s="263"/>
      <c r="U65" s="264"/>
      <c r="V65" s="261"/>
      <c r="W65" s="262"/>
      <c r="X65" s="261"/>
      <c r="Y65" s="262"/>
      <c r="Z65" s="260"/>
      <c r="AA65" s="261"/>
      <c r="AB65" s="262"/>
      <c r="AC65" s="261"/>
      <c r="AD65" s="262"/>
      <c r="AE65" s="260"/>
    </row>
    <row r="66" spans="2:31">
      <c r="B66" s="254"/>
      <c r="C66" s="243"/>
      <c r="D66" s="248" t="s">
        <v>506</v>
      </c>
      <c r="E66" s="243"/>
      <c r="F66" s="260"/>
      <c r="G66" s="261"/>
      <c r="H66" s="262"/>
      <c r="I66" s="261"/>
      <c r="J66" s="263"/>
      <c r="K66" s="260"/>
      <c r="L66" s="261"/>
      <c r="M66" s="262"/>
      <c r="N66" s="261"/>
      <c r="O66" s="263"/>
      <c r="P66" s="260"/>
      <c r="Q66" s="261"/>
      <c r="R66" s="262"/>
      <c r="S66" s="261"/>
      <c r="T66" s="263"/>
      <c r="U66" s="264"/>
      <c r="V66" s="261"/>
      <c r="W66" s="262"/>
      <c r="X66" s="261"/>
      <c r="Y66" s="262"/>
      <c r="Z66" s="260"/>
      <c r="AA66" s="261"/>
      <c r="AB66" s="262"/>
      <c r="AC66" s="261"/>
      <c r="AD66" s="262"/>
      <c r="AE66" s="260"/>
    </row>
    <row r="67" spans="2:31">
      <c r="B67" s="254"/>
      <c r="C67" s="243"/>
      <c r="D67" s="248"/>
      <c r="E67" s="243" t="s">
        <v>507</v>
      </c>
      <c r="F67" s="255">
        <v>31144</v>
      </c>
      <c r="G67" s="256">
        <v>0</v>
      </c>
      <c r="H67" s="257">
        <v>511</v>
      </c>
      <c r="I67" s="256">
        <v>127</v>
      </c>
      <c r="J67" s="259">
        <v>513</v>
      </c>
      <c r="K67" s="255">
        <v>31273</v>
      </c>
      <c r="L67" s="256">
        <v>60</v>
      </c>
      <c r="M67" s="257">
        <v>559</v>
      </c>
      <c r="N67" s="256">
        <v>140</v>
      </c>
      <c r="O67" s="259">
        <v>537</v>
      </c>
      <c r="P67" s="255">
        <v>31331</v>
      </c>
      <c r="Q67" s="256">
        <v>51</v>
      </c>
      <c r="R67" s="257">
        <v>559</v>
      </c>
      <c r="S67" s="256">
        <v>130</v>
      </c>
      <c r="T67" s="259">
        <v>559</v>
      </c>
      <c r="U67" s="258">
        <v>31410</v>
      </c>
      <c r="V67" s="256">
        <v>47</v>
      </c>
      <c r="W67" s="257">
        <v>182</v>
      </c>
      <c r="X67" s="256">
        <v>114</v>
      </c>
      <c r="Y67" s="257">
        <v>182</v>
      </c>
      <c r="Z67" s="255">
        <v>31477</v>
      </c>
      <c r="AA67" s="256">
        <v>45</v>
      </c>
      <c r="AB67" s="257">
        <v>343</v>
      </c>
      <c r="AC67" s="256">
        <v>109</v>
      </c>
      <c r="AD67" s="257">
        <v>343</v>
      </c>
      <c r="AE67" s="255">
        <v>31541</v>
      </c>
    </row>
    <row r="68" spans="2:31">
      <c r="B68" s="254"/>
      <c r="C68" s="243"/>
      <c r="D68" s="248"/>
      <c r="E68" s="243" t="s">
        <v>508</v>
      </c>
      <c r="F68" s="255">
        <v>7770</v>
      </c>
      <c r="G68" s="256">
        <v>0</v>
      </c>
      <c r="H68" s="257">
        <v>46</v>
      </c>
      <c r="I68" s="256">
        <v>95</v>
      </c>
      <c r="J68" s="259">
        <v>69</v>
      </c>
      <c r="K68" s="255">
        <v>7888</v>
      </c>
      <c r="L68" s="256">
        <v>16</v>
      </c>
      <c r="M68" s="257">
        <v>87</v>
      </c>
      <c r="N68" s="256">
        <v>104</v>
      </c>
      <c r="O68" s="259">
        <v>72</v>
      </c>
      <c r="P68" s="255">
        <v>7961</v>
      </c>
      <c r="Q68" s="256">
        <v>21</v>
      </c>
      <c r="R68" s="257">
        <v>87</v>
      </c>
      <c r="S68" s="256">
        <v>114</v>
      </c>
      <c r="T68" s="259">
        <v>87</v>
      </c>
      <c r="U68" s="258">
        <v>8054</v>
      </c>
      <c r="V68" s="256">
        <v>16</v>
      </c>
      <c r="W68" s="257">
        <v>22</v>
      </c>
      <c r="X68" s="256">
        <v>92</v>
      </c>
      <c r="Y68" s="257">
        <v>22</v>
      </c>
      <c r="Z68" s="255">
        <v>8130</v>
      </c>
      <c r="AA68" s="256">
        <v>15</v>
      </c>
      <c r="AB68" s="257">
        <v>42</v>
      </c>
      <c r="AC68" s="256">
        <v>88</v>
      </c>
      <c r="AD68" s="257">
        <v>42</v>
      </c>
      <c r="AE68" s="255">
        <v>8203</v>
      </c>
    </row>
    <row r="69" spans="2:31">
      <c r="B69" s="254"/>
      <c r="C69" s="243"/>
      <c r="D69" s="248"/>
      <c r="E69" s="243" t="s">
        <v>509</v>
      </c>
      <c r="F69" s="255">
        <v>0</v>
      </c>
      <c r="G69" s="256">
        <v>0</v>
      </c>
      <c r="H69" s="257">
        <v>0</v>
      </c>
      <c r="I69" s="256">
        <v>0</v>
      </c>
      <c r="J69" s="259">
        <v>0</v>
      </c>
      <c r="K69" s="255">
        <v>0</v>
      </c>
      <c r="L69" s="256">
        <v>0</v>
      </c>
      <c r="M69" s="257">
        <v>0</v>
      </c>
      <c r="N69" s="256">
        <v>0</v>
      </c>
      <c r="O69" s="259">
        <v>0</v>
      </c>
      <c r="P69" s="255">
        <v>0</v>
      </c>
      <c r="Q69" s="256">
        <v>0</v>
      </c>
      <c r="R69" s="257">
        <v>0</v>
      </c>
      <c r="S69" s="256">
        <v>0</v>
      </c>
      <c r="T69" s="259">
        <v>0</v>
      </c>
      <c r="U69" s="258">
        <v>0</v>
      </c>
      <c r="V69" s="256">
        <v>0</v>
      </c>
      <c r="W69" s="257">
        <v>0</v>
      </c>
      <c r="X69" s="256">
        <v>0</v>
      </c>
      <c r="Y69" s="257">
        <v>0</v>
      </c>
      <c r="Z69" s="255">
        <v>0</v>
      </c>
      <c r="AA69" s="256">
        <v>0</v>
      </c>
      <c r="AB69" s="257">
        <v>0</v>
      </c>
      <c r="AC69" s="256">
        <v>0</v>
      </c>
      <c r="AD69" s="257">
        <v>0</v>
      </c>
      <c r="AE69" s="255">
        <v>0</v>
      </c>
    </row>
    <row r="70" spans="2:31">
      <c r="B70" s="254"/>
      <c r="C70" s="243"/>
      <c r="D70" s="248"/>
      <c r="E70" s="243" t="s">
        <v>510</v>
      </c>
      <c r="F70" s="255">
        <v>0</v>
      </c>
      <c r="G70" s="256">
        <v>0</v>
      </c>
      <c r="H70" s="257">
        <v>0</v>
      </c>
      <c r="I70" s="256">
        <v>0</v>
      </c>
      <c r="J70" s="259">
        <v>0</v>
      </c>
      <c r="K70" s="255">
        <v>0</v>
      </c>
      <c r="L70" s="256">
        <v>0</v>
      </c>
      <c r="M70" s="257">
        <v>0</v>
      </c>
      <c r="N70" s="256">
        <v>0</v>
      </c>
      <c r="O70" s="259">
        <v>0</v>
      </c>
      <c r="P70" s="255">
        <v>0</v>
      </c>
      <c r="Q70" s="256">
        <v>0</v>
      </c>
      <c r="R70" s="257">
        <v>0</v>
      </c>
      <c r="S70" s="256">
        <v>0</v>
      </c>
      <c r="T70" s="259">
        <v>0</v>
      </c>
      <c r="U70" s="258">
        <v>0</v>
      </c>
      <c r="V70" s="256">
        <v>0</v>
      </c>
      <c r="W70" s="257">
        <v>0</v>
      </c>
      <c r="X70" s="256">
        <v>0</v>
      </c>
      <c r="Y70" s="257">
        <v>0</v>
      </c>
      <c r="Z70" s="255">
        <v>0</v>
      </c>
      <c r="AA70" s="256">
        <v>0</v>
      </c>
      <c r="AB70" s="257">
        <v>0</v>
      </c>
      <c r="AC70" s="256">
        <v>0</v>
      </c>
      <c r="AD70" s="257">
        <v>0</v>
      </c>
      <c r="AE70" s="255">
        <v>0</v>
      </c>
    </row>
    <row r="71" spans="2:31" ht="13.5" thickBot="1">
      <c r="B71" s="239"/>
      <c r="C71" s="240"/>
      <c r="D71" s="240"/>
      <c r="E71" s="240"/>
      <c r="F71" s="265"/>
      <c r="G71" s="266"/>
      <c r="H71" s="267"/>
      <c r="I71" s="266"/>
      <c r="J71" s="268"/>
      <c r="K71" s="269"/>
      <c r="L71" s="266"/>
      <c r="M71" s="267"/>
      <c r="N71" s="266"/>
      <c r="O71" s="268"/>
      <c r="P71" s="269"/>
      <c r="Q71" s="266"/>
      <c r="R71" s="267"/>
      <c r="S71" s="266"/>
      <c r="T71" s="268"/>
      <c r="U71" s="270"/>
      <c r="V71" s="266"/>
      <c r="W71" s="267"/>
      <c r="X71" s="266"/>
      <c r="Y71" s="267"/>
      <c r="Z71" s="269"/>
      <c r="AA71" s="266"/>
      <c r="AB71" s="267"/>
      <c r="AC71" s="266"/>
      <c r="AD71" s="267"/>
      <c r="AE71" s="269"/>
    </row>
    <row r="72" spans="2:31">
      <c r="B72" s="271"/>
      <c r="C72" s="272" t="s">
        <v>524</v>
      </c>
      <c r="D72" s="272"/>
      <c r="E72" s="273"/>
      <c r="F72" s="274"/>
      <c r="G72" s="275"/>
      <c r="H72" s="276"/>
      <c r="I72" s="275"/>
      <c r="J72" s="277"/>
      <c r="K72" s="274"/>
      <c r="L72" s="275"/>
      <c r="M72" s="276"/>
      <c r="N72" s="275"/>
      <c r="O72" s="277"/>
      <c r="P72" s="274"/>
      <c r="Q72" s="275"/>
      <c r="R72" s="276"/>
      <c r="S72" s="275"/>
      <c r="T72" s="277"/>
      <c r="U72" s="278"/>
      <c r="V72" s="275"/>
      <c r="W72" s="276"/>
      <c r="X72" s="275"/>
      <c r="Y72" s="276"/>
      <c r="Z72" s="274"/>
      <c r="AA72" s="275"/>
      <c r="AB72" s="276"/>
      <c r="AC72" s="275"/>
      <c r="AD72" s="276"/>
      <c r="AE72" s="274"/>
    </row>
    <row r="73" spans="2:31">
      <c r="B73" s="254"/>
      <c r="C73" s="243"/>
      <c r="D73" s="248" t="s">
        <v>578</v>
      </c>
      <c r="E73" s="243"/>
      <c r="F73" s="260"/>
      <c r="G73" s="261"/>
      <c r="H73" s="262"/>
      <c r="I73" s="261"/>
      <c r="J73" s="263"/>
      <c r="K73" s="260"/>
      <c r="L73" s="261"/>
      <c r="M73" s="262"/>
      <c r="N73" s="261"/>
      <c r="O73" s="263"/>
      <c r="P73" s="260"/>
      <c r="Q73" s="261"/>
      <c r="R73" s="262"/>
      <c r="S73" s="261"/>
      <c r="T73" s="263"/>
      <c r="U73" s="264"/>
      <c r="V73" s="261"/>
      <c r="W73" s="262"/>
      <c r="X73" s="261"/>
      <c r="Y73" s="262"/>
      <c r="Z73" s="260"/>
      <c r="AA73" s="261"/>
      <c r="AB73" s="262"/>
      <c r="AC73" s="261"/>
      <c r="AD73" s="262"/>
      <c r="AE73" s="260"/>
    </row>
    <row r="74" spans="2:31">
      <c r="B74" s="254"/>
      <c r="C74" s="243"/>
      <c r="D74" s="243"/>
      <c r="E74" s="243" t="s">
        <v>525</v>
      </c>
      <c r="F74" s="255">
        <v>1196</v>
      </c>
      <c r="G74" s="256">
        <v>0</v>
      </c>
      <c r="H74" s="257">
        <v>5</v>
      </c>
      <c r="I74" s="256">
        <v>0</v>
      </c>
      <c r="J74" s="259">
        <v>5</v>
      </c>
      <c r="K74" s="255">
        <v>1196</v>
      </c>
      <c r="L74" s="256">
        <v>0</v>
      </c>
      <c r="M74" s="257">
        <v>20</v>
      </c>
      <c r="N74" s="256">
        <v>0</v>
      </c>
      <c r="O74" s="259">
        <v>14</v>
      </c>
      <c r="P74" s="255">
        <v>1190</v>
      </c>
      <c r="Q74" s="256">
        <v>0</v>
      </c>
      <c r="R74" s="257">
        <v>25</v>
      </c>
      <c r="S74" s="256">
        <v>0</v>
      </c>
      <c r="T74" s="259">
        <v>21</v>
      </c>
      <c r="U74" s="258">
        <v>1186</v>
      </c>
      <c r="V74" s="256">
        <v>0</v>
      </c>
      <c r="W74" s="257">
        <v>0</v>
      </c>
      <c r="X74" s="256">
        <v>0</v>
      </c>
      <c r="Y74" s="257">
        <v>0</v>
      </c>
      <c r="Z74" s="255">
        <v>1186</v>
      </c>
      <c r="AA74" s="256">
        <v>0</v>
      </c>
      <c r="AB74" s="257">
        <v>0</v>
      </c>
      <c r="AC74" s="256">
        <v>0</v>
      </c>
      <c r="AD74" s="257">
        <v>0</v>
      </c>
      <c r="AE74" s="255">
        <v>1186</v>
      </c>
    </row>
    <row r="75" spans="2:31">
      <c r="B75" s="254"/>
      <c r="C75" s="243"/>
      <c r="D75" s="248"/>
      <c r="E75" s="243" t="s">
        <v>526</v>
      </c>
      <c r="F75" s="255">
        <v>41</v>
      </c>
      <c r="G75" s="256">
        <v>0</v>
      </c>
      <c r="H75" s="257">
        <v>0</v>
      </c>
      <c r="I75" s="256">
        <v>0</v>
      </c>
      <c r="J75" s="259">
        <v>0</v>
      </c>
      <c r="K75" s="255">
        <v>41</v>
      </c>
      <c r="L75" s="256">
        <v>0</v>
      </c>
      <c r="M75" s="257">
        <v>0</v>
      </c>
      <c r="N75" s="256">
        <v>0</v>
      </c>
      <c r="O75" s="259">
        <v>0</v>
      </c>
      <c r="P75" s="255">
        <v>41</v>
      </c>
      <c r="Q75" s="256">
        <v>0</v>
      </c>
      <c r="R75" s="257">
        <v>0</v>
      </c>
      <c r="S75" s="256">
        <v>0</v>
      </c>
      <c r="T75" s="259">
        <v>0</v>
      </c>
      <c r="U75" s="258">
        <v>41</v>
      </c>
      <c r="V75" s="256">
        <v>0</v>
      </c>
      <c r="W75" s="257">
        <v>0</v>
      </c>
      <c r="X75" s="256">
        <v>0</v>
      </c>
      <c r="Y75" s="257">
        <v>0</v>
      </c>
      <c r="Z75" s="255">
        <v>41</v>
      </c>
      <c r="AA75" s="256">
        <v>0</v>
      </c>
      <c r="AB75" s="257">
        <v>0</v>
      </c>
      <c r="AC75" s="256">
        <v>0</v>
      </c>
      <c r="AD75" s="257">
        <v>0</v>
      </c>
      <c r="AE75" s="255">
        <v>41</v>
      </c>
    </row>
    <row r="76" spans="2:31">
      <c r="B76" s="254"/>
      <c r="C76" s="243"/>
      <c r="D76" s="248"/>
      <c r="E76" s="243" t="s">
        <v>527</v>
      </c>
      <c r="F76" s="255">
        <v>329</v>
      </c>
      <c r="G76" s="256">
        <v>0</v>
      </c>
      <c r="H76" s="257">
        <v>0</v>
      </c>
      <c r="I76" s="256">
        <v>0</v>
      </c>
      <c r="J76" s="259">
        <v>0</v>
      </c>
      <c r="K76" s="255">
        <v>329</v>
      </c>
      <c r="L76" s="256">
        <v>0</v>
      </c>
      <c r="M76" s="257">
        <v>0</v>
      </c>
      <c r="N76" s="256">
        <v>0</v>
      </c>
      <c r="O76" s="259">
        <v>0</v>
      </c>
      <c r="P76" s="255">
        <v>329</v>
      </c>
      <c r="Q76" s="256">
        <v>0</v>
      </c>
      <c r="R76" s="257">
        <v>0</v>
      </c>
      <c r="S76" s="256">
        <v>0</v>
      </c>
      <c r="T76" s="259">
        <v>0</v>
      </c>
      <c r="U76" s="258">
        <v>329</v>
      </c>
      <c r="V76" s="256">
        <v>0</v>
      </c>
      <c r="W76" s="257">
        <v>0</v>
      </c>
      <c r="X76" s="256">
        <v>0</v>
      </c>
      <c r="Y76" s="257">
        <v>0</v>
      </c>
      <c r="Z76" s="255">
        <v>329</v>
      </c>
      <c r="AA76" s="256">
        <v>0</v>
      </c>
      <c r="AB76" s="257">
        <v>0</v>
      </c>
      <c r="AC76" s="256">
        <v>0</v>
      </c>
      <c r="AD76" s="257">
        <v>0</v>
      </c>
      <c r="AE76" s="255">
        <v>329</v>
      </c>
    </row>
    <row r="77" spans="2:31">
      <c r="B77" s="254"/>
      <c r="C77" s="243"/>
      <c r="D77" s="248"/>
      <c r="E77" s="243" t="s">
        <v>528</v>
      </c>
      <c r="F77" s="255">
        <v>28</v>
      </c>
      <c r="G77" s="256">
        <v>0</v>
      </c>
      <c r="H77" s="257">
        <v>0</v>
      </c>
      <c r="I77" s="256">
        <v>0</v>
      </c>
      <c r="J77" s="259">
        <v>0</v>
      </c>
      <c r="K77" s="255">
        <v>28</v>
      </c>
      <c r="L77" s="256">
        <v>0</v>
      </c>
      <c r="M77" s="257">
        <v>0</v>
      </c>
      <c r="N77" s="256">
        <v>0</v>
      </c>
      <c r="O77" s="259">
        <v>0</v>
      </c>
      <c r="P77" s="255">
        <v>28</v>
      </c>
      <c r="Q77" s="256">
        <v>0</v>
      </c>
      <c r="R77" s="257">
        <v>0</v>
      </c>
      <c r="S77" s="256">
        <v>0</v>
      </c>
      <c r="T77" s="259">
        <v>0</v>
      </c>
      <c r="U77" s="258">
        <v>28</v>
      </c>
      <c r="V77" s="256">
        <v>0</v>
      </c>
      <c r="W77" s="257">
        <v>0</v>
      </c>
      <c r="X77" s="256">
        <v>0</v>
      </c>
      <c r="Y77" s="257">
        <v>0</v>
      </c>
      <c r="Z77" s="255">
        <v>28</v>
      </c>
      <c r="AA77" s="256">
        <v>0</v>
      </c>
      <c r="AB77" s="257">
        <v>0</v>
      </c>
      <c r="AC77" s="256">
        <v>0</v>
      </c>
      <c r="AD77" s="257">
        <v>0</v>
      </c>
      <c r="AE77" s="255">
        <v>28</v>
      </c>
    </row>
    <row r="78" spans="2:31">
      <c r="B78" s="254"/>
      <c r="C78" s="243"/>
      <c r="D78" s="248"/>
      <c r="E78" s="243"/>
      <c r="F78" s="260"/>
      <c r="G78" s="261"/>
      <c r="H78" s="262"/>
      <c r="I78" s="261"/>
      <c r="J78" s="263"/>
      <c r="K78" s="260"/>
      <c r="L78" s="261"/>
      <c r="M78" s="262"/>
      <c r="N78" s="261"/>
      <c r="O78" s="263"/>
      <c r="P78" s="260"/>
      <c r="Q78" s="261"/>
      <c r="R78" s="262"/>
      <c r="S78" s="261"/>
      <c r="T78" s="263"/>
      <c r="U78" s="264"/>
      <c r="V78" s="261"/>
      <c r="W78" s="262"/>
      <c r="X78" s="261"/>
      <c r="Y78" s="262"/>
      <c r="Z78" s="260"/>
      <c r="AA78" s="261"/>
      <c r="AB78" s="262"/>
      <c r="AC78" s="261"/>
      <c r="AD78" s="262"/>
      <c r="AE78" s="260"/>
    </row>
    <row r="79" spans="2:31">
      <c r="B79" s="254"/>
      <c r="C79" s="243"/>
      <c r="D79" s="248" t="s">
        <v>739</v>
      </c>
      <c r="E79" s="243"/>
      <c r="F79" s="260"/>
      <c r="G79" s="261"/>
      <c r="H79" s="262"/>
      <c r="I79" s="261"/>
      <c r="J79" s="263"/>
      <c r="K79" s="260"/>
      <c r="L79" s="261"/>
      <c r="M79" s="262"/>
      <c r="N79" s="261"/>
      <c r="O79" s="263"/>
      <c r="P79" s="260"/>
      <c r="Q79" s="261"/>
      <c r="R79" s="262"/>
      <c r="S79" s="261"/>
      <c r="T79" s="263"/>
      <c r="U79" s="264"/>
      <c r="V79" s="261"/>
      <c r="W79" s="262"/>
      <c r="X79" s="261"/>
      <c r="Y79" s="262"/>
      <c r="Z79" s="260"/>
      <c r="AA79" s="261"/>
      <c r="AB79" s="262"/>
      <c r="AC79" s="261"/>
      <c r="AD79" s="262"/>
      <c r="AE79" s="260"/>
    </row>
    <row r="80" spans="2:31">
      <c r="B80" s="254"/>
      <c r="C80" s="243"/>
      <c r="D80" s="243"/>
      <c r="E80" s="243" t="s">
        <v>529</v>
      </c>
      <c r="F80" s="255">
        <v>15348</v>
      </c>
      <c r="G80" s="256">
        <v>0</v>
      </c>
      <c r="H80" s="257">
        <v>138</v>
      </c>
      <c r="I80" s="256">
        <v>0</v>
      </c>
      <c r="J80" s="259">
        <v>138</v>
      </c>
      <c r="K80" s="255">
        <v>15348</v>
      </c>
      <c r="L80" s="256">
        <v>0</v>
      </c>
      <c r="M80" s="257">
        <v>285</v>
      </c>
      <c r="N80" s="256">
        <v>0</v>
      </c>
      <c r="O80" s="259">
        <v>261</v>
      </c>
      <c r="P80" s="255">
        <v>15324</v>
      </c>
      <c r="Q80" s="256">
        <v>0</v>
      </c>
      <c r="R80" s="257">
        <v>366</v>
      </c>
      <c r="S80" s="256">
        <v>0</v>
      </c>
      <c r="T80" s="259">
        <v>366</v>
      </c>
      <c r="U80" s="258">
        <v>15324</v>
      </c>
      <c r="V80" s="256">
        <v>0</v>
      </c>
      <c r="W80" s="257">
        <v>350</v>
      </c>
      <c r="X80" s="256">
        <v>0</v>
      </c>
      <c r="Y80" s="257">
        <v>350</v>
      </c>
      <c r="Z80" s="255">
        <v>15324</v>
      </c>
      <c r="AA80" s="256">
        <v>0</v>
      </c>
      <c r="AB80" s="257">
        <v>350</v>
      </c>
      <c r="AC80" s="256">
        <v>0</v>
      </c>
      <c r="AD80" s="257">
        <v>350</v>
      </c>
      <c r="AE80" s="255">
        <v>15324</v>
      </c>
    </row>
    <row r="81" spans="2:31">
      <c r="B81" s="254"/>
      <c r="C81" s="243"/>
      <c r="D81" s="243"/>
      <c r="E81" s="243" t="s">
        <v>530</v>
      </c>
      <c r="F81" s="255">
        <v>190</v>
      </c>
      <c r="G81" s="256">
        <v>0</v>
      </c>
      <c r="H81" s="257">
        <v>0</v>
      </c>
      <c r="I81" s="256">
        <v>0</v>
      </c>
      <c r="J81" s="259">
        <v>0</v>
      </c>
      <c r="K81" s="255">
        <v>190</v>
      </c>
      <c r="L81" s="256">
        <v>0</v>
      </c>
      <c r="M81" s="257">
        <v>0</v>
      </c>
      <c r="N81" s="256">
        <v>0</v>
      </c>
      <c r="O81" s="259">
        <v>0</v>
      </c>
      <c r="P81" s="255">
        <v>190</v>
      </c>
      <c r="Q81" s="256">
        <v>0</v>
      </c>
      <c r="R81" s="257">
        <v>0</v>
      </c>
      <c r="S81" s="256">
        <v>0</v>
      </c>
      <c r="T81" s="259">
        <v>0</v>
      </c>
      <c r="U81" s="258">
        <v>190</v>
      </c>
      <c r="V81" s="256">
        <v>0</v>
      </c>
      <c r="W81" s="257">
        <v>0</v>
      </c>
      <c r="X81" s="256">
        <v>0</v>
      </c>
      <c r="Y81" s="257">
        <v>0</v>
      </c>
      <c r="Z81" s="255">
        <v>190</v>
      </c>
      <c r="AA81" s="256">
        <v>0</v>
      </c>
      <c r="AB81" s="257">
        <v>0</v>
      </c>
      <c r="AC81" s="256">
        <v>0</v>
      </c>
      <c r="AD81" s="257">
        <v>0</v>
      </c>
      <c r="AE81" s="255">
        <v>190</v>
      </c>
    </row>
    <row r="82" spans="2:31">
      <c r="B82" s="254"/>
      <c r="C82" s="243"/>
      <c r="D82" s="248"/>
      <c r="E82" s="243" t="s">
        <v>531</v>
      </c>
      <c r="F82" s="255">
        <v>4318</v>
      </c>
      <c r="G82" s="256">
        <v>0</v>
      </c>
      <c r="H82" s="257">
        <v>0</v>
      </c>
      <c r="I82" s="256">
        <v>0</v>
      </c>
      <c r="J82" s="259">
        <v>0</v>
      </c>
      <c r="K82" s="255">
        <v>4318</v>
      </c>
      <c r="L82" s="256">
        <v>0</v>
      </c>
      <c r="M82" s="257">
        <v>0</v>
      </c>
      <c r="N82" s="256">
        <v>0</v>
      </c>
      <c r="O82" s="259">
        <v>0</v>
      </c>
      <c r="P82" s="255">
        <v>4318</v>
      </c>
      <c r="Q82" s="256">
        <v>0</v>
      </c>
      <c r="R82" s="257">
        <v>0</v>
      </c>
      <c r="S82" s="256">
        <v>0</v>
      </c>
      <c r="T82" s="259">
        <v>0</v>
      </c>
      <c r="U82" s="258">
        <v>4318</v>
      </c>
      <c r="V82" s="256">
        <v>0</v>
      </c>
      <c r="W82" s="257">
        <v>0</v>
      </c>
      <c r="X82" s="256">
        <v>0</v>
      </c>
      <c r="Y82" s="257">
        <v>0</v>
      </c>
      <c r="Z82" s="255">
        <v>4318</v>
      </c>
      <c r="AA82" s="256">
        <v>0</v>
      </c>
      <c r="AB82" s="257">
        <v>0</v>
      </c>
      <c r="AC82" s="256">
        <v>0</v>
      </c>
      <c r="AD82" s="257">
        <v>0</v>
      </c>
      <c r="AE82" s="255">
        <v>4318</v>
      </c>
    </row>
    <row r="83" spans="2:31">
      <c r="B83" s="254"/>
      <c r="C83" s="243"/>
      <c r="D83" s="248"/>
      <c r="E83" s="243" t="s">
        <v>532</v>
      </c>
      <c r="F83" s="255">
        <v>251</v>
      </c>
      <c r="G83" s="256">
        <v>0</v>
      </c>
      <c r="H83" s="257">
        <v>0</v>
      </c>
      <c r="I83" s="256">
        <v>0</v>
      </c>
      <c r="J83" s="259">
        <v>0</v>
      </c>
      <c r="K83" s="255">
        <v>251</v>
      </c>
      <c r="L83" s="256">
        <v>0</v>
      </c>
      <c r="M83" s="257">
        <v>0</v>
      </c>
      <c r="N83" s="256">
        <v>0</v>
      </c>
      <c r="O83" s="259">
        <v>0</v>
      </c>
      <c r="P83" s="255">
        <v>251</v>
      </c>
      <c r="Q83" s="256">
        <v>0</v>
      </c>
      <c r="R83" s="257">
        <v>0</v>
      </c>
      <c r="S83" s="256">
        <v>0</v>
      </c>
      <c r="T83" s="259">
        <v>0</v>
      </c>
      <c r="U83" s="258">
        <v>251</v>
      </c>
      <c r="V83" s="256">
        <v>0</v>
      </c>
      <c r="W83" s="257">
        <v>0</v>
      </c>
      <c r="X83" s="256">
        <v>0</v>
      </c>
      <c r="Y83" s="257">
        <v>0</v>
      </c>
      <c r="Z83" s="255">
        <v>251</v>
      </c>
      <c r="AA83" s="256">
        <v>0</v>
      </c>
      <c r="AB83" s="257">
        <v>0</v>
      </c>
      <c r="AC83" s="256">
        <v>0</v>
      </c>
      <c r="AD83" s="257">
        <v>0</v>
      </c>
      <c r="AE83" s="255">
        <v>251</v>
      </c>
    </row>
    <row r="84" spans="2:31">
      <c r="B84" s="254"/>
      <c r="C84" s="243"/>
      <c r="D84" s="243"/>
      <c r="E84" s="243"/>
      <c r="F84" s="260"/>
      <c r="G84" s="261"/>
      <c r="H84" s="262"/>
      <c r="I84" s="261"/>
      <c r="J84" s="263"/>
      <c r="K84" s="260"/>
      <c r="L84" s="261"/>
      <c r="M84" s="262"/>
      <c r="N84" s="261"/>
      <c r="O84" s="263"/>
      <c r="P84" s="260"/>
      <c r="Q84" s="261"/>
      <c r="R84" s="262"/>
      <c r="S84" s="261"/>
      <c r="T84" s="263"/>
      <c r="U84" s="264"/>
      <c r="V84" s="261"/>
      <c r="W84" s="262"/>
      <c r="X84" s="261"/>
      <c r="Y84" s="262"/>
      <c r="Z84" s="260"/>
      <c r="AA84" s="261"/>
      <c r="AB84" s="262"/>
      <c r="AC84" s="261"/>
      <c r="AD84" s="262"/>
      <c r="AE84" s="260"/>
    </row>
    <row r="85" spans="2:31">
      <c r="B85" s="241"/>
      <c r="C85" s="243"/>
      <c r="D85" s="248" t="s">
        <v>763</v>
      </c>
      <c r="E85" s="243"/>
      <c r="F85" s="260"/>
      <c r="G85" s="261"/>
      <c r="H85" s="262"/>
      <c r="I85" s="261"/>
      <c r="J85" s="263"/>
      <c r="K85" s="260"/>
      <c r="L85" s="261"/>
      <c r="M85" s="262"/>
      <c r="N85" s="261"/>
      <c r="O85" s="263"/>
      <c r="P85" s="260"/>
      <c r="Q85" s="261"/>
      <c r="R85" s="262"/>
      <c r="S85" s="261"/>
      <c r="T85" s="263"/>
      <c r="U85" s="264"/>
      <c r="V85" s="261"/>
      <c r="W85" s="262"/>
      <c r="X85" s="261"/>
      <c r="Y85" s="262"/>
      <c r="Z85" s="260"/>
      <c r="AA85" s="261"/>
      <c r="AB85" s="262"/>
      <c r="AC85" s="261"/>
      <c r="AD85" s="262"/>
      <c r="AE85" s="260"/>
    </row>
    <row r="86" spans="2:31">
      <c r="B86" s="241"/>
      <c r="C86" s="243"/>
      <c r="D86" s="248"/>
      <c r="E86" s="243" t="s">
        <v>413</v>
      </c>
      <c r="F86" s="255">
        <v>364.14</v>
      </c>
      <c r="G86" s="256">
        <v>0</v>
      </c>
      <c r="H86" s="257">
        <v>0</v>
      </c>
      <c r="I86" s="256">
        <v>1</v>
      </c>
      <c r="J86" s="259">
        <v>0</v>
      </c>
      <c r="K86" s="255">
        <v>365.14</v>
      </c>
      <c r="L86" s="256">
        <v>0</v>
      </c>
      <c r="M86" s="257">
        <v>0</v>
      </c>
      <c r="N86" s="256">
        <v>12.9</v>
      </c>
      <c r="O86" s="259">
        <v>0</v>
      </c>
      <c r="P86" s="255">
        <v>378.04</v>
      </c>
      <c r="Q86" s="256">
        <v>0</v>
      </c>
      <c r="R86" s="257">
        <v>0</v>
      </c>
      <c r="S86" s="256">
        <v>0.4</v>
      </c>
      <c r="T86" s="259">
        <v>0.4</v>
      </c>
      <c r="U86" s="258">
        <v>378.84</v>
      </c>
      <c r="V86" s="256">
        <v>0</v>
      </c>
      <c r="W86" s="257">
        <v>0</v>
      </c>
      <c r="X86" s="256">
        <v>2</v>
      </c>
      <c r="Y86" s="257">
        <v>0</v>
      </c>
      <c r="Z86" s="255">
        <v>380.84</v>
      </c>
      <c r="AA86" s="256">
        <v>0</v>
      </c>
      <c r="AB86" s="257">
        <v>0</v>
      </c>
      <c r="AC86" s="256">
        <v>6</v>
      </c>
      <c r="AD86" s="257">
        <v>0</v>
      </c>
      <c r="AE86" s="255">
        <v>386.84</v>
      </c>
    </row>
    <row r="87" spans="2:31">
      <c r="B87" s="241"/>
      <c r="C87" s="243"/>
      <c r="D87" s="248"/>
      <c r="E87" s="243" t="s">
        <v>414</v>
      </c>
      <c r="F87" s="255">
        <v>0</v>
      </c>
      <c r="G87" s="256">
        <v>0</v>
      </c>
      <c r="H87" s="257">
        <v>0</v>
      </c>
      <c r="I87" s="256">
        <v>0</v>
      </c>
      <c r="J87" s="259">
        <v>0</v>
      </c>
      <c r="K87" s="255">
        <v>0</v>
      </c>
      <c r="L87" s="256">
        <v>0</v>
      </c>
      <c r="M87" s="257">
        <v>0</v>
      </c>
      <c r="N87" s="256">
        <v>0</v>
      </c>
      <c r="O87" s="259">
        <v>0</v>
      </c>
      <c r="P87" s="255">
        <v>0</v>
      </c>
      <c r="Q87" s="256">
        <v>0</v>
      </c>
      <c r="R87" s="257">
        <v>0</v>
      </c>
      <c r="S87" s="256">
        <v>0</v>
      </c>
      <c r="T87" s="259">
        <v>0</v>
      </c>
      <c r="U87" s="258">
        <v>0</v>
      </c>
      <c r="V87" s="256">
        <v>0</v>
      </c>
      <c r="W87" s="257">
        <v>0</v>
      </c>
      <c r="X87" s="256">
        <v>0</v>
      </c>
      <c r="Y87" s="257">
        <v>0</v>
      </c>
      <c r="Z87" s="255">
        <v>0</v>
      </c>
      <c r="AA87" s="256">
        <v>0</v>
      </c>
      <c r="AB87" s="257">
        <v>0</v>
      </c>
      <c r="AC87" s="256">
        <v>0</v>
      </c>
      <c r="AD87" s="257">
        <v>0</v>
      </c>
      <c r="AE87" s="255">
        <v>0</v>
      </c>
    </row>
    <row r="88" spans="2:31">
      <c r="B88" s="241"/>
      <c r="C88" s="243"/>
      <c r="D88" s="248"/>
      <c r="E88" s="243" t="s">
        <v>415</v>
      </c>
      <c r="F88" s="255">
        <v>8.1240000000000006</v>
      </c>
      <c r="G88" s="256">
        <v>0</v>
      </c>
      <c r="H88" s="257">
        <v>0</v>
      </c>
      <c r="I88" s="256">
        <v>0</v>
      </c>
      <c r="J88" s="259">
        <v>0</v>
      </c>
      <c r="K88" s="255">
        <v>8.1240000000000006</v>
      </c>
      <c r="L88" s="256">
        <v>0</v>
      </c>
      <c r="M88" s="257">
        <v>0</v>
      </c>
      <c r="N88" s="256">
        <v>0</v>
      </c>
      <c r="O88" s="259">
        <v>0</v>
      </c>
      <c r="P88" s="255">
        <v>8.1240000000000006</v>
      </c>
      <c r="Q88" s="256">
        <v>0</v>
      </c>
      <c r="R88" s="257">
        <v>0</v>
      </c>
      <c r="S88" s="256">
        <v>0</v>
      </c>
      <c r="T88" s="259">
        <v>0</v>
      </c>
      <c r="U88" s="258">
        <v>8.1240000000000006</v>
      </c>
      <c r="V88" s="256">
        <v>0</v>
      </c>
      <c r="W88" s="257">
        <v>0</v>
      </c>
      <c r="X88" s="256">
        <v>0</v>
      </c>
      <c r="Y88" s="257">
        <v>0</v>
      </c>
      <c r="Z88" s="255">
        <v>8.1240000000000006</v>
      </c>
      <c r="AA88" s="256">
        <v>0</v>
      </c>
      <c r="AB88" s="257">
        <v>0</v>
      </c>
      <c r="AC88" s="256">
        <v>0</v>
      </c>
      <c r="AD88" s="257">
        <v>0</v>
      </c>
      <c r="AE88" s="255">
        <v>8.1240000000000006</v>
      </c>
    </row>
    <row r="89" spans="2:31">
      <c r="B89" s="241"/>
      <c r="C89" s="243"/>
      <c r="D89" s="248"/>
      <c r="E89" s="243" t="s">
        <v>537</v>
      </c>
      <c r="F89" s="255">
        <v>6</v>
      </c>
      <c r="G89" s="256">
        <v>0</v>
      </c>
      <c r="H89" s="257">
        <v>0</v>
      </c>
      <c r="I89" s="256">
        <v>0</v>
      </c>
      <c r="J89" s="259">
        <v>0</v>
      </c>
      <c r="K89" s="255">
        <v>6</v>
      </c>
      <c r="L89" s="256">
        <v>0</v>
      </c>
      <c r="M89" s="257">
        <v>0</v>
      </c>
      <c r="N89" s="256">
        <v>0</v>
      </c>
      <c r="O89" s="259">
        <v>0</v>
      </c>
      <c r="P89" s="255">
        <v>6</v>
      </c>
      <c r="Q89" s="256">
        <v>0</v>
      </c>
      <c r="R89" s="257">
        <v>0</v>
      </c>
      <c r="S89" s="256">
        <v>0</v>
      </c>
      <c r="T89" s="259">
        <v>0</v>
      </c>
      <c r="U89" s="258">
        <v>6</v>
      </c>
      <c r="V89" s="256">
        <v>0</v>
      </c>
      <c r="W89" s="257">
        <v>0</v>
      </c>
      <c r="X89" s="256">
        <v>0</v>
      </c>
      <c r="Y89" s="257">
        <v>0</v>
      </c>
      <c r="Z89" s="255">
        <v>6</v>
      </c>
      <c r="AA89" s="256">
        <v>0</v>
      </c>
      <c r="AB89" s="257">
        <v>0</v>
      </c>
      <c r="AC89" s="256">
        <v>0</v>
      </c>
      <c r="AD89" s="257">
        <v>0</v>
      </c>
      <c r="AE89" s="255">
        <v>6</v>
      </c>
    </row>
    <row r="90" spans="2:31">
      <c r="B90" s="241"/>
      <c r="C90" s="243"/>
      <c r="D90" s="248"/>
      <c r="E90" s="243" t="s">
        <v>425</v>
      </c>
      <c r="F90" s="255">
        <v>2</v>
      </c>
      <c r="G90" s="256">
        <v>0</v>
      </c>
      <c r="H90" s="257">
        <v>0</v>
      </c>
      <c r="I90" s="256">
        <v>0</v>
      </c>
      <c r="J90" s="259">
        <v>0</v>
      </c>
      <c r="K90" s="255">
        <v>2</v>
      </c>
      <c r="L90" s="256">
        <v>0</v>
      </c>
      <c r="M90" s="257">
        <v>0</v>
      </c>
      <c r="N90" s="256">
        <v>0</v>
      </c>
      <c r="O90" s="259">
        <v>0</v>
      </c>
      <c r="P90" s="255">
        <v>2</v>
      </c>
      <c r="Q90" s="256">
        <v>0</v>
      </c>
      <c r="R90" s="257">
        <v>0</v>
      </c>
      <c r="S90" s="256">
        <v>0</v>
      </c>
      <c r="T90" s="259">
        <v>0</v>
      </c>
      <c r="U90" s="258">
        <v>2</v>
      </c>
      <c r="V90" s="256">
        <v>0</v>
      </c>
      <c r="W90" s="257">
        <v>0</v>
      </c>
      <c r="X90" s="256">
        <v>0</v>
      </c>
      <c r="Y90" s="257">
        <v>0</v>
      </c>
      <c r="Z90" s="255">
        <v>2</v>
      </c>
      <c r="AA90" s="256">
        <v>0</v>
      </c>
      <c r="AB90" s="257">
        <v>0</v>
      </c>
      <c r="AC90" s="256">
        <v>0</v>
      </c>
      <c r="AD90" s="257">
        <v>0</v>
      </c>
      <c r="AE90" s="255">
        <v>2</v>
      </c>
    </row>
    <row r="91" spans="2:31">
      <c r="B91" s="241"/>
      <c r="C91" s="243"/>
      <c r="D91" s="248"/>
      <c r="E91" s="243" t="s">
        <v>426</v>
      </c>
      <c r="F91" s="255">
        <v>1</v>
      </c>
      <c r="G91" s="256">
        <v>0</v>
      </c>
      <c r="H91" s="257">
        <v>0</v>
      </c>
      <c r="I91" s="256">
        <v>0</v>
      </c>
      <c r="J91" s="259">
        <v>0</v>
      </c>
      <c r="K91" s="255">
        <v>1</v>
      </c>
      <c r="L91" s="256">
        <v>0</v>
      </c>
      <c r="M91" s="257">
        <v>0</v>
      </c>
      <c r="N91" s="256">
        <v>0</v>
      </c>
      <c r="O91" s="259">
        <v>0</v>
      </c>
      <c r="P91" s="255">
        <v>1</v>
      </c>
      <c r="Q91" s="256">
        <v>0</v>
      </c>
      <c r="R91" s="257">
        <v>0</v>
      </c>
      <c r="S91" s="256">
        <v>0</v>
      </c>
      <c r="T91" s="259">
        <v>0</v>
      </c>
      <c r="U91" s="258">
        <v>1</v>
      </c>
      <c r="V91" s="256">
        <v>0</v>
      </c>
      <c r="W91" s="257">
        <v>0</v>
      </c>
      <c r="X91" s="256">
        <v>0</v>
      </c>
      <c r="Y91" s="257">
        <v>0</v>
      </c>
      <c r="Z91" s="255">
        <v>1</v>
      </c>
      <c r="AA91" s="256">
        <v>0</v>
      </c>
      <c r="AB91" s="257">
        <v>0</v>
      </c>
      <c r="AC91" s="256">
        <v>0</v>
      </c>
      <c r="AD91" s="257">
        <v>0</v>
      </c>
      <c r="AE91" s="255">
        <v>1</v>
      </c>
    </row>
    <row r="92" spans="2:31">
      <c r="B92" s="241"/>
      <c r="C92" s="243"/>
      <c r="D92" s="243"/>
      <c r="E92" s="243"/>
      <c r="F92" s="260"/>
      <c r="G92" s="261"/>
      <c r="H92" s="262"/>
      <c r="I92" s="261"/>
      <c r="J92" s="263"/>
      <c r="K92" s="260"/>
      <c r="L92" s="261"/>
      <c r="M92" s="262"/>
      <c r="N92" s="261"/>
      <c r="O92" s="263"/>
      <c r="P92" s="260"/>
      <c r="Q92" s="261"/>
      <c r="R92" s="262"/>
      <c r="S92" s="261"/>
      <c r="T92" s="263"/>
      <c r="U92" s="264"/>
      <c r="V92" s="261"/>
      <c r="W92" s="262"/>
      <c r="X92" s="261"/>
      <c r="Y92" s="262"/>
      <c r="Z92" s="260"/>
      <c r="AA92" s="261"/>
      <c r="AB92" s="262"/>
      <c r="AC92" s="261"/>
      <c r="AD92" s="262"/>
      <c r="AE92" s="260"/>
    </row>
    <row r="93" spans="2:31">
      <c r="B93" s="241"/>
      <c r="C93" s="243"/>
      <c r="D93" s="248" t="s">
        <v>68</v>
      </c>
      <c r="E93" s="243"/>
      <c r="F93" s="260"/>
      <c r="G93" s="261"/>
      <c r="H93" s="262"/>
      <c r="I93" s="261"/>
      <c r="J93" s="263"/>
      <c r="K93" s="260"/>
      <c r="L93" s="261"/>
      <c r="M93" s="262"/>
      <c r="N93" s="261"/>
      <c r="O93" s="263"/>
      <c r="P93" s="260"/>
      <c r="Q93" s="261"/>
      <c r="R93" s="262"/>
      <c r="S93" s="261"/>
      <c r="T93" s="263"/>
      <c r="U93" s="264"/>
      <c r="V93" s="261"/>
      <c r="W93" s="262"/>
      <c r="X93" s="261"/>
      <c r="Y93" s="262"/>
      <c r="Z93" s="260"/>
      <c r="AA93" s="261"/>
      <c r="AB93" s="262"/>
      <c r="AC93" s="261"/>
      <c r="AD93" s="262"/>
      <c r="AE93" s="260"/>
    </row>
    <row r="94" spans="2:31">
      <c r="B94" s="241"/>
      <c r="C94" s="243"/>
      <c r="D94" s="243"/>
      <c r="E94" s="243" t="s">
        <v>387</v>
      </c>
      <c r="F94" s="255">
        <v>1.3</v>
      </c>
      <c r="G94" s="256">
        <v>0</v>
      </c>
      <c r="H94" s="257">
        <v>0</v>
      </c>
      <c r="I94" s="256" t="s">
        <v>1020</v>
      </c>
      <c r="J94" s="259">
        <v>0</v>
      </c>
      <c r="K94" s="255">
        <v>1.3</v>
      </c>
      <c r="L94" s="256">
        <v>0</v>
      </c>
      <c r="M94" s="257">
        <v>0</v>
      </c>
      <c r="N94" s="256" t="s">
        <v>1020</v>
      </c>
      <c r="O94" s="259">
        <v>0</v>
      </c>
      <c r="P94" s="255">
        <v>1.3</v>
      </c>
      <c r="Q94" s="256">
        <v>0</v>
      </c>
      <c r="R94" s="257">
        <v>0</v>
      </c>
      <c r="S94" s="256" t="s">
        <v>1020</v>
      </c>
      <c r="T94" s="259">
        <v>0</v>
      </c>
      <c r="U94" s="258">
        <v>1.3</v>
      </c>
      <c r="V94" s="256">
        <v>0</v>
      </c>
      <c r="W94" s="257">
        <v>0</v>
      </c>
      <c r="X94" s="256">
        <v>0</v>
      </c>
      <c r="Y94" s="257">
        <v>0</v>
      </c>
      <c r="Z94" s="255">
        <v>1.3</v>
      </c>
      <c r="AA94" s="256">
        <v>0</v>
      </c>
      <c r="AB94" s="257">
        <v>0</v>
      </c>
      <c r="AC94" s="256">
        <v>0</v>
      </c>
      <c r="AD94" s="257">
        <v>0</v>
      </c>
      <c r="AE94" s="255">
        <v>1.3</v>
      </c>
    </row>
    <row r="95" spans="2:31">
      <c r="B95" s="241"/>
      <c r="C95" s="243"/>
      <c r="D95" s="248"/>
      <c r="E95" s="243"/>
      <c r="F95" s="260"/>
      <c r="G95" s="261"/>
      <c r="H95" s="262"/>
      <c r="I95" s="261"/>
      <c r="J95" s="263"/>
      <c r="K95" s="260"/>
      <c r="L95" s="261"/>
      <c r="M95" s="262"/>
      <c r="N95" s="261"/>
      <c r="O95" s="263"/>
      <c r="P95" s="260"/>
      <c r="Q95" s="261"/>
      <c r="R95" s="262"/>
      <c r="S95" s="261"/>
      <c r="T95" s="263"/>
      <c r="U95" s="264"/>
      <c r="V95" s="261"/>
      <c r="W95" s="262"/>
      <c r="X95" s="261"/>
      <c r="Y95" s="262"/>
      <c r="Z95" s="260"/>
      <c r="AA95" s="261"/>
      <c r="AB95" s="262"/>
      <c r="AC95" s="261"/>
      <c r="AD95" s="262"/>
      <c r="AE95" s="260"/>
    </row>
    <row r="96" spans="2:31">
      <c r="B96" s="241"/>
      <c r="C96" s="243"/>
      <c r="D96" s="248" t="s">
        <v>631</v>
      </c>
      <c r="E96" s="243"/>
      <c r="F96" s="260"/>
      <c r="G96" s="261"/>
      <c r="H96" s="262"/>
      <c r="I96" s="261"/>
      <c r="J96" s="263"/>
      <c r="K96" s="260"/>
      <c r="L96" s="261"/>
      <c r="M96" s="262"/>
      <c r="N96" s="261"/>
      <c r="O96" s="263"/>
      <c r="P96" s="260"/>
      <c r="Q96" s="261"/>
      <c r="R96" s="262"/>
      <c r="S96" s="261"/>
      <c r="T96" s="263"/>
      <c r="U96" s="264"/>
      <c r="V96" s="261"/>
      <c r="W96" s="262"/>
      <c r="X96" s="261"/>
      <c r="Y96" s="262"/>
      <c r="Z96" s="260"/>
      <c r="AA96" s="261"/>
      <c r="AB96" s="262"/>
      <c r="AC96" s="261"/>
      <c r="AD96" s="262"/>
      <c r="AE96" s="260"/>
    </row>
    <row r="97" spans="2:31">
      <c r="B97" s="241"/>
      <c r="C97" s="243"/>
      <c r="D97" s="248"/>
      <c r="E97" s="273" t="s">
        <v>388</v>
      </c>
      <c r="F97" s="255">
        <v>295</v>
      </c>
      <c r="G97" s="256">
        <v>0</v>
      </c>
      <c r="H97" s="257">
        <v>0</v>
      </c>
      <c r="I97" s="256">
        <v>0</v>
      </c>
      <c r="J97" s="259">
        <v>0</v>
      </c>
      <c r="K97" s="255">
        <v>295</v>
      </c>
      <c r="L97" s="256">
        <v>0</v>
      </c>
      <c r="M97" s="257">
        <v>0</v>
      </c>
      <c r="N97" s="256">
        <v>0</v>
      </c>
      <c r="O97" s="259">
        <v>7</v>
      </c>
      <c r="P97" s="255">
        <v>302</v>
      </c>
      <c r="Q97" s="256">
        <v>0</v>
      </c>
      <c r="R97" s="257">
        <v>0</v>
      </c>
      <c r="S97" s="256">
        <v>1</v>
      </c>
      <c r="T97" s="259">
        <v>6</v>
      </c>
      <c r="U97" s="258">
        <v>309</v>
      </c>
      <c r="V97" s="256">
        <v>0</v>
      </c>
      <c r="W97" s="257">
        <v>6</v>
      </c>
      <c r="X97" s="256">
        <v>1</v>
      </c>
      <c r="Y97" s="257">
        <v>6</v>
      </c>
      <c r="Z97" s="255">
        <v>310</v>
      </c>
      <c r="AA97" s="256">
        <v>0</v>
      </c>
      <c r="AB97" s="257">
        <v>6</v>
      </c>
      <c r="AC97" s="256">
        <v>1</v>
      </c>
      <c r="AD97" s="257">
        <v>6</v>
      </c>
      <c r="AE97" s="255">
        <v>311</v>
      </c>
    </row>
    <row r="98" spans="2:31">
      <c r="B98" s="241"/>
      <c r="C98" s="243"/>
      <c r="D98" s="248"/>
      <c r="E98" s="273" t="s">
        <v>389</v>
      </c>
      <c r="F98" s="255">
        <v>294</v>
      </c>
      <c r="G98" s="256">
        <v>10</v>
      </c>
      <c r="H98" s="257">
        <v>5</v>
      </c>
      <c r="I98" s="256">
        <v>0</v>
      </c>
      <c r="J98" s="259">
        <v>5</v>
      </c>
      <c r="K98" s="255">
        <v>284</v>
      </c>
      <c r="L98" s="256">
        <v>2</v>
      </c>
      <c r="M98" s="257">
        <v>2</v>
      </c>
      <c r="N98" s="256">
        <v>0</v>
      </c>
      <c r="O98" s="259">
        <v>2</v>
      </c>
      <c r="P98" s="255">
        <v>282</v>
      </c>
      <c r="Q98" s="256">
        <v>6</v>
      </c>
      <c r="R98" s="257">
        <v>30</v>
      </c>
      <c r="S98" s="256">
        <v>0</v>
      </c>
      <c r="T98" s="259">
        <v>30</v>
      </c>
      <c r="U98" s="258">
        <v>276</v>
      </c>
      <c r="V98" s="256">
        <v>2</v>
      </c>
      <c r="W98" s="257">
        <v>4</v>
      </c>
      <c r="X98" s="256">
        <v>1</v>
      </c>
      <c r="Y98" s="257">
        <v>4</v>
      </c>
      <c r="Z98" s="255">
        <v>275</v>
      </c>
      <c r="AA98" s="256">
        <v>2</v>
      </c>
      <c r="AB98" s="257">
        <v>4</v>
      </c>
      <c r="AC98" s="256">
        <v>1</v>
      </c>
      <c r="AD98" s="257">
        <v>4</v>
      </c>
      <c r="AE98" s="255">
        <v>274</v>
      </c>
    </row>
    <row r="99" spans="2:31">
      <c r="B99" s="241"/>
      <c r="C99" s="243"/>
      <c r="D99" s="248"/>
      <c r="E99" s="273" t="s">
        <v>390</v>
      </c>
      <c r="F99" s="255">
        <v>16</v>
      </c>
      <c r="G99" s="256">
        <v>0</v>
      </c>
      <c r="H99" s="257">
        <v>0</v>
      </c>
      <c r="I99" s="256">
        <v>0</v>
      </c>
      <c r="J99" s="259">
        <v>0</v>
      </c>
      <c r="K99" s="255">
        <v>16</v>
      </c>
      <c r="L99" s="256">
        <v>0</v>
      </c>
      <c r="M99" s="257">
        <v>0</v>
      </c>
      <c r="N99" s="256">
        <v>0</v>
      </c>
      <c r="O99" s="259">
        <v>0</v>
      </c>
      <c r="P99" s="255">
        <v>16</v>
      </c>
      <c r="Q99" s="256">
        <v>0</v>
      </c>
      <c r="R99" s="257">
        <v>0</v>
      </c>
      <c r="S99" s="256">
        <v>0</v>
      </c>
      <c r="T99" s="259">
        <v>0</v>
      </c>
      <c r="U99" s="258">
        <v>16</v>
      </c>
      <c r="V99" s="256">
        <v>0</v>
      </c>
      <c r="W99" s="257">
        <v>0</v>
      </c>
      <c r="X99" s="256">
        <v>0</v>
      </c>
      <c r="Y99" s="257">
        <v>0</v>
      </c>
      <c r="Z99" s="255">
        <v>16</v>
      </c>
      <c r="AA99" s="256">
        <v>0</v>
      </c>
      <c r="AB99" s="257">
        <v>0</v>
      </c>
      <c r="AC99" s="256">
        <v>0</v>
      </c>
      <c r="AD99" s="257">
        <v>0</v>
      </c>
      <c r="AE99" s="255">
        <v>16</v>
      </c>
    </row>
    <row r="100" spans="2:31">
      <c r="B100" s="241"/>
      <c r="C100" s="243"/>
      <c r="D100" s="248"/>
      <c r="E100" s="273" t="s">
        <v>391</v>
      </c>
      <c r="F100" s="255">
        <v>0</v>
      </c>
      <c r="G100" s="256">
        <v>0</v>
      </c>
      <c r="H100" s="257">
        <v>0</v>
      </c>
      <c r="I100" s="256">
        <v>0</v>
      </c>
      <c r="J100" s="259">
        <v>0</v>
      </c>
      <c r="K100" s="255">
        <v>0</v>
      </c>
      <c r="L100" s="256">
        <v>0</v>
      </c>
      <c r="M100" s="257">
        <v>0</v>
      </c>
      <c r="N100" s="256">
        <v>0</v>
      </c>
      <c r="O100" s="259">
        <v>0</v>
      </c>
      <c r="P100" s="255">
        <v>0</v>
      </c>
      <c r="Q100" s="256">
        <v>0</v>
      </c>
      <c r="R100" s="257">
        <v>0</v>
      </c>
      <c r="S100" s="256">
        <v>0</v>
      </c>
      <c r="T100" s="259">
        <v>0</v>
      </c>
      <c r="U100" s="258">
        <v>0</v>
      </c>
      <c r="V100" s="256">
        <v>0</v>
      </c>
      <c r="W100" s="257">
        <v>0</v>
      </c>
      <c r="X100" s="256">
        <v>0</v>
      </c>
      <c r="Y100" s="257">
        <v>0</v>
      </c>
      <c r="Z100" s="255">
        <v>0</v>
      </c>
      <c r="AA100" s="256">
        <v>0</v>
      </c>
      <c r="AB100" s="257">
        <v>0</v>
      </c>
      <c r="AC100" s="256">
        <v>0</v>
      </c>
      <c r="AD100" s="257">
        <v>0</v>
      </c>
      <c r="AE100" s="255">
        <v>0</v>
      </c>
    </row>
    <row r="101" spans="2:31">
      <c r="B101" s="241"/>
      <c r="C101" s="243"/>
      <c r="D101" s="248"/>
      <c r="E101" s="273" t="s">
        <v>392</v>
      </c>
      <c r="F101" s="255">
        <v>0</v>
      </c>
      <c r="G101" s="256">
        <v>0</v>
      </c>
      <c r="H101" s="257">
        <v>0</v>
      </c>
      <c r="I101" s="256">
        <v>0</v>
      </c>
      <c r="J101" s="259">
        <v>0</v>
      </c>
      <c r="K101" s="255">
        <v>0</v>
      </c>
      <c r="L101" s="256">
        <v>0</v>
      </c>
      <c r="M101" s="257">
        <v>0</v>
      </c>
      <c r="N101" s="256">
        <v>0</v>
      </c>
      <c r="O101" s="259">
        <v>0</v>
      </c>
      <c r="P101" s="255">
        <v>0</v>
      </c>
      <c r="Q101" s="256">
        <v>0</v>
      </c>
      <c r="R101" s="257">
        <v>0</v>
      </c>
      <c r="S101" s="256">
        <v>0</v>
      </c>
      <c r="T101" s="259">
        <v>0</v>
      </c>
      <c r="U101" s="258">
        <v>0</v>
      </c>
      <c r="V101" s="256">
        <v>0</v>
      </c>
      <c r="W101" s="257">
        <v>0</v>
      </c>
      <c r="X101" s="256">
        <v>0</v>
      </c>
      <c r="Y101" s="257">
        <v>0</v>
      </c>
      <c r="Z101" s="255">
        <v>0</v>
      </c>
      <c r="AA101" s="256">
        <v>0</v>
      </c>
      <c r="AB101" s="257">
        <v>0</v>
      </c>
      <c r="AC101" s="256">
        <v>0</v>
      </c>
      <c r="AD101" s="257">
        <v>0</v>
      </c>
      <c r="AE101" s="255">
        <v>0</v>
      </c>
    </row>
    <row r="102" spans="2:31">
      <c r="B102" s="241"/>
      <c r="C102" s="243"/>
      <c r="D102" s="248"/>
      <c r="E102" s="273" t="s">
        <v>393</v>
      </c>
      <c r="F102" s="255">
        <v>1117</v>
      </c>
      <c r="G102" s="256">
        <v>9</v>
      </c>
      <c r="H102" s="257">
        <v>10</v>
      </c>
      <c r="I102" s="256">
        <v>0</v>
      </c>
      <c r="J102" s="259">
        <v>10</v>
      </c>
      <c r="K102" s="255">
        <v>1108</v>
      </c>
      <c r="L102" s="256">
        <v>26</v>
      </c>
      <c r="M102" s="257">
        <v>1</v>
      </c>
      <c r="N102" s="256">
        <v>0</v>
      </c>
      <c r="O102" s="259">
        <v>1</v>
      </c>
      <c r="P102" s="255">
        <v>1082</v>
      </c>
      <c r="Q102" s="256">
        <v>4</v>
      </c>
      <c r="R102" s="257">
        <v>8</v>
      </c>
      <c r="S102" s="256">
        <v>0</v>
      </c>
      <c r="T102" s="259">
        <v>8</v>
      </c>
      <c r="U102" s="258">
        <v>1078</v>
      </c>
      <c r="V102" s="256">
        <v>4</v>
      </c>
      <c r="W102" s="257">
        <v>0</v>
      </c>
      <c r="X102" s="256">
        <v>2</v>
      </c>
      <c r="Y102" s="257">
        <v>0</v>
      </c>
      <c r="Z102" s="255">
        <v>1076</v>
      </c>
      <c r="AA102" s="256">
        <v>4</v>
      </c>
      <c r="AB102" s="257">
        <v>0</v>
      </c>
      <c r="AC102" s="256">
        <v>2</v>
      </c>
      <c r="AD102" s="257">
        <v>0</v>
      </c>
      <c r="AE102" s="255">
        <v>1074</v>
      </c>
    </row>
    <row r="103" spans="2:31">
      <c r="B103" s="241"/>
      <c r="C103" s="243"/>
      <c r="D103" s="248"/>
      <c r="E103" s="273" t="s">
        <v>394</v>
      </c>
      <c r="F103" s="255">
        <v>53</v>
      </c>
      <c r="G103" s="256">
        <v>0</v>
      </c>
      <c r="H103" s="257">
        <v>0</v>
      </c>
      <c r="I103" s="256">
        <v>0</v>
      </c>
      <c r="J103" s="259">
        <v>0</v>
      </c>
      <c r="K103" s="255">
        <v>53</v>
      </c>
      <c r="L103" s="256">
        <v>0</v>
      </c>
      <c r="M103" s="257">
        <v>0</v>
      </c>
      <c r="N103" s="256">
        <v>0</v>
      </c>
      <c r="O103" s="259">
        <v>0</v>
      </c>
      <c r="P103" s="255">
        <v>53</v>
      </c>
      <c r="Q103" s="256">
        <v>0</v>
      </c>
      <c r="R103" s="257">
        <v>0</v>
      </c>
      <c r="S103" s="256">
        <v>0</v>
      </c>
      <c r="T103" s="259">
        <v>0</v>
      </c>
      <c r="U103" s="258">
        <v>53</v>
      </c>
      <c r="V103" s="256">
        <v>0</v>
      </c>
      <c r="W103" s="257">
        <v>1</v>
      </c>
      <c r="X103" s="256">
        <v>0</v>
      </c>
      <c r="Y103" s="257">
        <v>1</v>
      </c>
      <c r="Z103" s="255">
        <v>53</v>
      </c>
      <c r="AA103" s="256">
        <v>0</v>
      </c>
      <c r="AB103" s="257">
        <v>1</v>
      </c>
      <c r="AC103" s="256">
        <v>0</v>
      </c>
      <c r="AD103" s="257">
        <v>1</v>
      </c>
      <c r="AE103" s="255">
        <v>53</v>
      </c>
    </row>
    <row r="104" spans="2:31">
      <c r="B104" s="241"/>
      <c r="C104" s="243"/>
      <c r="D104" s="248"/>
      <c r="E104" s="273" t="s">
        <v>395</v>
      </c>
      <c r="F104" s="255">
        <v>233</v>
      </c>
      <c r="G104" s="256">
        <v>0</v>
      </c>
      <c r="H104" s="257">
        <v>0</v>
      </c>
      <c r="I104" s="256">
        <v>0</v>
      </c>
      <c r="J104" s="259">
        <v>0</v>
      </c>
      <c r="K104" s="255">
        <v>233</v>
      </c>
      <c r="L104" s="256">
        <v>0</v>
      </c>
      <c r="M104" s="257">
        <v>0</v>
      </c>
      <c r="N104" s="256">
        <v>0</v>
      </c>
      <c r="O104" s="259">
        <v>0</v>
      </c>
      <c r="P104" s="255">
        <v>233</v>
      </c>
      <c r="Q104" s="256">
        <v>2</v>
      </c>
      <c r="R104" s="257">
        <v>0</v>
      </c>
      <c r="S104" s="256">
        <v>0</v>
      </c>
      <c r="T104" s="259">
        <v>0</v>
      </c>
      <c r="U104" s="258">
        <v>231</v>
      </c>
      <c r="V104" s="256">
        <v>0</v>
      </c>
      <c r="W104" s="257">
        <v>0</v>
      </c>
      <c r="X104" s="256">
        <v>2</v>
      </c>
      <c r="Y104" s="257">
        <v>0</v>
      </c>
      <c r="Z104" s="255">
        <v>233</v>
      </c>
      <c r="AA104" s="256">
        <v>0</v>
      </c>
      <c r="AB104" s="257">
        <v>0</v>
      </c>
      <c r="AC104" s="256">
        <v>0</v>
      </c>
      <c r="AD104" s="257">
        <v>0</v>
      </c>
      <c r="AE104" s="255">
        <v>233</v>
      </c>
    </row>
    <row r="105" spans="2:31">
      <c r="B105" s="241"/>
      <c r="C105" s="243"/>
      <c r="D105" s="248"/>
      <c r="E105" s="243"/>
      <c r="F105" s="260"/>
      <c r="G105" s="261"/>
      <c r="H105" s="262"/>
      <c r="I105" s="261"/>
      <c r="J105" s="263"/>
      <c r="K105" s="260"/>
      <c r="L105" s="261"/>
      <c r="M105" s="262"/>
      <c r="N105" s="261"/>
      <c r="O105" s="263"/>
      <c r="P105" s="260"/>
      <c r="Q105" s="261"/>
      <c r="R105" s="262"/>
      <c r="S105" s="261"/>
      <c r="T105" s="263"/>
      <c r="U105" s="264"/>
      <c r="V105" s="261"/>
      <c r="W105" s="262"/>
      <c r="X105" s="261"/>
      <c r="Y105" s="262"/>
      <c r="Z105" s="260"/>
      <c r="AA105" s="261"/>
      <c r="AB105" s="262"/>
      <c r="AC105" s="261"/>
      <c r="AD105" s="262"/>
      <c r="AE105" s="260"/>
    </row>
    <row r="106" spans="2:31">
      <c r="B106" s="241"/>
      <c r="C106" s="243"/>
      <c r="D106" s="248" t="s">
        <v>506</v>
      </c>
      <c r="E106" s="243"/>
      <c r="F106" s="260"/>
      <c r="G106" s="261"/>
      <c r="H106" s="262"/>
      <c r="I106" s="261"/>
      <c r="J106" s="263"/>
      <c r="K106" s="260"/>
      <c r="L106" s="261"/>
      <c r="M106" s="262"/>
      <c r="N106" s="261"/>
      <c r="O106" s="263"/>
      <c r="P106" s="260"/>
      <c r="Q106" s="261"/>
      <c r="R106" s="262"/>
      <c r="S106" s="261"/>
      <c r="T106" s="263"/>
      <c r="U106" s="264"/>
      <c r="V106" s="261"/>
      <c r="W106" s="262"/>
      <c r="X106" s="261"/>
      <c r="Y106" s="262"/>
      <c r="Z106" s="260"/>
      <c r="AA106" s="261"/>
      <c r="AB106" s="262"/>
      <c r="AC106" s="261"/>
      <c r="AD106" s="262"/>
      <c r="AE106" s="260"/>
    </row>
    <row r="107" spans="2:31">
      <c r="B107" s="241"/>
      <c r="C107" s="243"/>
      <c r="D107" s="243"/>
      <c r="E107" s="273" t="s">
        <v>396</v>
      </c>
      <c r="F107" s="255">
        <v>0</v>
      </c>
      <c r="G107" s="256">
        <v>0</v>
      </c>
      <c r="H107" s="257">
        <v>0</v>
      </c>
      <c r="I107" s="256">
        <v>0</v>
      </c>
      <c r="J107" s="259">
        <v>0</v>
      </c>
      <c r="K107" s="255">
        <v>0</v>
      </c>
      <c r="L107" s="256">
        <v>0</v>
      </c>
      <c r="M107" s="257">
        <v>0</v>
      </c>
      <c r="N107" s="256">
        <v>0</v>
      </c>
      <c r="O107" s="259">
        <v>0</v>
      </c>
      <c r="P107" s="255">
        <v>0</v>
      </c>
      <c r="Q107" s="256">
        <v>0</v>
      </c>
      <c r="R107" s="257">
        <v>0</v>
      </c>
      <c r="S107" s="256">
        <v>0</v>
      </c>
      <c r="T107" s="259">
        <v>0</v>
      </c>
      <c r="U107" s="258">
        <v>0</v>
      </c>
      <c r="V107" s="256">
        <v>0</v>
      </c>
      <c r="W107" s="257">
        <v>0</v>
      </c>
      <c r="X107" s="256">
        <v>0</v>
      </c>
      <c r="Y107" s="257">
        <v>0</v>
      </c>
      <c r="Z107" s="255">
        <v>0</v>
      </c>
      <c r="AA107" s="256">
        <v>0</v>
      </c>
      <c r="AB107" s="257">
        <v>0</v>
      </c>
      <c r="AC107" s="256">
        <v>0</v>
      </c>
      <c r="AD107" s="257">
        <v>0</v>
      </c>
      <c r="AE107" s="255">
        <v>0</v>
      </c>
    </row>
    <row r="108" spans="2:31">
      <c r="B108" s="241"/>
      <c r="C108" s="243"/>
      <c r="D108" s="243"/>
      <c r="E108" s="273" t="s">
        <v>397</v>
      </c>
      <c r="F108" s="255">
        <v>247</v>
      </c>
      <c r="G108" s="256">
        <v>2</v>
      </c>
      <c r="H108" s="257">
        <v>0</v>
      </c>
      <c r="I108" s="256">
        <v>3</v>
      </c>
      <c r="J108" s="259">
        <v>0</v>
      </c>
      <c r="K108" s="255">
        <v>248</v>
      </c>
      <c r="L108" s="256">
        <v>0</v>
      </c>
      <c r="M108" s="257">
        <v>0</v>
      </c>
      <c r="N108" s="256">
        <v>3</v>
      </c>
      <c r="O108" s="259">
        <v>0</v>
      </c>
      <c r="P108" s="255">
        <v>251</v>
      </c>
      <c r="Q108" s="256">
        <v>5</v>
      </c>
      <c r="R108" s="257">
        <v>0</v>
      </c>
      <c r="S108" s="256">
        <v>1</v>
      </c>
      <c r="T108" s="259">
        <v>0</v>
      </c>
      <c r="U108" s="258">
        <v>247</v>
      </c>
      <c r="V108" s="256">
        <v>2</v>
      </c>
      <c r="W108" s="257">
        <v>2</v>
      </c>
      <c r="X108" s="256">
        <v>2</v>
      </c>
      <c r="Y108" s="257">
        <v>2</v>
      </c>
      <c r="Z108" s="255">
        <v>247</v>
      </c>
      <c r="AA108" s="256">
        <v>2</v>
      </c>
      <c r="AB108" s="257">
        <v>2</v>
      </c>
      <c r="AC108" s="256">
        <v>2</v>
      </c>
      <c r="AD108" s="257">
        <v>2</v>
      </c>
      <c r="AE108" s="255">
        <v>247</v>
      </c>
    </row>
    <row r="109" spans="2:31">
      <c r="B109" s="241"/>
      <c r="C109" s="243"/>
      <c r="D109" s="243"/>
      <c r="E109" s="243" t="s">
        <v>398</v>
      </c>
      <c r="F109" s="255">
        <v>242</v>
      </c>
      <c r="G109" s="256">
        <v>0</v>
      </c>
      <c r="H109" s="257">
        <v>0</v>
      </c>
      <c r="I109" s="256">
        <v>0</v>
      </c>
      <c r="J109" s="259">
        <v>0</v>
      </c>
      <c r="K109" s="255">
        <v>242</v>
      </c>
      <c r="L109" s="256">
        <v>0</v>
      </c>
      <c r="M109" s="257">
        <v>0</v>
      </c>
      <c r="N109" s="256">
        <v>2</v>
      </c>
      <c r="O109" s="259">
        <v>0</v>
      </c>
      <c r="P109" s="255">
        <v>244</v>
      </c>
      <c r="Q109" s="256">
        <v>0</v>
      </c>
      <c r="R109" s="257">
        <v>0</v>
      </c>
      <c r="S109" s="256">
        <v>0</v>
      </c>
      <c r="T109" s="259">
        <v>0</v>
      </c>
      <c r="U109" s="258">
        <v>244</v>
      </c>
      <c r="V109" s="256">
        <v>0</v>
      </c>
      <c r="W109" s="257">
        <v>0</v>
      </c>
      <c r="X109" s="256">
        <v>0</v>
      </c>
      <c r="Y109" s="257">
        <v>0</v>
      </c>
      <c r="Z109" s="255">
        <v>244</v>
      </c>
      <c r="AA109" s="256">
        <v>0</v>
      </c>
      <c r="AB109" s="257">
        <v>0</v>
      </c>
      <c r="AC109" s="256">
        <v>0</v>
      </c>
      <c r="AD109" s="257">
        <v>0</v>
      </c>
      <c r="AE109" s="255">
        <v>244</v>
      </c>
    </row>
    <row r="110" spans="2:31">
      <c r="B110" s="241"/>
      <c r="C110" s="243"/>
      <c r="D110" s="243"/>
      <c r="E110" s="273" t="s">
        <v>589</v>
      </c>
      <c r="F110" s="255">
        <v>30</v>
      </c>
      <c r="G110" s="256">
        <v>0</v>
      </c>
      <c r="H110" s="257">
        <v>0</v>
      </c>
      <c r="I110" s="256">
        <v>0</v>
      </c>
      <c r="J110" s="259">
        <v>0</v>
      </c>
      <c r="K110" s="255">
        <v>30</v>
      </c>
      <c r="L110" s="256">
        <v>0</v>
      </c>
      <c r="M110" s="257">
        <v>0</v>
      </c>
      <c r="N110" s="256">
        <v>0</v>
      </c>
      <c r="O110" s="259">
        <v>0</v>
      </c>
      <c r="P110" s="255">
        <v>30</v>
      </c>
      <c r="Q110" s="256">
        <v>0</v>
      </c>
      <c r="R110" s="257">
        <v>0</v>
      </c>
      <c r="S110" s="256">
        <v>0</v>
      </c>
      <c r="T110" s="259">
        <v>0</v>
      </c>
      <c r="U110" s="258">
        <v>30</v>
      </c>
      <c r="V110" s="256">
        <v>0</v>
      </c>
      <c r="W110" s="257">
        <v>2</v>
      </c>
      <c r="X110" s="256">
        <v>0</v>
      </c>
      <c r="Y110" s="257">
        <v>2</v>
      </c>
      <c r="Z110" s="255">
        <v>30</v>
      </c>
      <c r="AA110" s="256">
        <v>0</v>
      </c>
      <c r="AB110" s="257">
        <v>2</v>
      </c>
      <c r="AC110" s="256">
        <v>0</v>
      </c>
      <c r="AD110" s="257">
        <v>2</v>
      </c>
      <c r="AE110" s="255">
        <v>30</v>
      </c>
    </row>
    <row r="111" spans="2:31">
      <c r="B111" s="241"/>
      <c r="C111" s="243"/>
      <c r="D111" s="248"/>
      <c r="E111" s="243" t="s">
        <v>590</v>
      </c>
      <c r="F111" s="255">
        <v>0</v>
      </c>
      <c r="G111" s="256">
        <v>0</v>
      </c>
      <c r="H111" s="257">
        <v>0</v>
      </c>
      <c r="I111" s="256">
        <v>0</v>
      </c>
      <c r="J111" s="259">
        <v>0</v>
      </c>
      <c r="K111" s="255">
        <v>0</v>
      </c>
      <c r="L111" s="256">
        <v>0</v>
      </c>
      <c r="M111" s="257">
        <v>0</v>
      </c>
      <c r="N111" s="256">
        <v>0</v>
      </c>
      <c r="O111" s="259">
        <v>0</v>
      </c>
      <c r="P111" s="255">
        <v>0</v>
      </c>
      <c r="Q111" s="256">
        <v>0</v>
      </c>
      <c r="R111" s="257">
        <v>0</v>
      </c>
      <c r="S111" s="256">
        <v>0</v>
      </c>
      <c r="T111" s="259">
        <v>0</v>
      </c>
      <c r="U111" s="258">
        <v>0</v>
      </c>
      <c r="V111" s="256">
        <v>0</v>
      </c>
      <c r="W111" s="257">
        <v>0</v>
      </c>
      <c r="X111" s="256">
        <v>0</v>
      </c>
      <c r="Y111" s="257">
        <v>0</v>
      </c>
      <c r="Z111" s="255">
        <v>0</v>
      </c>
      <c r="AA111" s="256">
        <v>0</v>
      </c>
      <c r="AB111" s="257">
        <v>0</v>
      </c>
      <c r="AC111" s="256">
        <v>0</v>
      </c>
      <c r="AD111" s="257">
        <v>0</v>
      </c>
      <c r="AE111" s="255">
        <v>0</v>
      </c>
    </row>
    <row r="112" spans="2:31" ht="13.5" thickBot="1">
      <c r="B112" s="239"/>
      <c r="C112" s="240"/>
      <c r="D112" s="240"/>
      <c r="E112" s="240"/>
      <c r="F112" s="265"/>
      <c r="G112" s="266"/>
      <c r="H112" s="267"/>
      <c r="I112" s="266"/>
      <c r="J112" s="268"/>
      <c r="K112" s="269"/>
      <c r="L112" s="266"/>
      <c r="M112" s="267"/>
      <c r="N112" s="266"/>
      <c r="O112" s="268"/>
      <c r="P112" s="269"/>
      <c r="Q112" s="266"/>
      <c r="R112" s="267"/>
      <c r="S112" s="266"/>
      <c r="T112" s="268"/>
      <c r="U112" s="270"/>
      <c r="V112" s="266"/>
      <c r="W112" s="267"/>
      <c r="X112" s="266"/>
      <c r="Y112" s="267"/>
      <c r="Z112" s="269"/>
      <c r="AA112" s="266"/>
      <c r="AB112" s="267"/>
      <c r="AC112" s="266"/>
      <c r="AD112" s="267"/>
      <c r="AE112" s="269"/>
    </row>
    <row r="113" spans="2:31">
      <c r="B113" s="271"/>
      <c r="C113" s="272" t="s">
        <v>591</v>
      </c>
      <c r="D113" s="272"/>
      <c r="E113" s="273"/>
      <c r="F113" s="260"/>
      <c r="G113" s="261"/>
      <c r="H113" s="262"/>
      <c r="I113" s="261"/>
      <c r="J113" s="263"/>
      <c r="K113" s="260"/>
      <c r="L113" s="261"/>
      <c r="M113" s="262"/>
      <c r="N113" s="261"/>
      <c r="O113" s="263"/>
      <c r="P113" s="260"/>
      <c r="Q113" s="261"/>
      <c r="R113" s="262"/>
      <c r="S113" s="261"/>
      <c r="T113" s="263"/>
      <c r="U113" s="264"/>
      <c r="V113" s="261"/>
      <c r="W113" s="262"/>
      <c r="X113" s="261"/>
      <c r="Y113" s="262"/>
      <c r="Z113" s="260"/>
      <c r="AA113" s="261"/>
      <c r="AB113" s="262"/>
      <c r="AC113" s="261"/>
      <c r="AD113" s="262"/>
      <c r="AE113" s="260"/>
    </row>
    <row r="114" spans="2:31">
      <c r="B114" s="241"/>
      <c r="C114" s="243"/>
      <c r="D114" s="248" t="s">
        <v>578</v>
      </c>
      <c r="E114" s="243"/>
      <c r="F114" s="260"/>
      <c r="G114" s="261"/>
      <c r="H114" s="262"/>
      <c r="I114" s="261"/>
      <c r="J114" s="263"/>
      <c r="K114" s="260"/>
      <c r="L114" s="261"/>
      <c r="M114" s="262"/>
      <c r="N114" s="261"/>
      <c r="O114" s="263"/>
      <c r="P114" s="260"/>
      <c r="Q114" s="261"/>
      <c r="R114" s="262"/>
      <c r="S114" s="261"/>
      <c r="T114" s="263"/>
      <c r="U114" s="264"/>
      <c r="V114" s="261"/>
      <c r="W114" s="262"/>
      <c r="X114" s="261"/>
      <c r="Y114" s="262"/>
      <c r="Z114" s="260"/>
      <c r="AA114" s="261"/>
      <c r="AB114" s="262"/>
      <c r="AC114" s="261"/>
      <c r="AD114" s="262"/>
      <c r="AE114" s="260"/>
    </row>
    <row r="115" spans="2:31">
      <c r="B115" s="241"/>
      <c r="C115" s="243"/>
      <c r="D115" s="248"/>
      <c r="E115" s="243" t="s">
        <v>592</v>
      </c>
      <c r="F115" s="255">
        <v>91</v>
      </c>
      <c r="G115" s="256">
        <v>0</v>
      </c>
      <c r="H115" s="257">
        <v>0</v>
      </c>
      <c r="I115" s="256">
        <v>0</v>
      </c>
      <c r="J115" s="259">
        <v>0</v>
      </c>
      <c r="K115" s="255">
        <v>91</v>
      </c>
      <c r="L115" s="256">
        <v>0</v>
      </c>
      <c r="M115" s="257">
        <v>0</v>
      </c>
      <c r="N115" s="256">
        <v>0</v>
      </c>
      <c r="O115" s="259">
        <v>0</v>
      </c>
      <c r="P115" s="255">
        <v>91</v>
      </c>
      <c r="Q115" s="256">
        <v>0</v>
      </c>
      <c r="R115" s="257">
        <v>0</v>
      </c>
      <c r="S115" s="256">
        <v>0</v>
      </c>
      <c r="T115" s="259">
        <v>0</v>
      </c>
      <c r="U115" s="258">
        <v>91</v>
      </c>
      <c r="V115" s="256">
        <v>0</v>
      </c>
      <c r="W115" s="257">
        <v>0</v>
      </c>
      <c r="X115" s="256">
        <v>0</v>
      </c>
      <c r="Y115" s="257">
        <v>0</v>
      </c>
      <c r="Z115" s="255">
        <v>91</v>
      </c>
      <c r="AA115" s="256">
        <v>0</v>
      </c>
      <c r="AB115" s="257">
        <v>0</v>
      </c>
      <c r="AC115" s="256">
        <v>0</v>
      </c>
      <c r="AD115" s="257">
        <v>0</v>
      </c>
      <c r="AE115" s="255">
        <v>91</v>
      </c>
    </row>
    <row r="116" spans="2:31">
      <c r="B116" s="241"/>
      <c r="C116" s="243"/>
      <c r="D116" s="248"/>
      <c r="E116" s="243" t="s">
        <v>593</v>
      </c>
      <c r="F116" s="255">
        <v>1089</v>
      </c>
      <c r="G116" s="256">
        <v>0</v>
      </c>
      <c r="H116" s="257">
        <v>0</v>
      </c>
      <c r="I116" s="256">
        <v>0</v>
      </c>
      <c r="J116" s="259">
        <v>0</v>
      </c>
      <c r="K116" s="255">
        <v>1089</v>
      </c>
      <c r="L116" s="256">
        <v>0</v>
      </c>
      <c r="M116" s="257">
        <v>0</v>
      </c>
      <c r="N116" s="256">
        <v>0</v>
      </c>
      <c r="O116" s="259">
        <v>0</v>
      </c>
      <c r="P116" s="255">
        <v>1089</v>
      </c>
      <c r="Q116" s="256">
        <v>0</v>
      </c>
      <c r="R116" s="257">
        <v>0</v>
      </c>
      <c r="S116" s="256">
        <v>0</v>
      </c>
      <c r="T116" s="259">
        <v>0</v>
      </c>
      <c r="U116" s="258">
        <v>1089</v>
      </c>
      <c r="V116" s="256">
        <v>0</v>
      </c>
      <c r="W116" s="257">
        <v>0</v>
      </c>
      <c r="X116" s="256">
        <v>0</v>
      </c>
      <c r="Y116" s="257">
        <v>0</v>
      </c>
      <c r="Z116" s="255">
        <v>1089</v>
      </c>
      <c r="AA116" s="256">
        <v>0</v>
      </c>
      <c r="AB116" s="257">
        <v>0</v>
      </c>
      <c r="AC116" s="256">
        <v>0</v>
      </c>
      <c r="AD116" s="257">
        <v>0</v>
      </c>
      <c r="AE116" s="255">
        <v>1089</v>
      </c>
    </row>
    <row r="117" spans="2:31">
      <c r="B117" s="241"/>
      <c r="C117" s="243"/>
      <c r="D117" s="248"/>
      <c r="E117" s="273"/>
      <c r="F117" s="260"/>
      <c r="G117" s="261"/>
      <c r="H117" s="262"/>
      <c r="I117" s="261"/>
      <c r="J117" s="263"/>
      <c r="K117" s="260"/>
      <c r="L117" s="261"/>
      <c r="M117" s="262"/>
      <c r="N117" s="261"/>
      <c r="O117" s="263"/>
      <c r="P117" s="260"/>
      <c r="Q117" s="261"/>
      <c r="R117" s="262"/>
      <c r="S117" s="261"/>
      <c r="T117" s="263"/>
      <c r="U117" s="264"/>
      <c r="V117" s="261"/>
      <c r="W117" s="262"/>
      <c r="X117" s="261"/>
      <c r="Y117" s="262"/>
      <c r="Z117" s="260"/>
      <c r="AA117" s="261"/>
      <c r="AB117" s="262"/>
      <c r="AC117" s="261"/>
      <c r="AD117" s="262"/>
      <c r="AE117" s="260"/>
    </row>
    <row r="118" spans="2:31">
      <c r="B118" s="241"/>
      <c r="C118" s="243"/>
      <c r="D118" s="248" t="s">
        <v>739</v>
      </c>
      <c r="E118" s="243"/>
      <c r="F118" s="260"/>
      <c r="G118" s="261"/>
      <c r="H118" s="262"/>
      <c r="I118" s="261"/>
      <c r="J118" s="263"/>
      <c r="K118" s="260"/>
      <c r="L118" s="261"/>
      <c r="M118" s="262"/>
      <c r="N118" s="261"/>
      <c r="O118" s="263"/>
      <c r="P118" s="260"/>
      <c r="Q118" s="261"/>
      <c r="R118" s="262"/>
      <c r="S118" s="261"/>
      <c r="T118" s="263"/>
      <c r="U118" s="264"/>
      <c r="V118" s="261"/>
      <c r="W118" s="262"/>
      <c r="X118" s="261"/>
      <c r="Y118" s="262"/>
      <c r="Z118" s="260"/>
      <c r="AA118" s="261"/>
      <c r="AB118" s="262"/>
      <c r="AC118" s="261"/>
      <c r="AD118" s="262"/>
      <c r="AE118" s="260"/>
    </row>
    <row r="119" spans="2:31">
      <c r="B119" s="241"/>
      <c r="C119" s="243"/>
      <c r="D119" s="248"/>
      <c r="E119" s="243" t="s">
        <v>594</v>
      </c>
      <c r="F119" s="255">
        <v>835</v>
      </c>
      <c r="G119" s="256">
        <v>0</v>
      </c>
      <c r="H119" s="257">
        <v>0</v>
      </c>
      <c r="I119" s="256">
        <v>0</v>
      </c>
      <c r="J119" s="259">
        <v>0</v>
      </c>
      <c r="K119" s="255">
        <v>835</v>
      </c>
      <c r="L119" s="256">
        <v>0</v>
      </c>
      <c r="M119" s="257">
        <v>0</v>
      </c>
      <c r="N119" s="256">
        <v>0</v>
      </c>
      <c r="O119" s="259">
        <v>0</v>
      </c>
      <c r="P119" s="255">
        <v>835</v>
      </c>
      <c r="Q119" s="256">
        <v>0</v>
      </c>
      <c r="R119" s="257">
        <v>0</v>
      </c>
      <c r="S119" s="256">
        <v>0</v>
      </c>
      <c r="T119" s="259">
        <v>0</v>
      </c>
      <c r="U119" s="258">
        <v>835</v>
      </c>
      <c r="V119" s="256">
        <v>0</v>
      </c>
      <c r="W119" s="257">
        <v>10</v>
      </c>
      <c r="X119" s="256">
        <v>0</v>
      </c>
      <c r="Y119" s="257">
        <v>10</v>
      </c>
      <c r="Z119" s="255">
        <v>835</v>
      </c>
      <c r="AA119" s="256">
        <v>0</v>
      </c>
      <c r="AB119" s="257">
        <v>10</v>
      </c>
      <c r="AC119" s="256">
        <v>0</v>
      </c>
      <c r="AD119" s="257">
        <v>10</v>
      </c>
      <c r="AE119" s="255">
        <v>835</v>
      </c>
    </row>
    <row r="120" spans="2:31">
      <c r="B120" s="241"/>
      <c r="C120" s="243"/>
      <c r="D120" s="248"/>
      <c r="E120" s="243" t="s">
        <v>595</v>
      </c>
      <c r="F120" s="255">
        <v>2354</v>
      </c>
      <c r="G120" s="256">
        <v>0</v>
      </c>
      <c r="H120" s="257">
        <v>0</v>
      </c>
      <c r="I120" s="256">
        <v>0</v>
      </c>
      <c r="J120" s="259">
        <v>0</v>
      </c>
      <c r="K120" s="255">
        <v>2354</v>
      </c>
      <c r="L120" s="256">
        <v>0</v>
      </c>
      <c r="M120" s="257">
        <v>0</v>
      </c>
      <c r="N120" s="256">
        <v>0</v>
      </c>
      <c r="O120" s="259">
        <v>0</v>
      </c>
      <c r="P120" s="255">
        <v>2354</v>
      </c>
      <c r="Q120" s="256">
        <v>0</v>
      </c>
      <c r="R120" s="257">
        <v>0</v>
      </c>
      <c r="S120" s="256">
        <v>0</v>
      </c>
      <c r="T120" s="259">
        <v>0</v>
      </c>
      <c r="U120" s="258">
        <v>2354</v>
      </c>
      <c r="V120" s="256">
        <v>0</v>
      </c>
      <c r="W120" s="257">
        <v>1</v>
      </c>
      <c r="X120" s="256">
        <v>0</v>
      </c>
      <c r="Y120" s="257">
        <v>1</v>
      </c>
      <c r="Z120" s="255">
        <v>2354</v>
      </c>
      <c r="AA120" s="256">
        <v>0</v>
      </c>
      <c r="AB120" s="257">
        <v>1</v>
      </c>
      <c r="AC120" s="256">
        <v>0</v>
      </c>
      <c r="AD120" s="257">
        <v>1</v>
      </c>
      <c r="AE120" s="255">
        <v>2354</v>
      </c>
    </row>
    <row r="121" spans="2:31">
      <c r="B121" s="241"/>
      <c r="C121" s="243"/>
      <c r="D121" s="248"/>
      <c r="E121" s="273" t="s">
        <v>438</v>
      </c>
      <c r="F121" s="255">
        <v>4708</v>
      </c>
      <c r="G121" s="256">
        <v>0</v>
      </c>
      <c r="H121" s="257">
        <v>0</v>
      </c>
      <c r="I121" s="256">
        <v>0</v>
      </c>
      <c r="J121" s="259">
        <v>0</v>
      </c>
      <c r="K121" s="255">
        <v>4708</v>
      </c>
      <c r="L121" s="256">
        <v>0</v>
      </c>
      <c r="M121" s="257">
        <v>0</v>
      </c>
      <c r="N121" s="256">
        <v>0</v>
      </c>
      <c r="O121" s="259">
        <v>0</v>
      </c>
      <c r="P121" s="255">
        <v>4708</v>
      </c>
      <c r="Q121" s="256">
        <v>0</v>
      </c>
      <c r="R121" s="257">
        <v>0</v>
      </c>
      <c r="S121" s="256">
        <v>0</v>
      </c>
      <c r="T121" s="259">
        <v>0</v>
      </c>
      <c r="U121" s="258">
        <v>4708</v>
      </c>
      <c r="V121" s="256">
        <v>0</v>
      </c>
      <c r="W121" s="257">
        <v>0</v>
      </c>
      <c r="X121" s="256">
        <v>0</v>
      </c>
      <c r="Y121" s="257">
        <v>0</v>
      </c>
      <c r="Z121" s="255">
        <v>4708</v>
      </c>
      <c r="AA121" s="256">
        <v>0</v>
      </c>
      <c r="AB121" s="257">
        <v>0</v>
      </c>
      <c r="AC121" s="256">
        <v>0</v>
      </c>
      <c r="AD121" s="257">
        <v>0</v>
      </c>
      <c r="AE121" s="255">
        <v>4708</v>
      </c>
    </row>
    <row r="122" spans="2:31">
      <c r="B122" s="241"/>
      <c r="C122" s="243"/>
      <c r="D122" s="243"/>
      <c r="E122" s="243"/>
      <c r="F122" s="260"/>
      <c r="G122" s="261"/>
      <c r="H122" s="262"/>
      <c r="I122" s="261"/>
      <c r="J122" s="263"/>
      <c r="K122" s="260"/>
      <c r="L122" s="261"/>
      <c r="M122" s="262"/>
      <c r="N122" s="261"/>
      <c r="O122" s="263"/>
      <c r="P122" s="260"/>
      <c r="Q122" s="261"/>
      <c r="R122" s="262"/>
      <c r="S122" s="261"/>
      <c r="T122" s="263"/>
      <c r="U122" s="264"/>
      <c r="V122" s="261"/>
      <c r="W122" s="262"/>
      <c r="X122" s="261"/>
      <c r="Y122" s="262"/>
      <c r="Z122" s="260"/>
      <c r="AA122" s="261"/>
      <c r="AB122" s="262"/>
      <c r="AC122" s="261"/>
      <c r="AD122" s="262"/>
      <c r="AE122" s="260"/>
    </row>
    <row r="123" spans="2:31">
      <c r="B123" s="241"/>
      <c r="C123" s="243"/>
      <c r="D123" s="248" t="s">
        <v>763</v>
      </c>
      <c r="E123" s="243"/>
      <c r="F123" s="260"/>
      <c r="G123" s="261"/>
      <c r="H123" s="262"/>
      <c r="I123" s="261"/>
      <c r="J123" s="263"/>
      <c r="K123" s="260"/>
      <c r="L123" s="261"/>
      <c r="M123" s="262"/>
      <c r="N123" s="261"/>
      <c r="O123" s="263"/>
      <c r="P123" s="260"/>
      <c r="Q123" s="261"/>
      <c r="R123" s="262"/>
      <c r="S123" s="261"/>
      <c r="T123" s="263"/>
      <c r="U123" s="264"/>
      <c r="V123" s="261"/>
      <c r="W123" s="262"/>
      <c r="X123" s="261"/>
      <c r="Y123" s="262"/>
      <c r="Z123" s="260"/>
      <c r="AA123" s="261"/>
      <c r="AB123" s="262"/>
      <c r="AC123" s="261"/>
      <c r="AD123" s="262"/>
      <c r="AE123" s="260"/>
    </row>
    <row r="124" spans="2:31">
      <c r="B124" s="241"/>
      <c r="C124" s="243"/>
      <c r="D124" s="243"/>
      <c r="E124" s="243" t="s">
        <v>704</v>
      </c>
      <c r="F124" s="255">
        <v>35</v>
      </c>
      <c r="G124" s="256">
        <v>0</v>
      </c>
      <c r="H124" s="257">
        <v>0</v>
      </c>
      <c r="I124" s="256">
        <v>0</v>
      </c>
      <c r="J124" s="259">
        <v>0</v>
      </c>
      <c r="K124" s="255">
        <v>35</v>
      </c>
      <c r="L124" s="256">
        <v>0</v>
      </c>
      <c r="M124" s="257">
        <v>0</v>
      </c>
      <c r="N124" s="256">
        <v>0.4</v>
      </c>
      <c r="O124" s="259">
        <v>0</v>
      </c>
      <c r="P124" s="255">
        <v>35.4</v>
      </c>
      <c r="Q124" s="256">
        <v>0</v>
      </c>
      <c r="R124" s="257">
        <v>0</v>
      </c>
      <c r="S124" s="256">
        <v>0</v>
      </c>
      <c r="T124" s="259">
        <v>0</v>
      </c>
      <c r="U124" s="258">
        <v>35.4</v>
      </c>
      <c r="V124" s="256">
        <v>0</v>
      </c>
      <c r="W124" s="257">
        <v>0</v>
      </c>
      <c r="X124" s="256">
        <v>0</v>
      </c>
      <c r="Y124" s="257">
        <v>0</v>
      </c>
      <c r="Z124" s="255">
        <v>35.4</v>
      </c>
      <c r="AA124" s="256">
        <v>0</v>
      </c>
      <c r="AB124" s="257">
        <v>0</v>
      </c>
      <c r="AC124" s="256">
        <v>0</v>
      </c>
      <c r="AD124" s="257">
        <v>0</v>
      </c>
      <c r="AE124" s="255">
        <v>35.4</v>
      </c>
    </row>
    <row r="125" spans="2:31">
      <c r="B125" s="241"/>
      <c r="C125" s="243"/>
      <c r="D125" s="243"/>
      <c r="E125" s="243" t="s">
        <v>703</v>
      </c>
      <c r="F125" s="255">
        <v>58</v>
      </c>
      <c r="G125" s="256">
        <v>0</v>
      </c>
      <c r="H125" s="257">
        <v>0</v>
      </c>
      <c r="I125" s="256">
        <v>0</v>
      </c>
      <c r="J125" s="259">
        <v>0</v>
      </c>
      <c r="K125" s="255">
        <v>58</v>
      </c>
      <c r="L125" s="256">
        <v>0</v>
      </c>
      <c r="M125" s="257">
        <v>0</v>
      </c>
      <c r="N125" s="256">
        <v>0</v>
      </c>
      <c r="O125" s="259">
        <v>0</v>
      </c>
      <c r="P125" s="255">
        <v>58</v>
      </c>
      <c r="Q125" s="256">
        <v>0</v>
      </c>
      <c r="R125" s="257">
        <v>0</v>
      </c>
      <c r="S125" s="256">
        <v>0</v>
      </c>
      <c r="T125" s="259">
        <v>0</v>
      </c>
      <c r="U125" s="258">
        <v>58</v>
      </c>
      <c r="V125" s="256">
        <v>0</v>
      </c>
      <c r="W125" s="257">
        <v>0.1</v>
      </c>
      <c r="X125" s="256">
        <v>0</v>
      </c>
      <c r="Y125" s="257">
        <v>0.1</v>
      </c>
      <c r="Z125" s="255">
        <v>58</v>
      </c>
      <c r="AA125" s="256">
        <v>0</v>
      </c>
      <c r="AB125" s="257">
        <v>0.1</v>
      </c>
      <c r="AC125" s="256">
        <v>0</v>
      </c>
      <c r="AD125" s="257">
        <v>0.1</v>
      </c>
      <c r="AE125" s="255">
        <v>58</v>
      </c>
    </row>
    <row r="126" spans="2:31">
      <c r="B126" s="241"/>
      <c r="C126" s="243"/>
      <c r="D126" s="243"/>
      <c r="E126" s="243" t="s">
        <v>667</v>
      </c>
      <c r="F126" s="255">
        <v>0</v>
      </c>
      <c r="G126" s="256">
        <v>0</v>
      </c>
      <c r="H126" s="257">
        <v>0</v>
      </c>
      <c r="I126" s="256">
        <v>0</v>
      </c>
      <c r="J126" s="259">
        <v>0</v>
      </c>
      <c r="K126" s="255">
        <v>0</v>
      </c>
      <c r="L126" s="256">
        <v>0</v>
      </c>
      <c r="M126" s="257">
        <v>0</v>
      </c>
      <c r="N126" s="256">
        <v>0</v>
      </c>
      <c r="O126" s="259">
        <v>0</v>
      </c>
      <c r="P126" s="255">
        <v>0</v>
      </c>
      <c r="Q126" s="256">
        <v>0</v>
      </c>
      <c r="R126" s="257">
        <v>0</v>
      </c>
      <c r="S126" s="256">
        <v>0</v>
      </c>
      <c r="T126" s="259">
        <v>0</v>
      </c>
      <c r="U126" s="258">
        <v>0</v>
      </c>
      <c r="V126" s="256">
        <v>0</v>
      </c>
      <c r="W126" s="257">
        <v>0</v>
      </c>
      <c r="X126" s="256">
        <v>0</v>
      </c>
      <c r="Y126" s="257">
        <v>0</v>
      </c>
      <c r="Z126" s="255">
        <v>0</v>
      </c>
      <c r="AA126" s="256">
        <v>0</v>
      </c>
      <c r="AB126" s="257">
        <v>0</v>
      </c>
      <c r="AC126" s="256">
        <v>0</v>
      </c>
      <c r="AD126" s="257">
        <v>0</v>
      </c>
      <c r="AE126" s="255">
        <v>0</v>
      </c>
    </row>
    <row r="127" spans="2:31">
      <c r="B127" s="241"/>
      <c r="C127" s="243"/>
      <c r="D127" s="243"/>
      <c r="E127" s="243"/>
      <c r="F127" s="260"/>
      <c r="G127" s="261"/>
      <c r="H127" s="262"/>
      <c r="I127" s="261"/>
      <c r="J127" s="263"/>
      <c r="K127" s="260"/>
      <c r="L127" s="261"/>
      <c r="M127" s="262"/>
      <c r="N127" s="261"/>
      <c r="O127" s="263"/>
      <c r="P127" s="260"/>
      <c r="Q127" s="261"/>
      <c r="R127" s="262"/>
      <c r="S127" s="261"/>
      <c r="T127" s="263"/>
      <c r="U127" s="264"/>
      <c r="V127" s="261"/>
      <c r="W127" s="262"/>
      <c r="X127" s="261"/>
      <c r="Y127" s="262"/>
      <c r="Z127" s="260"/>
      <c r="AA127" s="261"/>
      <c r="AB127" s="262"/>
      <c r="AC127" s="261"/>
      <c r="AD127" s="262"/>
      <c r="AE127" s="260"/>
    </row>
    <row r="128" spans="2:31">
      <c r="B128" s="241"/>
      <c r="C128" s="243"/>
      <c r="D128" s="248" t="s">
        <v>68</v>
      </c>
      <c r="E128" s="243"/>
      <c r="F128" s="260"/>
      <c r="G128" s="261"/>
      <c r="H128" s="262"/>
      <c r="I128" s="261"/>
      <c r="J128" s="263"/>
      <c r="K128" s="260"/>
      <c r="L128" s="261"/>
      <c r="M128" s="262"/>
      <c r="N128" s="261"/>
      <c r="O128" s="263"/>
      <c r="P128" s="260"/>
      <c r="Q128" s="261"/>
      <c r="R128" s="262"/>
      <c r="S128" s="261"/>
      <c r="T128" s="263"/>
      <c r="U128" s="264"/>
      <c r="V128" s="261"/>
      <c r="W128" s="262"/>
      <c r="X128" s="261"/>
      <c r="Y128" s="262"/>
      <c r="Z128" s="260"/>
      <c r="AA128" s="261"/>
      <c r="AB128" s="262"/>
      <c r="AC128" s="261"/>
      <c r="AD128" s="262"/>
      <c r="AE128" s="260"/>
    </row>
    <row r="129" spans="2:31">
      <c r="B129" s="241"/>
      <c r="C129" s="243"/>
      <c r="D129" s="243"/>
      <c r="E129" s="273" t="s">
        <v>668</v>
      </c>
      <c r="F129" s="255">
        <v>0</v>
      </c>
      <c r="G129" s="256">
        <v>0</v>
      </c>
      <c r="H129" s="257">
        <v>0</v>
      </c>
      <c r="I129" s="256">
        <v>0</v>
      </c>
      <c r="J129" s="259">
        <v>0</v>
      </c>
      <c r="K129" s="255">
        <v>0</v>
      </c>
      <c r="L129" s="256">
        <v>0</v>
      </c>
      <c r="M129" s="257">
        <v>0</v>
      </c>
      <c r="N129" s="256">
        <v>0</v>
      </c>
      <c r="O129" s="259">
        <v>0</v>
      </c>
      <c r="P129" s="255">
        <v>0</v>
      </c>
      <c r="Q129" s="256">
        <v>0</v>
      </c>
      <c r="R129" s="257">
        <v>0</v>
      </c>
      <c r="S129" s="256">
        <v>0</v>
      </c>
      <c r="T129" s="259">
        <v>0</v>
      </c>
      <c r="U129" s="258">
        <v>0</v>
      </c>
      <c r="V129" s="256">
        <v>0</v>
      </c>
      <c r="W129" s="257">
        <v>0</v>
      </c>
      <c r="X129" s="256">
        <v>0</v>
      </c>
      <c r="Y129" s="257">
        <v>0</v>
      </c>
      <c r="Z129" s="255">
        <v>0</v>
      </c>
      <c r="AA129" s="256">
        <v>0</v>
      </c>
      <c r="AB129" s="257">
        <v>0</v>
      </c>
      <c r="AC129" s="256">
        <v>0</v>
      </c>
      <c r="AD129" s="257">
        <v>0</v>
      </c>
      <c r="AE129" s="255">
        <v>0</v>
      </c>
    </row>
    <row r="130" spans="2:31">
      <c r="B130" s="241"/>
      <c r="C130" s="243"/>
      <c r="D130" s="243"/>
      <c r="E130" s="243"/>
      <c r="F130" s="260"/>
      <c r="G130" s="261"/>
      <c r="H130" s="262"/>
      <c r="I130" s="261"/>
      <c r="J130" s="263"/>
      <c r="K130" s="260"/>
      <c r="L130" s="261"/>
      <c r="M130" s="262"/>
      <c r="N130" s="261"/>
      <c r="O130" s="263"/>
      <c r="P130" s="260"/>
      <c r="Q130" s="261"/>
      <c r="R130" s="262"/>
      <c r="S130" s="261"/>
      <c r="T130" s="263"/>
      <c r="U130" s="264"/>
      <c r="V130" s="261"/>
      <c r="W130" s="262"/>
      <c r="X130" s="261"/>
      <c r="Y130" s="262"/>
      <c r="Z130" s="260"/>
      <c r="AA130" s="261"/>
      <c r="AB130" s="262"/>
      <c r="AC130" s="261"/>
      <c r="AD130" s="262"/>
      <c r="AE130" s="260"/>
    </row>
    <row r="131" spans="2:31">
      <c r="B131" s="241"/>
      <c r="C131" s="243"/>
      <c r="D131" s="248" t="s">
        <v>631</v>
      </c>
      <c r="E131" s="243"/>
      <c r="F131" s="260"/>
      <c r="G131" s="261"/>
      <c r="H131" s="262"/>
      <c r="I131" s="261"/>
      <c r="J131" s="263"/>
      <c r="K131" s="260"/>
      <c r="L131" s="261"/>
      <c r="M131" s="262"/>
      <c r="N131" s="261"/>
      <c r="O131" s="263"/>
      <c r="P131" s="260"/>
      <c r="Q131" s="261"/>
      <c r="R131" s="262"/>
      <c r="S131" s="261"/>
      <c r="T131" s="263"/>
      <c r="U131" s="264"/>
      <c r="V131" s="261"/>
      <c r="W131" s="262"/>
      <c r="X131" s="261"/>
      <c r="Y131" s="262"/>
      <c r="Z131" s="260"/>
      <c r="AA131" s="261"/>
      <c r="AB131" s="262"/>
      <c r="AC131" s="261"/>
      <c r="AD131" s="262"/>
      <c r="AE131" s="260"/>
    </row>
    <row r="132" spans="2:31">
      <c r="B132" s="241"/>
      <c r="C132" s="243"/>
      <c r="D132" s="243"/>
      <c r="E132" s="243" t="s">
        <v>669</v>
      </c>
      <c r="F132" s="255">
        <v>214</v>
      </c>
      <c r="G132" s="256">
        <v>2</v>
      </c>
      <c r="H132" s="257">
        <v>1</v>
      </c>
      <c r="I132" s="256">
        <v>2</v>
      </c>
      <c r="J132" s="259">
        <v>1</v>
      </c>
      <c r="K132" s="255">
        <v>214</v>
      </c>
      <c r="L132" s="256">
        <v>0</v>
      </c>
      <c r="M132" s="257">
        <v>0</v>
      </c>
      <c r="N132" s="256">
        <v>2</v>
      </c>
      <c r="O132" s="259">
        <v>1</v>
      </c>
      <c r="P132" s="255">
        <v>217</v>
      </c>
      <c r="Q132" s="256">
        <v>0</v>
      </c>
      <c r="R132" s="257">
        <v>0</v>
      </c>
      <c r="S132" s="256">
        <v>3</v>
      </c>
      <c r="T132" s="259">
        <v>2</v>
      </c>
      <c r="U132" s="258">
        <v>222</v>
      </c>
      <c r="V132" s="256">
        <v>0</v>
      </c>
      <c r="W132" s="257">
        <v>2</v>
      </c>
      <c r="X132" s="256">
        <v>0</v>
      </c>
      <c r="Y132" s="257">
        <v>2</v>
      </c>
      <c r="Z132" s="255">
        <v>222</v>
      </c>
      <c r="AA132" s="256">
        <v>0</v>
      </c>
      <c r="AB132" s="257">
        <v>2</v>
      </c>
      <c r="AC132" s="256">
        <v>0</v>
      </c>
      <c r="AD132" s="257">
        <v>2</v>
      </c>
      <c r="AE132" s="255">
        <v>222</v>
      </c>
    </row>
    <row r="133" spans="2:31">
      <c r="B133" s="241"/>
      <c r="C133" s="243"/>
      <c r="D133" s="243"/>
      <c r="E133" s="243" t="s">
        <v>670</v>
      </c>
      <c r="F133" s="255">
        <v>730</v>
      </c>
      <c r="G133" s="256">
        <v>0</v>
      </c>
      <c r="H133" s="257">
        <v>0</v>
      </c>
      <c r="I133" s="256">
        <v>0</v>
      </c>
      <c r="J133" s="259">
        <v>0</v>
      </c>
      <c r="K133" s="255">
        <v>730</v>
      </c>
      <c r="L133" s="256">
        <v>7</v>
      </c>
      <c r="M133" s="257">
        <v>4</v>
      </c>
      <c r="N133" s="256">
        <v>0</v>
      </c>
      <c r="O133" s="259">
        <v>4</v>
      </c>
      <c r="P133" s="255">
        <v>723</v>
      </c>
      <c r="Q133" s="256">
        <v>0</v>
      </c>
      <c r="R133" s="257">
        <v>0</v>
      </c>
      <c r="S133" s="256">
        <v>2</v>
      </c>
      <c r="T133" s="259">
        <v>2</v>
      </c>
      <c r="U133" s="258">
        <v>727</v>
      </c>
      <c r="V133" s="256">
        <v>0</v>
      </c>
      <c r="W133" s="257">
        <v>0</v>
      </c>
      <c r="X133" s="256">
        <v>0</v>
      </c>
      <c r="Y133" s="257">
        <v>0</v>
      </c>
      <c r="Z133" s="255">
        <v>727</v>
      </c>
      <c r="AA133" s="256">
        <v>0</v>
      </c>
      <c r="AB133" s="257">
        <v>0</v>
      </c>
      <c r="AC133" s="256">
        <v>0</v>
      </c>
      <c r="AD133" s="257">
        <v>0</v>
      </c>
      <c r="AE133" s="255">
        <v>727</v>
      </c>
    </row>
    <row r="134" spans="2:31">
      <c r="B134" s="241"/>
      <c r="C134" s="243"/>
      <c r="D134" s="243"/>
      <c r="E134" s="243"/>
      <c r="F134" s="260"/>
      <c r="G134" s="261"/>
      <c r="H134" s="262"/>
      <c r="I134" s="261"/>
      <c r="J134" s="263"/>
      <c r="K134" s="260"/>
      <c r="L134" s="261"/>
      <c r="M134" s="262"/>
      <c r="N134" s="261"/>
      <c r="O134" s="263"/>
      <c r="P134" s="260"/>
      <c r="Q134" s="261"/>
      <c r="R134" s="262"/>
      <c r="S134" s="261"/>
      <c r="T134" s="263"/>
      <c r="U134" s="264"/>
      <c r="V134" s="261"/>
      <c r="W134" s="262"/>
      <c r="X134" s="261"/>
      <c r="Y134" s="262"/>
      <c r="Z134" s="260"/>
      <c r="AA134" s="261"/>
      <c r="AB134" s="262"/>
      <c r="AC134" s="261"/>
      <c r="AD134" s="262"/>
      <c r="AE134" s="260"/>
    </row>
    <row r="135" spans="2:31">
      <c r="B135" s="241"/>
      <c r="C135" s="243"/>
      <c r="D135" s="248" t="s">
        <v>506</v>
      </c>
      <c r="E135" s="243"/>
      <c r="F135" s="260"/>
      <c r="G135" s="261"/>
      <c r="H135" s="262"/>
      <c r="I135" s="261"/>
      <c r="J135" s="263"/>
      <c r="K135" s="260"/>
      <c r="L135" s="261"/>
      <c r="M135" s="262"/>
      <c r="N135" s="261"/>
      <c r="O135" s="263"/>
      <c r="P135" s="260"/>
      <c r="Q135" s="261"/>
      <c r="R135" s="262"/>
      <c r="S135" s="261"/>
      <c r="T135" s="263"/>
      <c r="U135" s="264"/>
      <c r="V135" s="261"/>
      <c r="W135" s="262"/>
      <c r="X135" s="261"/>
      <c r="Y135" s="262"/>
      <c r="Z135" s="260"/>
      <c r="AA135" s="261"/>
      <c r="AB135" s="262"/>
      <c r="AC135" s="261"/>
      <c r="AD135" s="262"/>
      <c r="AE135" s="260"/>
    </row>
    <row r="136" spans="2:31">
      <c r="B136" s="241"/>
      <c r="C136" s="243"/>
      <c r="D136" s="243"/>
      <c r="E136" s="273" t="s">
        <v>671</v>
      </c>
      <c r="F136" s="255">
        <v>128</v>
      </c>
      <c r="G136" s="256">
        <v>0</v>
      </c>
      <c r="H136" s="257">
        <v>0</v>
      </c>
      <c r="I136" s="256">
        <v>0</v>
      </c>
      <c r="J136" s="259">
        <v>0</v>
      </c>
      <c r="K136" s="255">
        <v>128</v>
      </c>
      <c r="L136" s="256">
        <v>1</v>
      </c>
      <c r="M136" s="257">
        <v>0</v>
      </c>
      <c r="N136" s="256">
        <v>2</v>
      </c>
      <c r="O136" s="259">
        <v>0</v>
      </c>
      <c r="P136" s="255">
        <v>129</v>
      </c>
      <c r="Q136" s="256">
        <v>3</v>
      </c>
      <c r="R136" s="257">
        <v>4</v>
      </c>
      <c r="S136" s="256">
        <v>2</v>
      </c>
      <c r="T136" s="259">
        <v>4</v>
      </c>
      <c r="U136" s="258">
        <v>128</v>
      </c>
      <c r="V136" s="256">
        <v>1</v>
      </c>
      <c r="W136" s="257">
        <v>2</v>
      </c>
      <c r="X136" s="256">
        <v>1</v>
      </c>
      <c r="Y136" s="257">
        <v>2</v>
      </c>
      <c r="Z136" s="255">
        <v>128</v>
      </c>
      <c r="AA136" s="256">
        <v>0</v>
      </c>
      <c r="AB136" s="257">
        <v>2</v>
      </c>
      <c r="AC136" s="256">
        <v>3</v>
      </c>
      <c r="AD136" s="257">
        <v>2</v>
      </c>
      <c r="AE136" s="255">
        <v>131</v>
      </c>
    </row>
    <row r="137" spans="2:31">
      <c r="B137" s="241"/>
      <c r="C137" s="243"/>
      <c r="D137" s="243"/>
      <c r="E137" s="273" t="s">
        <v>672</v>
      </c>
      <c r="F137" s="255">
        <v>133</v>
      </c>
      <c r="G137" s="256">
        <v>0</v>
      </c>
      <c r="H137" s="257">
        <v>0</v>
      </c>
      <c r="I137" s="256">
        <v>0</v>
      </c>
      <c r="J137" s="259">
        <v>0</v>
      </c>
      <c r="K137" s="255">
        <v>133</v>
      </c>
      <c r="L137" s="256">
        <v>1</v>
      </c>
      <c r="M137" s="257">
        <v>0</v>
      </c>
      <c r="N137" s="256">
        <v>2</v>
      </c>
      <c r="O137" s="259">
        <v>0</v>
      </c>
      <c r="P137" s="255">
        <v>134</v>
      </c>
      <c r="Q137" s="256">
        <v>0</v>
      </c>
      <c r="R137" s="257">
        <v>0</v>
      </c>
      <c r="S137" s="256">
        <v>0</v>
      </c>
      <c r="T137" s="259">
        <v>4</v>
      </c>
      <c r="U137" s="258">
        <v>138</v>
      </c>
      <c r="V137" s="256">
        <v>0</v>
      </c>
      <c r="W137" s="257">
        <v>0</v>
      </c>
      <c r="X137" s="256">
        <v>0</v>
      </c>
      <c r="Y137" s="257">
        <v>0</v>
      </c>
      <c r="Z137" s="255">
        <v>138</v>
      </c>
      <c r="AA137" s="256">
        <v>0</v>
      </c>
      <c r="AB137" s="257">
        <v>0</v>
      </c>
      <c r="AC137" s="256">
        <v>2</v>
      </c>
      <c r="AD137" s="257">
        <v>0</v>
      </c>
      <c r="AE137" s="255">
        <v>140</v>
      </c>
    </row>
    <row r="138" spans="2:31" ht="13.5" thickBot="1">
      <c r="B138" s="239"/>
      <c r="C138" s="240"/>
      <c r="D138" s="240"/>
      <c r="E138" s="240"/>
      <c r="F138" s="265"/>
      <c r="G138" s="266"/>
      <c r="H138" s="267"/>
      <c r="I138" s="266"/>
      <c r="J138" s="268"/>
      <c r="K138" s="269"/>
      <c r="L138" s="266"/>
      <c r="M138" s="267"/>
      <c r="N138" s="266"/>
      <c r="O138" s="268"/>
      <c r="P138" s="269"/>
      <c r="Q138" s="266"/>
      <c r="R138" s="267"/>
      <c r="S138" s="266"/>
      <c r="T138" s="268"/>
      <c r="U138" s="270"/>
      <c r="V138" s="266"/>
      <c r="W138" s="267"/>
      <c r="X138" s="266"/>
      <c r="Y138" s="267"/>
      <c r="Z138" s="269"/>
      <c r="AA138" s="266"/>
      <c r="AB138" s="267"/>
      <c r="AC138" s="266"/>
      <c r="AD138" s="267"/>
      <c r="AE138" s="269"/>
    </row>
    <row r="139" spans="2:31">
      <c r="B139" s="271"/>
      <c r="C139" s="272" t="s">
        <v>677</v>
      </c>
      <c r="D139" s="272"/>
      <c r="E139" s="273"/>
      <c r="F139" s="260"/>
      <c r="G139" s="261"/>
      <c r="H139" s="262"/>
      <c r="I139" s="261"/>
      <c r="J139" s="263"/>
      <c r="K139" s="260"/>
      <c r="L139" s="261"/>
      <c r="M139" s="262"/>
      <c r="N139" s="261"/>
      <c r="O139" s="263"/>
      <c r="P139" s="260"/>
      <c r="Q139" s="261"/>
      <c r="R139" s="262"/>
      <c r="S139" s="261"/>
      <c r="T139" s="263"/>
      <c r="U139" s="264"/>
      <c r="V139" s="261"/>
      <c r="W139" s="262"/>
      <c r="X139" s="261"/>
      <c r="Y139" s="262"/>
      <c r="Z139" s="260"/>
      <c r="AA139" s="261"/>
      <c r="AB139" s="262"/>
      <c r="AC139" s="261"/>
      <c r="AD139" s="262"/>
      <c r="AE139" s="260"/>
    </row>
    <row r="140" spans="2:31">
      <c r="B140" s="241"/>
      <c r="C140" s="243"/>
      <c r="D140" s="248" t="s">
        <v>678</v>
      </c>
      <c r="E140" s="243"/>
      <c r="F140" s="260"/>
      <c r="G140" s="261"/>
      <c r="H140" s="262"/>
      <c r="I140" s="261"/>
      <c r="J140" s="263"/>
      <c r="K140" s="260"/>
      <c r="L140" s="261"/>
      <c r="M140" s="262"/>
      <c r="N140" s="261"/>
      <c r="O140" s="263"/>
      <c r="P140" s="260"/>
      <c r="Q140" s="261"/>
      <c r="R140" s="262"/>
      <c r="S140" s="261"/>
      <c r="T140" s="263"/>
      <c r="U140" s="264"/>
      <c r="V140" s="261"/>
      <c r="W140" s="262"/>
      <c r="X140" s="261"/>
      <c r="Y140" s="262"/>
      <c r="Z140" s="260"/>
      <c r="AA140" s="261"/>
      <c r="AB140" s="262"/>
      <c r="AC140" s="261"/>
      <c r="AD140" s="262"/>
      <c r="AE140" s="260"/>
    </row>
    <row r="141" spans="2:31">
      <c r="B141" s="241"/>
      <c r="C141" s="243"/>
      <c r="D141" s="243"/>
      <c r="E141" s="273" t="s">
        <v>679</v>
      </c>
      <c r="F141" s="255">
        <v>0</v>
      </c>
      <c r="G141" s="256">
        <v>0</v>
      </c>
      <c r="H141" s="257">
        <v>0</v>
      </c>
      <c r="I141" s="256">
        <v>0</v>
      </c>
      <c r="J141" s="259">
        <v>0</v>
      </c>
      <c r="K141" s="255">
        <v>0</v>
      </c>
      <c r="L141" s="256">
        <v>0</v>
      </c>
      <c r="M141" s="257">
        <v>0</v>
      </c>
      <c r="N141" s="256">
        <v>0</v>
      </c>
      <c r="O141" s="259">
        <v>0</v>
      </c>
      <c r="P141" s="255">
        <v>0</v>
      </c>
      <c r="Q141" s="256">
        <v>0</v>
      </c>
      <c r="R141" s="257">
        <v>0</v>
      </c>
      <c r="S141" s="256">
        <v>0</v>
      </c>
      <c r="T141" s="259">
        <v>0</v>
      </c>
      <c r="U141" s="258">
        <v>0</v>
      </c>
      <c r="V141" s="256">
        <v>0</v>
      </c>
      <c r="W141" s="257">
        <v>0</v>
      </c>
      <c r="X141" s="256">
        <v>0</v>
      </c>
      <c r="Y141" s="257">
        <v>0</v>
      </c>
      <c r="Z141" s="255">
        <v>0</v>
      </c>
      <c r="AA141" s="256">
        <v>0</v>
      </c>
      <c r="AB141" s="257">
        <v>0</v>
      </c>
      <c r="AC141" s="256">
        <v>1</v>
      </c>
      <c r="AD141" s="257">
        <v>0</v>
      </c>
      <c r="AE141" s="255">
        <v>1</v>
      </c>
    </row>
    <row r="142" spans="2:31">
      <c r="B142" s="241"/>
      <c r="C142" s="243"/>
      <c r="D142" s="243"/>
      <c r="E142" s="273" t="s">
        <v>848</v>
      </c>
      <c r="F142" s="255">
        <v>272</v>
      </c>
      <c r="G142" s="256">
        <v>0</v>
      </c>
      <c r="H142" s="257">
        <v>0</v>
      </c>
      <c r="I142" s="256">
        <v>0</v>
      </c>
      <c r="J142" s="259">
        <v>0</v>
      </c>
      <c r="K142" s="255">
        <v>272</v>
      </c>
      <c r="L142" s="256">
        <v>0</v>
      </c>
      <c r="M142" s="257">
        <v>0</v>
      </c>
      <c r="N142" s="256">
        <v>0</v>
      </c>
      <c r="O142" s="259">
        <v>0</v>
      </c>
      <c r="P142" s="255">
        <v>272</v>
      </c>
      <c r="Q142" s="256">
        <v>0</v>
      </c>
      <c r="R142" s="257">
        <v>0</v>
      </c>
      <c r="S142" s="256">
        <v>0</v>
      </c>
      <c r="T142" s="259">
        <v>0</v>
      </c>
      <c r="U142" s="258">
        <v>272</v>
      </c>
      <c r="V142" s="256">
        <v>0</v>
      </c>
      <c r="W142" s="257">
        <v>0</v>
      </c>
      <c r="X142" s="256">
        <v>0</v>
      </c>
      <c r="Y142" s="257">
        <v>0</v>
      </c>
      <c r="Z142" s="255">
        <v>272</v>
      </c>
      <c r="AA142" s="256">
        <v>0</v>
      </c>
      <c r="AB142" s="257">
        <v>0</v>
      </c>
      <c r="AC142" s="256">
        <v>0</v>
      </c>
      <c r="AD142" s="257">
        <v>0</v>
      </c>
      <c r="AE142" s="255">
        <v>272</v>
      </c>
    </row>
    <row r="143" spans="2:31">
      <c r="B143" s="241"/>
      <c r="C143" s="273"/>
      <c r="D143" s="248"/>
      <c r="E143" s="243"/>
      <c r="F143" s="260"/>
      <c r="G143" s="261"/>
      <c r="H143" s="262"/>
      <c r="I143" s="261"/>
      <c r="J143" s="263"/>
      <c r="K143" s="260"/>
      <c r="L143" s="261"/>
      <c r="M143" s="262"/>
      <c r="N143" s="261"/>
      <c r="O143" s="263"/>
      <c r="P143" s="260"/>
      <c r="Q143" s="261"/>
      <c r="R143" s="262"/>
      <c r="S143" s="261"/>
      <c r="T143" s="263"/>
      <c r="U143" s="264"/>
      <c r="V143" s="261"/>
      <c r="W143" s="262"/>
      <c r="X143" s="261"/>
      <c r="Y143" s="262"/>
      <c r="Z143" s="260"/>
      <c r="AA143" s="261"/>
      <c r="AB143" s="262"/>
      <c r="AC143" s="261"/>
      <c r="AD143" s="262"/>
      <c r="AE143" s="260"/>
    </row>
    <row r="144" spans="2:31">
      <c r="B144" s="241"/>
      <c r="C144" s="243"/>
      <c r="D144" s="248" t="s">
        <v>849</v>
      </c>
      <c r="E144" s="243"/>
      <c r="F144" s="260"/>
      <c r="G144" s="261"/>
      <c r="H144" s="262"/>
      <c r="I144" s="261"/>
      <c r="J144" s="263"/>
      <c r="K144" s="260"/>
      <c r="L144" s="261"/>
      <c r="M144" s="262"/>
      <c r="N144" s="261"/>
      <c r="O144" s="263"/>
      <c r="P144" s="260"/>
      <c r="Q144" s="261"/>
      <c r="R144" s="262"/>
      <c r="S144" s="261"/>
      <c r="T144" s="263"/>
      <c r="U144" s="264"/>
      <c r="V144" s="261"/>
      <c r="W144" s="262"/>
      <c r="X144" s="261"/>
      <c r="Y144" s="262"/>
      <c r="Z144" s="260"/>
      <c r="AA144" s="261"/>
      <c r="AB144" s="262"/>
      <c r="AC144" s="261"/>
      <c r="AD144" s="262"/>
      <c r="AE144" s="260"/>
    </row>
    <row r="145" spans="2:31">
      <c r="B145" s="241"/>
      <c r="C145" s="243"/>
      <c r="D145" s="243"/>
      <c r="E145" s="273" t="s">
        <v>681</v>
      </c>
      <c r="F145" s="255">
        <v>1244</v>
      </c>
      <c r="G145" s="256">
        <v>0</v>
      </c>
      <c r="H145" s="257">
        <v>0</v>
      </c>
      <c r="I145" s="256">
        <v>0</v>
      </c>
      <c r="J145" s="259">
        <v>0</v>
      </c>
      <c r="K145" s="255">
        <v>1244</v>
      </c>
      <c r="L145" s="256">
        <v>0</v>
      </c>
      <c r="M145" s="257">
        <v>0</v>
      </c>
      <c r="N145" s="256">
        <v>0</v>
      </c>
      <c r="O145" s="259">
        <v>0</v>
      </c>
      <c r="P145" s="255">
        <v>1244</v>
      </c>
      <c r="Q145" s="256">
        <v>0</v>
      </c>
      <c r="R145" s="257">
        <v>0</v>
      </c>
      <c r="S145" s="256">
        <v>0</v>
      </c>
      <c r="T145" s="259">
        <v>0</v>
      </c>
      <c r="U145" s="258">
        <v>1244</v>
      </c>
      <c r="V145" s="256">
        <v>0</v>
      </c>
      <c r="W145" s="257">
        <v>0</v>
      </c>
      <c r="X145" s="256">
        <v>1</v>
      </c>
      <c r="Y145" s="257">
        <v>0</v>
      </c>
      <c r="Z145" s="255">
        <v>1245</v>
      </c>
      <c r="AA145" s="256">
        <v>0</v>
      </c>
      <c r="AB145" s="257">
        <v>0</v>
      </c>
      <c r="AC145" s="256">
        <v>1</v>
      </c>
      <c r="AD145" s="257">
        <v>0</v>
      </c>
      <c r="AE145" s="255">
        <v>1246</v>
      </c>
    </row>
    <row r="146" spans="2:31">
      <c r="B146" s="241"/>
      <c r="C146" s="243"/>
      <c r="D146" s="243"/>
      <c r="E146" s="273" t="s">
        <v>682</v>
      </c>
      <c r="F146" s="255">
        <v>143</v>
      </c>
      <c r="G146" s="256">
        <v>0</v>
      </c>
      <c r="H146" s="257">
        <v>0</v>
      </c>
      <c r="I146" s="256">
        <v>0</v>
      </c>
      <c r="J146" s="259">
        <v>0</v>
      </c>
      <c r="K146" s="255">
        <v>143</v>
      </c>
      <c r="L146" s="256">
        <v>0</v>
      </c>
      <c r="M146" s="257">
        <v>0</v>
      </c>
      <c r="N146" s="256">
        <v>0</v>
      </c>
      <c r="O146" s="259">
        <v>0</v>
      </c>
      <c r="P146" s="255">
        <v>143</v>
      </c>
      <c r="Q146" s="256">
        <v>0</v>
      </c>
      <c r="R146" s="257">
        <v>0</v>
      </c>
      <c r="S146" s="256">
        <v>0</v>
      </c>
      <c r="T146" s="259">
        <v>0</v>
      </c>
      <c r="U146" s="258">
        <v>143</v>
      </c>
      <c r="V146" s="256">
        <v>0</v>
      </c>
      <c r="W146" s="257">
        <v>0</v>
      </c>
      <c r="X146" s="256">
        <v>0</v>
      </c>
      <c r="Y146" s="257">
        <v>0</v>
      </c>
      <c r="Z146" s="255">
        <v>143</v>
      </c>
      <c r="AA146" s="256">
        <v>0</v>
      </c>
      <c r="AB146" s="257">
        <v>0</v>
      </c>
      <c r="AC146" s="256">
        <v>0</v>
      </c>
      <c r="AD146" s="257">
        <v>0</v>
      </c>
      <c r="AE146" s="255">
        <v>143</v>
      </c>
    </row>
    <row r="147" spans="2:31" ht="13.5" thickBot="1">
      <c r="B147" s="239"/>
      <c r="C147" s="240"/>
      <c r="D147" s="240"/>
      <c r="E147" s="240"/>
      <c r="F147" s="265"/>
      <c r="G147" s="266"/>
      <c r="H147" s="267"/>
      <c r="I147" s="266"/>
      <c r="J147" s="268"/>
      <c r="K147" s="269"/>
      <c r="L147" s="266"/>
      <c r="M147" s="267"/>
      <c r="N147" s="266"/>
      <c r="O147" s="268"/>
      <c r="P147" s="269"/>
      <c r="Q147" s="266"/>
      <c r="R147" s="267"/>
      <c r="S147" s="266"/>
      <c r="T147" s="268"/>
      <c r="U147" s="279"/>
      <c r="V147" s="266"/>
      <c r="W147" s="267"/>
      <c r="X147" s="266"/>
      <c r="Y147" s="267"/>
      <c r="Z147" s="269"/>
      <c r="AA147" s="266"/>
      <c r="AB147" s="267"/>
      <c r="AC147" s="266"/>
      <c r="AD147" s="267"/>
      <c r="AE147" s="269"/>
    </row>
  </sheetData>
  <mergeCells count="17">
    <mergeCell ref="X8:Y8"/>
    <mergeCell ref="F7:F9"/>
    <mergeCell ref="B7:E9"/>
    <mergeCell ref="AC8:AD8"/>
    <mergeCell ref="AA7:AE7"/>
    <mergeCell ref="G8:H8"/>
    <mergeCell ref="I8:J8"/>
    <mergeCell ref="L8:M8"/>
    <mergeCell ref="AA8:AB8"/>
    <mergeCell ref="G7:K7"/>
    <mergeCell ref="L7:P7"/>
    <mergeCell ref="Q7:U7"/>
    <mergeCell ref="V7:Z7"/>
    <mergeCell ref="N8:O8"/>
    <mergeCell ref="Q8:R8"/>
    <mergeCell ref="S8:T8"/>
    <mergeCell ref="V8:W8"/>
  </mergeCells>
  <phoneticPr fontId="0" type="noConversion"/>
  <hyperlinks>
    <hyperlink ref="G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enableFormatConditionsCalculation="0">
    <tabColor rgb="FFC1DFFF"/>
  </sheetPr>
  <dimension ref="A1:T144"/>
  <sheetViews>
    <sheetView workbookViewId="0">
      <selection sqref="A1:XFD1048576"/>
    </sheetView>
  </sheetViews>
  <sheetFormatPr defaultColWidth="8.85546875" defaultRowHeight="12.75"/>
  <cols>
    <col min="1" max="1" width="8.85546875" customWidth="1"/>
    <col min="2" max="2" width="62.7109375" customWidth="1"/>
    <col min="3" max="3" width="10.42578125" customWidth="1"/>
    <col min="4" max="13" width="11.28515625" bestFit="1" customWidth="1"/>
    <col min="15" max="17" width="11.7109375" customWidth="1"/>
    <col min="19" max="20" width="9" bestFit="1" customWidth="1"/>
  </cols>
  <sheetData>
    <row r="1" spans="1:20">
      <c r="A1" s="1342" t="s">
        <v>852</v>
      </c>
      <c r="F1" s="230" t="s">
        <v>1019</v>
      </c>
    </row>
    <row r="3" spans="1:20">
      <c r="A3" s="1342" t="s">
        <v>66</v>
      </c>
    </row>
    <row r="6" spans="1:20" s="852" customFormat="1" ht="15.75" customHeight="1">
      <c r="A6" s="980"/>
      <c r="B6" s="1350" t="s">
        <v>67</v>
      </c>
      <c r="C6" s="295"/>
      <c r="D6" s="784"/>
      <c r="E6" s="784"/>
      <c r="F6" s="784"/>
      <c r="G6" s="784"/>
      <c r="H6" s="784"/>
      <c r="I6" s="784"/>
      <c r="J6" s="784"/>
      <c r="K6" s="784"/>
      <c r="L6" s="784"/>
      <c r="M6" s="784"/>
      <c r="N6" s="784"/>
      <c r="O6" s="989"/>
      <c r="P6" s="989"/>
      <c r="Q6" s="989"/>
      <c r="R6" s="982"/>
      <c r="S6" s="784"/>
      <c r="T6" s="784"/>
    </row>
    <row r="7" spans="1:20" ht="13.5" thickBot="1">
      <c r="A7" s="231"/>
      <c r="B7" s="231"/>
      <c r="C7" s="291"/>
      <c r="D7" s="231"/>
      <c r="E7" s="231"/>
      <c r="F7" s="231"/>
      <c r="G7" s="231"/>
      <c r="H7" s="231"/>
      <c r="I7" s="231"/>
      <c r="J7" s="231"/>
      <c r="K7" s="231"/>
      <c r="L7" s="231"/>
      <c r="M7" s="231"/>
      <c r="N7" s="231"/>
      <c r="O7" s="231"/>
      <c r="P7" s="231"/>
      <c r="Q7" s="231"/>
      <c r="R7" s="235"/>
      <c r="S7" s="231"/>
      <c r="T7" s="231"/>
    </row>
    <row r="8" spans="1:20" ht="15.75" customHeight="1">
      <c r="A8" s="231"/>
      <c r="B8" s="1885" t="s">
        <v>67</v>
      </c>
      <c r="C8" s="1889" t="s">
        <v>31</v>
      </c>
      <c r="D8" s="1351" t="s">
        <v>116</v>
      </c>
      <c r="E8" s="1352"/>
      <c r="F8" s="1352"/>
      <c r="G8" s="1352"/>
      <c r="H8" s="292"/>
      <c r="I8" s="1352" t="s">
        <v>117</v>
      </c>
      <c r="J8" s="293"/>
      <c r="K8" s="293"/>
      <c r="L8" s="293"/>
      <c r="M8" s="292"/>
      <c r="N8" s="231"/>
      <c r="O8" s="1353" t="s">
        <v>116</v>
      </c>
      <c r="P8" s="1354"/>
      <c r="Q8" s="1355"/>
      <c r="R8" s="235"/>
      <c r="S8" s="1353" t="s">
        <v>117</v>
      </c>
      <c r="T8" s="1355"/>
    </row>
    <row r="9" spans="1:20" ht="25.5">
      <c r="A9" s="231"/>
      <c r="B9" s="1886"/>
      <c r="C9" s="1890"/>
      <c r="D9" s="1356" t="s">
        <v>32</v>
      </c>
      <c r="E9" s="1357" t="s">
        <v>33</v>
      </c>
      <c r="F9" s="1357" t="s">
        <v>29</v>
      </c>
      <c r="G9" s="1357" t="s">
        <v>34</v>
      </c>
      <c r="H9" s="1358" t="s">
        <v>35</v>
      </c>
      <c r="I9" s="1359" t="s">
        <v>118</v>
      </c>
      <c r="J9" s="1357" t="s">
        <v>136</v>
      </c>
      <c r="K9" s="1357" t="s">
        <v>137</v>
      </c>
      <c r="L9" s="1357" t="s">
        <v>138</v>
      </c>
      <c r="M9" s="1358" t="s">
        <v>139</v>
      </c>
      <c r="N9" s="231"/>
      <c r="O9" s="1360" t="s">
        <v>126</v>
      </c>
      <c r="P9" s="1361" t="s">
        <v>127</v>
      </c>
      <c r="Q9" s="1362" t="s">
        <v>245</v>
      </c>
      <c r="R9" s="235"/>
      <c r="S9" s="1360" t="s">
        <v>127</v>
      </c>
      <c r="T9" s="1362" t="s">
        <v>128</v>
      </c>
    </row>
    <row r="10" spans="1:20" s="852" customFormat="1" ht="15.75" customHeight="1">
      <c r="A10" s="980"/>
      <c r="B10" s="988" t="s">
        <v>185</v>
      </c>
      <c r="C10" s="981" t="s">
        <v>14</v>
      </c>
      <c r="D10" s="1363">
        <v>17.600000000000001</v>
      </c>
      <c r="E10" s="1364">
        <v>18.100000000000001</v>
      </c>
      <c r="F10" s="1364">
        <v>20.7</v>
      </c>
      <c r="G10" s="1364">
        <v>15.3</v>
      </c>
      <c r="H10" s="1365">
        <v>14.6</v>
      </c>
      <c r="I10" s="1364">
        <v>13.4</v>
      </c>
      <c r="J10" s="1366">
        <v>14.1</v>
      </c>
      <c r="K10" s="1366">
        <v>13.1</v>
      </c>
      <c r="L10" s="1366">
        <v>13.1</v>
      </c>
      <c r="M10" s="1365">
        <v>13.8</v>
      </c>
      <c r="N10" s="989"/>
      <c r="O10" s="232">
        <v>56.4</v>
      </c>
      <c r="P10" s="233">
        <v>29.9</v>
      </c>
      <c r="Q10" s="234">
        <v>86.3</v>
      </c>
      <c r="R10" s="235"/>
      <c r="S10" s="232">
        <v>67.5</v>
      </c>
      <c r="T10" s="1367">
        <v>-0.2178447276940905</v>
      </c>
    </row>
    <row r="11" spans="1:20" s="852" customFormat="1" ht="15.75" customHeight="1">
      <c r="A11" s="980"/>
      <c r="B11" s="988" t="s">
        <v>186</v>
      </c>
      <c r="C11" s="981" t="s">
        <v>14</v>
      </c>
      <c r="D11" s="1368">
        <v>17</v>
      </c>
      <c r="E11" s="1369">
        <v>17.100000000000001</v>
      </c>
      <c r="F11" s="1369">
        <v>19</v>
      </c>
      <c r="G11" s="1369">
        <v>14.15</v>
      </c>
      <c r="H11" s="1370">
        <v>13.5</v>
      </c>
      <c r="I11" s="1369">
        <v>12.7</v>
      </c>
      <c r="J11" s="1371">
        <v>13.15</v>
      </c>
      <c r="K11" s="1371">
        <v>12.3</v>
      </c>
      <c r="L11" s="1371">
        <v>12.3</v>
      </c>
      <c r="M11" s="1370">
        <v>12.85</v>
      </c>
      <c r="N11" s="989"/>
      <c r="O11" s="232">
        <v>53.1</v>
      </c>
      <c r="P11" s="233">
        <v>27.65</v>
      </c>
      <c r="Q11" s="234">
        <v>80.75</v>
      </c>
      <c r="R11" s="235"/>
      <c r="S11" s="232">
        <v>63.3</v>
      </c>
      <c r="T11" s="1367">
        <v>-0.21609907120743044</v>
      </c>
    </row>
    <row r="12" spans="1:20" s="852" customFormat="1" ht="15.75" customHeight="1">
      <c r="A12" s="980"/>
      <c r="B12" s="988" t="s">
        <v>660</v>
      </c>
      <c r="C12" s="981" t="s">
        <v>14</v>
      </c>
      <c r="D12" s="1372">
        <v>0.59999999999999787</v>
      </c>
      <c r="E12" s="1373">
        <v>1</v>
      </c>
      <c r="F12" s="1373">
        <v>1.7</v>
      </c>
      <c r="G12" s="1373">
        <v>1.1499999999999999</v>
      </c>
      <c r="H12" s="1374">
        <v>1.1000000000000001</v>
      </c>
      <c r="I12" s="1375">
        <v>0.70000000000000107</v>
      </c>
      <c r="J12" s="1373">
        <v>0.94999999999999929</v>
      </c>
      <c r="K12" s="1373">
        <v>0.80000000000000071</v>
      </c>
      <c r="L12" s="1373">
        <v>0.80000000000000071</v>
      </c>
      <c r="M12" s="1374">
        <v>0.94999999999999929</v>
      </c>
      <c r="N12" s="989"/>
      <c r="O12" s="232">
        <v>3.2999999999999936</v>
      </c>
      <c r="P12" s="233">
        <v>2.25</v>
      </c>
      <c r="Q12" s="234">
        <v>5.5499999999999936</v>
      </c>
      <c r="R12" s="235"/>
      <c r="S12" s="232">
        <v>4.2</v>
      </c>
      <c r="T12" s="1367">
        <v>-0.24324324324324217</v>
      </c>
    </row>
    <row r="13" spans="1:20" s="852" customFormat="1" ht="15.75" customHeight="1">
      <c r="A13" s="980"/>
      <c r="B13" s="988" t="s">
        <v>188</v>
      </c>
      <c r="C13" s="981" t="s">
        <v>14</v>
      </c>
      <c r="D13" s="1368">
        <v>-0.7</v>
      </c>
      <c r="E13" s="1369">
        <v>3.8</v>
      </c>
      <c r="F13" s="1369">
        <v>5.8</v>
      </c>
      <c r="G13" s="1369">
        <v>5.4</v>
      </c>
      <c r="H13" s="1370">
        <v>5.0999999999999996</v>
      </c>
      <c r="I13" s="1369">
        <v>4.8</v>
      </c>
      <c r="J13" s="1371">
        <v>5</v>
      </c>
      <c r="K13" s="1371">
        <v>4.7</v>
      </c>
      <c r="L13" s="1371">
        <v>4.7</v>
      </c>
      <c r="M13" s="1370">
        <v>4.9000000000000004</v>
      </c>
      <c r="N13" s="989"/>
      <c r="O13" s="232">
        <v>8.9</v>
      </c>
      <c r="P13" s="233">
        <v>10.5</v>
      </c>
      <c r="Q13" s="234">
        <v>19.399999999999999</v>
      </c>
      <c r="R13" s="235"/>
      <c r="S13" s="232">
        <v>24.1</v>
      </c>
      <c r="T13" s="1367">
        <v>0.24226804123711357</v>
      </c>
    </row>
    <row r="14" spans="1:20" s="852" customFormat="1" ht="15.75" customHeight="1" thickBot="1">
      <c r="A14" s="980"/>
      <c r="B14" s="990" t="s">
        <v>420</v>
      </c>
      <c r="C14" s="983" t="s">
        <v>14</v>
      </c>
      <c r="D14" s="775">
        <v>1.3</v>
      </c>
      <c r="E14" s="778">
        <v>-2.8</v>
      </c>
      <c r="F14" s="778">
        <v>-4.0999999999999996</v>
      </c>
      <c r="G14" s="778">
        <v>-4.25</v>
      </c>
      <c r="H14" s="777">
        <v>-4</v>
      </c>
      <c r="I14" s="776">
        <v>-4.0999999999999996</v>
      </c>
      <c r="J14" s="778">
        <v>-4.05</v>
      </c>
      <c r="K14" s="778">
        <v>-3.9</v>
      </c>
      <c r="L14" s="778">
        <v>-3.9</v>
      </c>
      <c r="M14" s="777">
        <v>-3.95</v>
      </c>
      <c r="N14" s="989"/>
      <c r="O14" s="236">
        <v>-5.6000000000000059</v>
      </c>
      <c r="P14" s="237">
        <v>-8.25</v>
      </c>
      <c r="Q14" s="238">
        <v>-13.85</v>
      </c>
      <c r="R14" s="235"/>
      <c r="S14" s="236">
        <v>-19.899999999999999</v>
      </c>
      <c r="T14" s="1376">
        <v>0.43682310469314001</v>
      </c>
    </row>
    <row r="15" spans="1:20">
      <c r="A15" s="231"/>
      <c r="B15" s="231"/>
      <c r="C15" s="291"/>
      <c r="D15" s="782"/>
      <c r="E15" s="782"/>
      <c r="F15" s="782"/>
      <c r="G15" s="782"/>
      <c r="H15" s="782"/>
      <c r="I15" s="782"/>
      <c r="J15" s="782"/>
      <c r="K15" s="782"/>
      <c r="L15" s="782"/>
      <c r="M15" s="782"/>
      <c r="N15" s="782"/>
      <c r="O15" s="782"/>
      <c r="P15" s="782"/>
      <c r="Q15" s="782"/>
      <c r="R15" s="783"/>
      <c r="S15" s="782"/>
      <c r="T15" s="782"/>
    </row>
    <row r="16" spans="1:20" s="852" customFormat="1" ht="15.75" customHeight="1">
      <c r="A16" s="980"/>
      <c r="B16" s="1350" t="s">
        <v>421</v>
      </c>
      <c r="C16" s="295"/>
      <c r="D16" s="784"/>
      <c r="E16" s="784"/>
      <c r="F16" s="784"/>
      <c r="G16" s="784"/>
      <c r="H16" s="784"/>
      <c r="I16" s="784"/>
      <c r="J16" s="784"/>
      <c r="K16" s="784"/>
      <c r="L16" s="784"/>
      <c r="M16" s="784"/>
      <c r="N16" s="784"/>
      <c r="O16" s="989"/>
      <c r="P16" s="989"/>
      <c r="Q16" s="989"/>
      <c r="R16" s="982"/>
      <c r="S16" s="784"/>
      <c r="T16" s="784"/>
    </row>
    <row r="17" spans="1:20" ht="13.5" thickBot="1">
      <c r="A17" s="231"/>
      <c r="B17" s="1377"/>
      <c r="C17" s="291"/>
      <c r="D17" s="784"/>
      <c r="E17" s="784"/>
      <c r="F17" s="784"/>
      <c r="G17" s="784"/>
      <c r="H17" s="784"/>
      <c r="I17" s="784"/>
      <c r="J17" s="784"/>
      <c r="K17" s="784"/>
      <c r="L17" s="784"/>
      <c r="M17" s="784"/>
      <c r="N17" s="783"/>
      <c r="O17" s="783"/>
      <c r="P17" s="783"/>
      <c r="Q17" s="783"/>
      <c r="R17" s="783"/>
      <c r="S17" s="783"/>
      <c r="T17" s="783"/>
    </row>
    <row r="18" spans="1:20" ht="15.75" customHeight="1">
      <c r="A18" s="231"/>
      <c r="B18" s="1885" t="s">
        <v>421</v>
      </c>
      <c r="C18" s="1889" t="s">
        <v>31</v>
      </c>
      <c r="D18" s="785" t="s">
        <v>116</v>
      </c>
      <c r="E18" s="786"/>
      <c r="F18" s="786"/>
      <c r="G18" s="786"/>
      <c r="H18" s="787"/>
      <c r="I18" s="786" t="s">
        <v>117</v>
      </c>
      <c r="J18" s="788"/>
      <c r="K18" s="788"/>
      <c r="L18" s="788"/>
      <c r="M18" s="787"/>
      <c r="N18" s="783"/>
      <c r="O18" s="783"/>
      <c r="P18" s="783"/>
      <c r="Q18" s="783"/>
      <c r="R18" s="783"/>
      <c r="S18" s="783"/>
      <c r="T18" s="783"/>
    </row>
    <row r="19" spans="1:20" ht="26.25" customHeight="1">
      <c r="A19" s="231"/>
      <c r="B19" s="1886"/>
      <c r="C19" s="1890"/>
      <c r="D19" s="789" t="s">
        <v>32</v>
      </c>
      <c r="E19" s="790" t="s">
        <v>33</v>
      </c>
      <c r="F19" s="790" t="s">
        <v>29</v>
      </c>
      <c r="G19" s="790" t="s">
        <v>34</v>
      </c>
      <c r="H19" s="791" t="s">
        <v>35</v>
      </c>
      <c r="I19" s="792" t="s">
        <v>118</v>
      </c>
      <c r="J19" s="790" t="s">
        <v>136</v>
      </c>
      <c r="K19" s="790" t="s">
        <v>137</v>
      </c>
      <c r="L19" s="790" t="s">
        <v>138</v>
      </c>
      <c r="M19" s="791" t="s">
        <v>139</v>
      </c>
      <c r="N19" s="783"/>
      <c r="O19" s="783"/>
      <c r="P19" s="783"/>
      <c r="Q19" s="783"/>
      <c r="R19" s="783"/>
      <c r="S19" s="783"/>
      <c r="T19" s="783"/>
    </row>
    <row r="20" spans="1:20">
      <c r="A20" s="231"/>
      <c r="B20" s="1378"/>
      <c r="C20" s="296"/>
      <c r="D20" s="793"/>
      <c r="E20" s="794"/>
      <c r="F20" s="794"/>
      <c r="G20" s="794"/>
      <c r="H20" s="795"/>
      <c r="I20" s="794"/>
      <c r="J20" s="794"/>
      <c r="K20" s="794"/>
      <c r="L20" s="794"/>
      <c r="M20" s="795"/>
      <c r="N20" s="783"/>
      <c r="O20" s="783"/>
      <c r="P20" s="783"/>
      <c r="Q20" s="783"/>
      <c r="R20" s="783"/>
      <c r="S20" s="783"/>
      <c r="T20" s="783"/>
    </row>
    <row r="21" spans="1:20" ht="15.75" customHeight="1">
      <c r="A21" s="231"/>
      <c r="B21" s="1379" t="s">
        <v>422</v>
      </c>
      <c r="C21" s="488" t="s">
        <v>243</v>
      </c>
      <c r="D21" s="1380">
        <v>2248.9503331799997</v>
      </c>
      <c r="E21" s="1369">
        <v>2150.7974694199997</v>
      </c>
      <c r="F21" s="1369">
        <v>2179.2925999999998</v>
      </c>
      <c r="G21" s="1369">
        <v>2157.856080333333</v>
      </c>
      <c r="H21" s="1370">
        <v>2157.856080333333</v>
      </c>
      <c r="I21" s="1369">
        <v>2179.4346411366664</v>
      </c>
      <c r="J21" s="1371">
        <v>2201.2289875480333</v>
      </c>
      <c r="K21" s="1371">
        <v>2223.2412774235136</v>
      </c>
      <c r="L21" s="1371">
        <v>2245.4736901977485</v>
      </c>
      <c r="M21" s="1370">
        <v>2267.9284270997259</v>
      </c>
      <c r="N21" s="783"/>
      <c r="O21" s="783"/>
      <c r="P21" s="783"/>
      <c r="Q21" s="783"/>
      <c r="R21" s="783"/>
      <c r="S21" s="783"/>
      <c r="T21" s="783"/>
    </row>
    <row r="22" spans="1:20" ht="15.75" customHeight="1">
      <c r="A22" s="231"/>
      <c r="B22" s="1379" t="s">
        <v>583</v>
      </c>
      <c r="C22" s="488" t="s">
        <v>243</v>
      </c>
      <c r="D22" s="1368">
        <v>14.9925</v>
      </c>
      <c r="E22" s="1369">
        <v>-98.152863759999931</v>
      </c>
      <c r="F22" s="1369">
        <v>28.495130580000023</v>
      </c>
      <c r="G22" s="1369">
        <v>-21.436519666666754</v>
      </c>
      <c r="H22" s="1370">
        <v>0</v>
      </c>
      <c r="I22" s="1369">
        <v>21.578560803333403</v>
      </c>
      <c r="J22" s="1371">
        <v>21.79434641136686</v>
      </c>
      <c r="K22" s="1371">
        <v>22.012289875480292</v>
      </c>
      <c r="L22" s="1371">
        <v>22.232412774234945</v>
      </c>
      <c r="M22" s="1370">
        <v>22.454736901977412</v>
      </c>
      <c r="N22" s="783"/>
      <c r="O22" s="783"/>
      <c r="P22" s="783"/>
      <c r="Q22" s="783"/>
      <c r="R22" s="783"/>
      <c r="S22" s="783"/>
      <c r="T22" s="783"/>
    </row>
    <row r="23" spans="1:20" ht="15.75" customHeight="1">
      <c r="A23" s="231"/>
      <c r="B23" s="991" t="s">
        <v>580</v>
      </c>
      <c r="C23" s="488" t="s">
        <v>243</v>
      </c>
      <c r="D23" s="280">
        <v>14.9925</v>
      </c>
      <c r="E23" s="281">
        <v>13.302100000000001</v>
      </c>
      <c r="F23" s="281">
        <v>18.3856</v>
      </c>
      <c r="G23" s="281">
        <v>14.914999999999999</v>
      </c>
      <c r="H23" s="282">
        <v>14.75</v>
      </c>
      <c r="I23" s="281">
        <v>15.8</v>
      </c>
      <c r="J23" s="283">
        <v>17.100000000000001</v>
      </c>
      <c r="K23" s="283">
        <v>18.100000000000001</v>
      </c>
      <c r="L23" s="283">
        <v>18.100000000000001</v>
      </c>
      <c r="M23" s="282">
        <v>18.100000000000001</v>
      </c>
      <c r="N23" s="783"/>
      <c r="O23" s="783"/>
      <c r="P23" s="783"/>
      <c r="Q23" s="783"/>
      <c r="R23" s="783"/>
      <c r="S23" s="783"/>
      <c r="T23" s="783"/>
    </row>
    <row r="24" spans="1:20" ht="15.75" customHeight="1">
      <c r="A24" s="231"/>
      <c r="B24" s="991" t="s">
        <v>581</v>
      </c>
      <c r="C24" s="488" t="s">
        <v>243</v>
      </c>
      <c r="D24" s="280">
        <v>0</v>
      </c>
      <c r="E24" s="281">
        <v>-0.42820000000000003</v>
      </c>
      <c r="F24" s="281">
        <v>-0.84540000000000004</v>
      </c>
      <c r="G24" s="281">
        <v>-0.47</v>
      </c>
      <c r="H24" s="282">
        <v>-0.44800000000000006</v>
      </c>
      <c r="I24" s="281">
        <v>-0.72</v>
      </c>
      <c r="J24" s="283">
        <v>-0.77500000000000002</v>
      </c>
      <c r="K24" s="283">
        <v>-0.77500000000000002</v>
      </c>
      <c r="L24" s="283">
        <v>-0.77500000000000002</v>
      </c>
      <c r="M24" s="282">
        <v>-0.77500000000000002</v>
      </c>
      <c r="N24" s="783"/>
      <c r="O24" s="783"/>
      <c r="P24" s="783"/>
      <c r="Q24" s="783"/>
      <c r="R24" s="783"/>
      <c r="S24" s="783"/>
      <c r="T24" s="783"/>
    </row>
    <row r="25" spans="1:20" ht="15.75" customHeight="1">
      <c r="A25" s="231"/>
      <c r="B25" s="991" t="s">
        <v>584</v>
      </c>
      <c r="C25" s="488" t="s">
        <v>243</v>
      </c>
      <c r="D25" s="280">
        <v>0</v>
      </c>
      <c r="E25" s="281">
        <v>-111.02676375999994</v>
      </c>
      <c r="F25" s="281">
        <v>10.954930580000022</v>
      </c>
      <c r="G25" s="281">
        <v>-35.881519666666755</v>
      </c>
      <c r="H25" s="282">
        <v>-14.302</v>
      </c>
      <c r="I25" s="281">
        <v>6.4985608033334019</v>
      </c>
      <c r="J25" s="283">
        <v>5.4693464113668586</v>
      </c>
      <c r="K25" s="283">
        <v>4.6872898754802907</v>
      </c>
      <c r="L25" s="283">
        <v>4.9074127742349436</v>
      </c>
      <c r="M25" s="282">
        <v>5.1297369019774113</v>
      </c>
      <c r="N25" s="783"/>
      <c r="O25" s="783"/>
      <c r="P25" s="783"/>
      <c r="Q25" s="783"/>
      <c r="R25" s="783"/>
      <c r="S25" s="783"/>
      <c r="T25" s="783"/>
    </row>
    <row r="26" spans="1:20" ht="15.75" customHeight="1">
      <c r="A26" s="231"/>
      <c r="B26" s="1381"/>
      <c r="C26" s="297"/>
      <c r="D26" s="1382"/>
      <c r="E26" s="1383"/>
      <c r="F26" s="1383"/>
      <c r="G26" s="1383"/>
      <c r="H26" s="1384"/>
      <c r="I26" s="1383"/>
      <c r="J26" s="1383"/>
      <c r="K26" s="1383"/>
      <c r="L26" s="1383"/>
      <c r="M26" s="1384"/>
      <c r="N26" s="783"/>
      <c r="O26" s="783"/>
      <c r="P26" s="783"/>
      <c r="Q26" s="783"/>
      <c r="R26" s="783"/>
      <c r="S26" s="783"/>
      <c r="T26" s="783"/>
    </row>
    <row r="27" spans="1:20" ht="15.75" customHeight="1">
      <c r="A27" s="231"/>
      <c r="B27" s="1379" t="s">
        <v>427</v>
      </c>
      <c r="C27" s="488" t="s">
        <v>51</v>
      </c>
      <c r="D27" s="1380">
        <v>13175.31223220985</v>
      </c>
      <c r="E27" s="1369">
        <v>12752.515874775498</v>
      </c>
      <c r="F27" s="1369">
        <v>12653.150485799997</v>
      </c>
      <c r="G27" s="1369">
        <v>12355.350485799998</v>
      </c>
      <c r="H27" s="1370">
        <v>12355.350485799998</v>
      </c>
      <c r="I27" s="1369">
        <v>12478.904140633249</v>
      </c>
      <c r="J27" s="1371">
        <v>12603.693332014831</v>
      </c>
      <c r="K27" s="1371">
        <v>12729.730415310229</v>
      </c>
      <c r="L27" s="1371">
        <v>12857.027869438582</v>
      </c>
      <c r="M27" s="1370">
        <v>12985.598298108218</v>
      </c>
      <c r="N27" s="783"/>
      <c r="O27" s="783"/>
      <c r="P27" s="783"/>
      <c r="Q27" s="783"/>
      <c r="R27" s="783"/>
      <c r="S27" s="783"/>
      <c r="T27" s="783"/>
    </row>
    <row r="28" spans="1:20" ht="15.75" customHeight="1">
      <c r="A28" s="231"/>
      <c r="B28" s="1385" t="s">
        <v>424</v>
      </c>
      <c r="C28" s="488" t="s">
        <v>51</v>
      </c>
      <c r="D28" s="1368">
        <v>56.017452167050578</v>
      </c>
      <c r="E28" s="1369">
        <v>-422.7963574343521</v>
      </c>
      <c r="F28" s="1369">
        <v>-99.365388975500537</v>
      </c>
      <c r="G28" s="1369">
        <v>-297.8</v>
      </c>
      <c r="H28" s="1370">
        <v>0</v>
      </c>
      <c r="I28" s="1369">
        <v>123.55365483325113</v>
      </c>
      <c r="J28" s="1371">
        <v>124.78919138158199</v>
      </c>
      <c r="K28" s="1371">
        <v>126.03708329539768</v>
      </c>
      <c r="L28" s="1371">
        <v>127.29745412835291</v>
      </c>
      <c r="M28" s="1370">
        <v>128.57042866963639</v>
      </c>
      <c r="N28" s="783"/>
      <c r="O28" s="783"/>
      <c r="P28" s="783"/>
      <c r="Q28" s="783"/>
      <c r="R28" s="783"/>
      <c r="S28" s="783"/>
      <c r="T28" s="783"/>
    </row>
    <row r="29" spans="1:20" ht="15.75" customHeight="1">
      <c r="A29" s="231"/>
      <c r="B29" s="992" t="s">
        <v>661</v>
      </c>
      <c r="C29" s="488" t="s">
        <v>51</v>
      </c>
      <c r="D29" s="280">
        <v>56.017452167050578</v>
      </c>
      <c r="E29" s="281">
        <v>-422.7963574343521</v>
      </c>
      <c r="F29" s="281">
        <v>-99.365388975500537</v>
      </c>
      <c r="G29" s="281">
        <v>-171.3</v>
      </c>
      <c r="H29" s="282">
        <v>123.6</v>
      </c>
      <c r="I29" s="281">
        <v>123.55365483325113</v>
      </c>
      <c r="J29" s="283">
        <v>124.78919138158199</v>
      </c>
      <c r="K29" s="283">
        <v>126.03708329539768</v>
      </c>
      <c r="L29" s="283">
        <v>127.29745412835291</v>
      </c>
      <c r="M29" s="282">
        <v>128.57042866963639</v>
      </c>
      <c r="N29" s="783"/>
      <c r="O29" s="783"/>
      <c r="P29" s="783"/>
      <c r="Q29" s="783"/>
      <c r="R29" s="783"/>
      <c r="S29" s="783"/>
      <c r="T29" s="783"/>
    </row>
    <row r="30" spans="1:20" ht="15.75" customHeight="1">
      <c r="A30" s="231"/>
      <c r="B30" s="992" t="s">
        <v>662</v>
      </c>
      <c r="C30" s="488" t="s">
        <v>51</v>
      </c>
      <c r="D30" s="280">
        <v>0</v>
      </c>
      <c r="E30" s="281">
        <v>0</v>
      </c>
      <c r="F30" s="281">
        <v>0</v>
      </c>
      <c r="G30" s="281">
        <v>0</v>
      </c>
      <c r="H30" s="282">
        <v>0</v>
      </c>
      <c r="I30" s="281">
        <v>0</v>
      </c>
      <c r="J30" s="283">
        <v>0</v>
      </c>
      <c r="K30" s="283">
        <v>0</v>
      </c>
      <c r="L30" s="283">
        <v>0</v>
      </c>
      <c r="M30" s="282">
        <v>0</v>
      </c>
      <c r="N30" s="783"/>
      <c r="O30" s="783"/>
      <c r="P30" s="783"/>
      <c r="Q30" s="783"/>
      <c r="R30" s="783"/>
      <c r="S30" s="783"/>
      <c r="T30" s="783"/>
    </row>
    <row r="31" spans="1:20" ht="15.75" customHeight="1">
      <c r="A31" s="231"/>
      <c r="B31" s="992" t="s">
        <v>663</v>
      </c>
      <c r="C31" s="488" t="s">
        <v>51</v>
      </c>
      <c r="D31" s="280">
        <v>0</v>
      </c>
      <c r="E31" s="281">
        <v>0</v>
      </c>
      <c r="F31" s="281">
        <v>0</v>
      </c>
      <c r="G31" s="281">
        <v>0</v>
      </c>
      <c r="H31" s="282">
        <v>0</v>
      </c>
      <c r="I31" s="281">
        <v>0</v>
      </c>
      <c r="J31" s="283">
        <v>0</v>
      </c>
      <c r="K31" s="283">
        <v>0</v>
      </c>
      <c r="L31" s="283">
        <v>0</v>
      </c>
      <c r="M31" s="282">
        <v>0</v>
      </c>
      <c r="N31" s="783"/>
      <c r="O31" s="783"/>
      <c r="P31" s="783"/>
      <c r="Q31" s="783"/>
      <c r="R31" s="783"/>
      <c r="S31" s="783"/>
      <c r="T31" s="783"/>
    </row>
    <row r="32" spans="1:20" ht="15.75" customHeight="1">
      <c r="A32" s="231"/>
      <c r="B32" s="992" t="s">
        <v>585</v>
      </c>
      <c r="C32" s="488" t="s">
        <v>51</v>
      </c>
      <c r="D32" s="280">
        <v>0</v>
      </c>
      <c r="E32" s="281">
        <v>0</v>
      </c>
      <c r="F32" s="281">
        <v>0</v>
      </c>
      <c r="G32" s="281">
        <v>0</v>
      </c>
      <c r="H32" s="282">
        <v>0</v>
      </c>
      <c r="I32" s="281">
        <v>0</v>
      </c>
      <c r="J32" s="283">
        <v>0</v>
      </c>
      <c r="K32" s="283">
        <v>0</v>
      </c>
      <c r="L32" s="283">
        <v>0</v>
      </c>
      <c r="M32" s="282">
        <v>0</v>
      </c>
      <c r="N32" s="783"/>
      <c r="O32" s="783"/>
      <c r="P32" s="783"/>
      <c r="Q32" s="783"/>
      <c r="R32" s="783"/>
      <c r="S32" s="783"/>
      <c r="T32" s="783"/>
    </row>
    <row r="33" spans="1:20" ht="15.75" customHeight="1">
      <c r="A33" s="231"/>
      <c r="B33" s="992" t="s">
        <v>586</v>
      </c>
      <c r="C33" s="488" t="s">
        <v>51</v>
      </c>
      <c r="D33" s="280">
        <v>0</v>
      </c>
      <c r="E33" s="281">
        <v>0</v>
      </c>
      <c r="F33" s="281">
        <v>0</v>
      </c>
      <c r="G33" s="281">
        <v>0</v>
      </c>
      <c r="H33" s="282">
        <v>0</v>
      </c>
      <c r="I33" s="281">
        <v>0</v>
      </c>
      <c r="J33" s="283">
        <v>0</v>
      </c>
      <c r="K33" s="283">
        <v>0</v>
      </c>
      <c r="L33" s="283">
        <v>0</v>
      </c>
      <c r="M33" s="282">
        <v>0</v>
      </c>
      <c r="N33" s="783"/>
      <c r="O33" s="783"/>
      <c r="P33" s="783"/>
      <c r="Q33" s="783"/>
      <c r="R33" s="783"/>
      <c r="S33" s="783"/>
      <c r="T33" s="783"/>
    </row>
    <row r="34" spans="1:20" ht="15.75" customHeight="1">
      <c r="A34" s="231"/>
      <c r="B34" s="992" t="s">
        <v>587</v>
      </c>
      <c r="C34" s="488" t="s">
        <v>51</v>
      </c>
      <c r="D34" s="280">
        <v>0</v>
      </c>
      <c r="E34" s="281">
        <v>0</v>
      </c>
      <c r="F34" s="281">
        <v>0</v>
      </c>
      <c r="G34" s="281">
        <v>-126.5</v>
      </c>
      <c r="H34" s="282">
        <v>-123.6</v>
      </c>
      <c r="I34" s="281">
        <v>0</v>
      </c>
      <c r="J34" s="283">
        <v>0</v>
      </c>
      <c r="K34" s="283">
        <v>0</v>
      </c>
      <c r="L34" s="283">
        <v>0</v>
      </c>
      <c r="M34" s="282">
        <v>0</v>
      </c>
      <c r="N34" s="783"/>
      <c r="O34" s="783"/>
      <c r="P34" s="783"/>
      <c r="Q34" s="783"/>
      <c r="R34" s="783"/>
      <c r="S34" s="783"/>
      <c r="T34" s="783"/>
    </row>
    <row r="35" spans="1:20" ht="15.75" customHeight="1">
      <c r="A35" s="231"/>
      <c r="B35" s="1381"/>
      <c r="C35" s="297"/>
      <c r="D35" s="1386"/>
      <c r="E35" s="298"/>
      <c r="F35" s="298"/>
      <c r="G35" s="298"/>
      <c r="H35" s="299"/>
      <c r="I35" s="298"/>
      <c r="J35" s="298"/>
      <c r="K35" s="298"/>
      <c r="L35" s="298"/>
      <c r="M35" s="299"/>
      <c r="N35" s="783"/>
      <c r="O35" s="783"/>
      <c r="P35" s="783"/>
      <c r="Q35" s="783"/>
      <c r="R35" s="783"/>
      <c r="S35" s="783"/>
      <c r="T35" s="783"/>
    </row>
    <row r="36" spans="1:20" ht="15.75" customHeight="1">
      <c r="A36" s="231"/>
      <c r="B36" s="1379" t="s">
        <v>427</v>
      </c>
      <c r="C36" s="488"/>
      <c r="D36" s="300"/>
      <c r="E36" s="1387"/>
      <c r="F36" s="1387"/>
      <c r="G36" s="1387"/>
      <c r="H36" s="1388"/>
      <c r="I36" s="1387"/>
      <c r="J36" s="1387"/>
      <c r="K36" s="1387"/>
      <c r="L36" s="1387"/>
      <c r="M36" s="1388"/>
      <c r="N36" s="783"/>
      <c r="O36" s="783"/>
      <c r="P36" s="783"/>
      <c r="Q36" s="783"/>
      <c r="R36" s="783"/>
      <c r="S36" s="783"/>
      <c r="T36" s="783"/>
    </row>
    <row r="37" spans="1:20" ht="15.75" customHeight="1">
      <c r="A37" s="231"/>
      <c r="B37" s="991" t="s">
        <v>239</v>
      </c>
      <c r="C37" s="488" t="s">
        <v>51</v>
      </c>
      <c r="D37" s="280">
        <v>7428.8729010000015</v>
      </c>
      <c r="E37" s="281">
        <v>7245.3084919999992</v>
      </c>
      <c r="F37" s="281">
        <v>7216.2041944999992</v>
      </c>
      <c r="G37" s="281">
        <v>7288.3662364449992</v>
      </c>
      <c r="H37" s="282">
        <v>7288.3662364449992</v>
      </c>
      <c r="I37" s="281">
        <v>7361.2498988094494</v>
      </c>
      <c r="J37" s="283">
        <v>7434.862397797544</v>
      </c>
      <c r="K37" s="283">
        <v>7509.2110217755198</v>
      </c>
      <c r="L37" s="283">
        <v>7584.3031319932752</v>
      </c>
      <c r="M37" s="282">
        <v>7660.1461633132076</v>
      </c>
      <c r="N37" s="783"/>
      <c r="O37" s="783"/>
      <c r="P37" s="783"/>
      <c r="Q37" s="783"/>
      <c r="R37" s="783"/>
      <c r="S37" s="783"/>
      <c r="T37" s="783"/>
    </row>
    <row r="38" spans="1:20" ht="15.75" customHeight="1">
      <c r="A38" s="231"/>
      <c r="B38" s="991" t="s">
        <v>238</v>
      </c>
      <c r="C38" s="488" t="s">
        <v>51</v>
      </c>
      <c r="D38" s="280">
        <v>2674.8896592833335</v>
      </c>
      <c r="E38" s="281">
        <v>2491.1796430000004</v>
      </c>
      <c r="F38" s="281">
        <v>2482.1083529999996</v>
      </c>
      <c r="G38" s="281">
        <v>2407.6451024099997</v>
      </c>
      <c r="H38" s="282">
        <v>2407.6451024099997</v>
      </c>
      <c r="I38" s="281">
        <v>2431.7215534340999</v>
      </c>
      <c r="J38" s="283">
        <v>2456.0387689684408</v>
      </c>
      <c r="K38" s="283">
        <v>2480.5991566581251</v>
      </c>
      <c r="L38" s="283">
        <v>2505.4051482247064</v>
      </c>
      <c r="M38" s="282">
        <v>2530.4591997069533</v>
      </c>
      <c r="N38" s="783"/>
      <c r="O38" s="783"/>
      <c r="P38" s="783"/>
      <c r="Q38" s="783"/>
      <c r="R38" s="783"/>
      <c r="S38" s="783"/>
      <c r="T38" s="783"/>
    </row>
    <row r="39" spans="1:20" ht="15.75" customHeight="1">
      <c r="A39" s="231"/>
      <c r="B39" s="991" t="s">
        <v>588</v>
      </c>
      <c r="C39" s="488" t="s">
        <v>51</v>
      </c>
      <c r="D39" s="280">
        <v>3071.5496719265129</v>
      </c>
      <c r="E39" s="281">
        <v>3016.0277397754976</v>
      </c>
      <c r="F39" s="281">
        <v>2954.8379382999997</v>
      </c>
      <c r="G39" s="281">
        <v>2659.3541444699999</v>
      </c>
      <c r="H39" s="282">
        <v>2659.3541444699999</v>
      </c>
      <c r="I39" s="281">
        <v>2685.9476859146998</v>
      </c>
      <c r="J39" s="283">
        <v>2712.8071627738468</v>
      </c>
      <c r="K39" s="283">
        <v>2739.9352344015851</v>
      </c>
      <c r="L39" s="283">
        <v>2767.334586745601</v>
      </c>
      <c r="M39" s="282">
        <v>2795.0079326130572</v>
      </c>
      <c r="N39" s="783"/>
      <c r="O39" s="783"/>
      <c r="P39" s="783"/>
      <c r="Q39" s="783"/>
      <c r="R39" s="783"/>
      <c r="S39" s="783"/>
      <c r="T39" s="783"/>
    </row>
    <row r="40" spans="1:20" ht="15.75" customHeight="1">
      <c r="A40" s="231"/>
      <c r="B40" s="1379" t="s">
        <v>582</v>
      </c>
      <c r="C40" s="488" t="s">
        <v>51</v>
      </c>
      <c r="D40" s="1372">
        <v>13175.31223220985</v>
      </c>
      <c r="E40" s="1375">
        <v>12752.515874775498</v>
      </c>
      <c r="F40" s="1375">
        <v>12653.150485799997</v>
      </c>
      <c r="G40" s="1375">
        <v>12355.365483324998</v>
      </c>
      <c r="H40" s="1374">
        <v>12355.365483324998</v>
      </c>
      <c r="I40" s="1375">
        <v>12478.91913815825</v>
      </c>
      <c r="J40" s="1373">
        <v>12603.708329539832</v>
      </c>
      <c r="K40" s="1373">
        <v>12729.745412835229</v>
      </c>
      <c r="L40" s="1373">
        <v>12857.042866963582</v>
      </c>
      <c r="M40" s="1374">
        <v>12985.613295633219</v>
      </c>
      <c r="N40" s="783"/>
      <c r="O40" s="783"/>
      <c r="P40" s="783"/>
      <c r="Q40" s="783"/>
      <c r="R40" s="783"/>
      <c r="S40" s="783"/>
      <c r="T40" s="783"/>
    </row>
    <row r="41" spans="1:20" ht="15.75" customHeight="1">
      <c r="A41" s="231"/>
      <c r="B41" s="1385"/>
      <c r="C41" s="488"/>
      <c r="D41" s="1382"/>
      <c r="E41" s="1383"/>
      <c r="F41" s="1383"/>
      <c r="G41" s="1383"/>
      <c r="H41" s="1384"/>
      <c r="I41" s="1383"/>
      <c r="J41" s="1383"/>
      <c r="K41" s="1383"/>
      <c r="L41" s="1383"/>
      <c r="M41" s="1384"/>
      <c r="N41" s="783"/>
      <c r="O41" s="783"/>
      <c r="P41" s="783"/>
      <c r="Q41" s="783"/>
      <c r="R41" s="783"/>
      <c r="S41" s="783"/>
      <c r="T41" s="783"/>
    </row>
    <row r="42" spans="1:20" ht="15.75" customHeight="1">
      <c r="A42" s="231"/>
      <c r="B42" s="1385" t="s">
        <v>700</v>
      </c>
      <c r="C42" s="488"/>
      <c r="D42" s="300"/>
      <c r="E42" s="1387"/>
      <c r="F42" s="1387"/>
      <c r="G42" s="1387"/>
      <c r="H42" s="1388"/>
      <c r="I42" s="1387"/>
      <c r="J42" s="1387"/>
      <c r="K42" s="1387"/>
      <c r="L42" s="1387"/>
      <c r="M42" s="1388"/>
      <c r="N42" s="783"/>
      <c r="O42" s="783"/>
      <c r="P42" s="783"/>
      <c r="Q42" s="783"/>
      <c r="R42" s="783"/>
      <c r="S42" s="783"/>
      <c r="T42" s="783"/>
    </row>
    <row r="43" spans="1:20" ht="15.75" customHeight="1">
      <c r="A43" s="231"/>
      <c r="B43" s="991" t="s">
        <v>239</v>
      </c>
      <c r="C43" s="488" t="s">
        <v>701</v>
      </c>
      <c r="D43" s="280">
        <v>37362.5</v>
      </c>
      <c r="E43" s="281">
        <v>38496.5</v>
      </c>
      <c r="F43" s="281">
        <v>42462</v>
      </c>
      <c r="G43" s="281">
        <v>31500</v>
      </c>
      <c r="H43" s="282">
        <v>30345</v>
      </c>
      <c r="I43" s="281">
        <v>28000</v>
      </c>
      <c r="J43" s="283">
        <v>27125</v>
      </c>
      <c r="K43" s="283">
        <v>24675</v>
      </c>
      <c r="L43" s="283">
        <v>24675</v>
      </c>
      <c r="M43" s="282">
        <v>24675</v>
      </c>
      <c r="N43" s="783"/>
      <c r="O43" s="783"/>
      <c r="P43" s="783"/>
      <c r="Q43" s="783"/>
      <c r="R43" s="783"/>
      <c r="S43" s="783"/>
      <c r="T43" s="783"/>
    </row>
    <row r="44" spans="1:20" ht="15.75" customHeight="1">
      <c r="A44" s="231"/>
      <c r="B44" s="991" t="s">
        <v>238</v>
      </c>
      <c r="C44" s="488" t="s">
        <v>701</v>
      </c>
      <c r="D44" s="280">
        <v>28470</v>
      </c>
      <c r="E44" s="281">
        <v>5255</v>
      </c>
      <c r="F44" s="281">
        <v>37230</v>
      </c>
      <c r="G44" s="281">
        <v>30660</v>
      </c>
      <c r="H44" s="282">
        <v>30660</v>
      </c>
      <c r="I44" s="281">
        <v>32850</v>
      </c>
      <c r="J44" s="283">
        <v>39420</v>
      </c>
      <c r="K44" s="283">
        <v>48180</v>
      </c>
      <c r="L44" s="283">
        <v>48180</v>
      </c>
      <c r="M44" s="282">
        <v>48180</v>
      </c>
      <c r="N44" s="783"/>
      <c r="O44" s="783"/>
      <c r="P44" s="783"/>
      <c r="Q44" s="783"/>
      <c r="R44" s="783"/>
      <c r="S44" s="783"/>
      <c r="T44" s="783"/>
    </row>
    <row r="45" spans="1:20" ht="15.75" customHeight="1">
      <c r="A45" s="231"/>
      <c r="B45" s="991" t="s">
        <v>588</v>
      </c>
      <c r="C45" s="488" t="s">
        <v>701</v>
      </c>
      <c r="D45" s="280">
        <v>0</v>
      </c>
      <c r="E45" s="281">
        <v>0</v>
      </c>
      <c r="F45" s="281">
        <v>30000</v>
      </c>
      <c r="G45" s="281">
        <v>89000</v>
      </c>
      <c r="H45" s="282">
        <v>0</v>
      </c>
      <c r="I45" s="281">
        <v>0</v>
      </c>
      <c r="J45" s="283">
        <v>20000</v>
      </c>
      <c r="K45" s="283">
        <v>20000</v>
      </c>
      <c r="L45" s="283">
        <v>0</v>
      </c>
      <c r="M45" s="282">
        <v>20000</v>
      </c>
      <c r="N45" s="783"/>
      <c r="O45" s="783"/>
      <c r="P45" s="783"/>
      <c r="Q45" s="783"/>
      <c r="R45" s="783"/>
      <c r="S45" s="783"/>
      <c r="T45" s="783"/>
    </row>
    <row r="46" spans="1:20" ht="15.75" customHeight="1" thickBot="1">
      <c r="A46" s="231"/>
      <c r="B46" s="1389" t="s">
        <v>702</v>
      </c>
      <c r="C46" s="489" t="s">
        <v>701</v>
      </c>
      <c r="D46" s="775">
        <v>65832.5</v>
      </c>
      <c r="E46" s="776">
        <v>43751.5</v>
      </c>
      <c r="F46" s="776">
        <v>109692</v>
      </c>
      <c r="G46" s="776">
        <v>151160</v>
      </c>
      <c r="H46" s="777">
        <v>61005</v>
      </c>
      <c r="I46" s="776">
        <v>60850</v>
      </c>
      <c r="J46" s="778">
        <v>86545</v>
      </c>
      <c r="K46" s="778">
        <v>92855</v>
      </c>
      <c r="L46" s="778">
        <v>72855</v>
      </c>
      <c r="M46" s="777">
        <v>92855</v>
      </c>
      <c r="N46" s="801"/>
      <c r="O46" s="783"/>
      <c r="P46" s="783"/>
      <c r="Q46" s="783"/>
      <c r="R46" s="783"/>
      <c r="S46" s="783"/>
      <c r="T46" s="783"/>
    </row>
    <row r="47" spans="1:20">
      <c r="A47" s="235"/>
      <c r="B47" s="235"/>
      <c r="C47" s="235"/>
      <c r="D47" s="783"/>
      <c r="E47" s="783"/>
      <c r="F47" s="783"/>
      <c r="G47" s="783"/>
      <c r="H47" s="783"/>
      <c r="I47" s="783"/>
      <c r="J47" s="783"/>
      <c r="K47" s="783"/>
      <c r="L47" s="783"/>
      <c r="M47" s="783"/>
      <c r="N47" s="783"/>
      <c r="O47" s="783"/>
      <c r="P47" s="783"/>
      <c r="Q47" s="783"/>
      <c r="R47" s="783"/>
      <c r="S47" s="783"/>
      <c r="T47" s="783"/>
    </row>
    <row r="48" spans="1:20">
      <c r="A48" s="231"/>
      <c r="B48" s="231"/>
      <c r="C48" s="291"/>
      <c r="D48" s="784"/>
      <c r="E48" s="784"/>
      <c r="F48" s="784"/>
      <c r="G48" s="784"/>
      <c r="H48" s="784"/>
      <c r="I48" s="784"/>
      <c r="J48" s="784"/>
      <c r="K48" s="784"/>
      <c r="L48" s="784"/>
      <c r="M48" s="784"/>
      <c r="N48" s="783"/>
      <c r="O48" s="783"/>
      <c r="P48" s="783"/>
      <c r="Q48" s="783"/>
      <c r="R48" s="783"/>
      <c r="S48" s="783"/>
      <c r="T48" s="783"/>
    </row>
    <row r="49" spans="1:20" s="852" customFormat="1" ht="15.75" customHeight="1">
      <c r="A49" s="980"/>
      <c r="B49" s="1350" t="s">
        <v>439</v>
      </c>
      <c r="C49" s="295"/>
      <c r="D49" s="784"/>
      <c r="E49" s="784"/>
      <c r="F49" s="784"/>
      <c r="G49" s="784"/>
      <c r="H49" s="784"/>
      <c r="I49" s="784"/>
      <c r="J49" s="784"/>
      <c r="K49" s="784"/>
      <c r="L49" s="784"/>
      <c r="M49" s="784"/>
      <c r="N49" s="784"/>
      <c r="O49" s="989"/>
      <c r="P49" s="989"/>
      <c r="Q49" s="989"/>
      <c r="R49" s="982"/>
      <c r="S49" s="784"/>
      <c r="T49" s="784"/>
    </row>
    <row r="50" spans="1:20" ht="13.5" thickBot="1">
      <c r="A50" s="231"/>
      <c r="B50" s="1377"/>
      <c r="C50" s="291"/>
      <c r="D50" s="784"/>
      <c r="E50" s="784"/>
      <c r="F50" s="784"/>
      <c r="G50" s="784"/>
      <c r="H50" s="784"/>
      <c r="I50" s="784"/>
      <c r="J50" s="784"/>
      <c r="K50" s="784"/>
      <c r="L50" s="784"/>
      <c r="M50" s="784"/>
      <c r="N50" s="783"/>
      <c r="O50" s="783"/>
      <c r="P50" s="783"/>
      <c r="Q50" s="783"/>
      <c r="R50" s="783"/>
      <c r="S50" s="783"/>
      <c r="T50" s="783"/>
    </row>
    <row r="51" spans="1:20" ht="15.75" customHeight="1">
      <c r="A51" s="231"/>
      <c r="B51" s="1885" t="s">
        <v>439</v>
      </c>
      <c r="C51" s="1889" t="s">
        <v>31</v>
      </c>
      <c r="D51" s="785" t="s">
        <v>116</v>
      </c>
      <c r="E51" s="786"/>
      <c r="F51" s="786"/>
      <c r="G51" s="786"/>
      <c r="H51" s="787"/>
      <c r="I51" s="786" t="s">
        <v>117</v>
      </c>
      <c r="J51" s="788"/>
      <c r="K51" s="788"/>
      <c r="L51" s="788"/>
      <c r="M51" s="787"/>
      <c r="N51" s="783"/>
      <c r="O51" s="783"/>
      <c r="P51" s="783"/>
      <c r="Q51" s="783"/>
      <c r="R51" s="783"/>
      <c r="S51" s="783"/>
      <c r="T51" s="783"/>
    </row>
    <row r="52" spans="1:20" ht="26.25" customHeight="1">
      <c r="A52" s="231"/>
      <c r="B52" s="1886"/>
      <c r="C52" s="1890"/>
      <c r="D52" s="789" t="s">
        <v>32</v>
      </c>
      <c r="E52" s="790" t="s">
        <v>33</v>
      </c>
      <c r="F52" s="790" t="s">
        <v>29</v>
      </c>
      <c r="G52" s="790" t="s">
        <v>34</v>
      </c>
      <c r="H52" s="791" t="s">
        <v>35</v>
      </c>
      <c r="I52" s="792" t="s">
        <v>118</v>
      </c>
      <c r="J52" s="790" t="s">
        <v>136</v>
      </c>
      <c r="K52" s="790" t="s">
        <v>137</v>
      </c>
      <c r="L52" s="790" t="s">
        <v>138</v>
      </c>
      <c r="M52" s="791" t="s">
        <v>139</v>
      </c>
      <c r="N52" s="783"/>
      <c r="O52" s="783"/>
      <c r="P52" s="783"/>
      <c r="Q52" s="783"/>
      <c r="R52" s="783"/>
      <c r="S52" s="783"/>
      <c r="T52" s="783"/>
    </row>
    <row r="53" spans="1:20" ht="15.75" customHeight="1">
      <c r="A53" s="231"/>
      <c r="B53" s="1390" t="s">
        <v>440</v>
      </c>
      <c r="C53" s="1391"/>
      <c r="D53" s="802"/>
      <c r="E53" s="803"/>
      <c r="F53" s="803"/>
      <c r="G53" s="803"/>
      <c r="H53" s="804"/>
      <c r="I53" s="797"/>
      <c r="J53" s="797"/>
      <c r="K53" s="797"/>
      <c r="L53" s="797"/>
      <c r="M53" s="798"/>
      <c r="N53" s="805"/>
      <c r="O53" s="783"/>
      <c r="P53" s="783"/>
      <c r="Q53" s="783"/>
      <c r="R53" s="783"/>
      <c r="S53" s="783"/>
      <c r="T53" s="783"/>
    </row>
    <row r="54" spans="1:20" ht="15.75" customHeight="1">
      <c r="A54" s="231"/>
      <c r="B54" s="1381" t="s">
        <v>513</v>
      </c>
      <c r="C54" s="490"/>
      <c r="D54" s="806"/>
      <c r="E54" s="807"/>
      <c r="F54" s="807"/>
      <c r="G54" s="807"/>
      <c r="H54" s="808"/>
      <c r="I54" s="799"/>
      <c r="J54" s="799"/>
      <c r="K54" s="799"/>
      <c r="L54" s="799"/>
      <c r="M54" s="800"/>
      <c r="N54" s="805"/>
      <c r="O54" s="783"/>
      <c r="P54" s="783"/>
      <c r="Q54" s="783"/>
      <c r="R54" s="783"/>
      <c r="S54" s="783"/>
      <c r="T54" s="783"/>
    </row>
    <row r="55" spans="1:20" ht="15.75" customHeight="1">
      <c r="A55" s="231"/>
      <c r="B55" s="993" t="s">
        <v>514</v>
      </c>
      <c r="C55" s="490" t="s">
        <v>515</v>
      </c>
      <c r="D55" s="1392">
        <v>0</v>
      </c>
      <c r="E55" s="1393">
        <v>0</v>
      </c>
      <c r="F55" s="1393">
        <v>7</v>
      </c>
      <c r="G55" s="1393">
        <v>2</v>
      </c>
      <c r="H55" s="1394">
        <v>4</v>
      </c>
      <c r="I55" s="1393">
        <v>8</v>
      </c>
      <c r="J55" s="1395">
        <v>10</v>
      </c>
      <c r="K55" s="1395">
        <v>12</v>
      </c>
      <c r="L55" s="1395">
        <v>12</v>
      </c>
      <c r="M55" s="1394">
        <v>12</v>
      </c>
      <c r="N55" s="783"/>
      <c r="O55" s="783"/>
      <c r="P55" s="783"/>
      <c r="Q55" s="783"/>
      <c r="R55" s="783"/>
      <c r="S55" s="783"/>
      <c r="T55" s="783"/>
    </row>
    <row r="56" spans="1:20" ht="15.75" customHeight="1">
      <c r="A56" s="231"/>
      <c r="B56" s="993" t="s">
        <v>516</v>
      </c>
      <c r="C56" s="490" t="s">
        <v>515</v>
      </c>
      <c r="D56" s="1392">
        <v>10675</v>
      </c>
      <c r="E56" s="1393">
        <v>11161</v>
      </c>
      <c r="F56" s="1393">
        <v>10696</v>
      </c>
      <c r="G56" s="1393">
        <v>9200</v>
      </c>
      <c r="H56" s="1394">
        <v>8850</v>
      </c>
      <c r="I56" s="1393">
        <v>8200</v>
      </c>
      <c r="J56" s="1395">
        <v>8000</v>
      </c>
      <c r="K56" s="1395">
        <v>7300</v>
      </c>
      <c r="L56" s="1395">
        <v>7300</v>
      </c>
      <c r="M56" s="1394">
        <v>7300</v>
      </c>
      <c r="N56" s="783"/>
      <c r="O56" s="783"/>
      <c r="P56" s="783"/>
      <c r="Q56" s="783"/>
      <c r="R56" s="783"/>
      <c r="S56" s="783"/>
      <c r="T56" s="783"/>
    </row>
    <row r="57" spans="1:20" ht="15.75" customHeight="1">
      <c r="A57" s="231"/>
      <c r="B57" s="993" t="s">
        <v>844</v>
      </c>
      <c r="C57" s="490" t="s">
        <v>515</v>
      </c>
      <c r="D57" s="1392" t="s">
        <v>476</v>
      </c>
      <c r="E57" s="1393">
        <v>162</v>
      </c>
      <c r="F57" s="1393">
        <v>314</v>
      </c>
      <c r="G57" s="1393">
        <v>200</v>
      </c>
      <c r="H57" s="1394">
        <v>180</v>
      </c>
      <c r="I57" s="1393">
        <v>200</v>
      </c>
      <c r="J57" s="1395">
        <v>250</v>
      </c>
      <c r="K57" s="1395">
        <v>250</v>
      </c>
      <c r="L57" s="1395">
        <v>250</v>
      </c>
      <c r="M57" s="1394">
        <v>250</v>
      </c>
      <c r="N57" s="783"/>
      <c r="O57" s="783"/>
      <c r="P57" s="783"/>
      <c r="Q57" s="783"/>
      <c r="R57" s="783"/>
      <c r="S57" s="783"/>
      <c r="T57" s="783"/>
    </row>
    <row r="58" spans="1:20" ht="15.75" customHeight="1">
      <c r="A58" s="231"/>
      <c r="B58" s="1381" t="s">
        <v>676</v>
      </c>
      <c r="C58" s="490"/>
      <c r="D58" s="1396"/>
      <c r="E58" s="1397"/>
      <c r="F58" s="1397"/>
      <c r="G58" s="1397"/>
      <c r="H58" s="1398"/>
      <c r="I58" s="1399"/>
      <c r="J58" s="1399"/>
      <c r="K58" s="1399"/>
      <c r="L58" s="1399"/>
      <c r="M58" s="1400"/>
      <c r="N58" s="805"/>
      <c r="O58" s="783"/>
      <c r="P58" s="783"/>
      <c r="Q58" s="783"/>
      <c r="R58" s="783"/>
      <c r="S58" s="783"/>
      <c r="T58" s="783"/>
    </row>
    <row r="59" spans="1:20" ht="15.75" customHeight="1">
      <c r="A59" s="231"/>
      <c r="B59" s="993" t="s">
        <v>514</v>
      </c>
      <c r="C59" s="490" t="s">
        <v>515</v>
      </c>
      <c r="D59" s="1392">
        <v>0</v>
      </c>
      <c r="E59" s="1393">
        <v>1</v>
      </c>
      <c r="F59" s="1393">
        <v>4</v>
      </c>
      <c r="G59" s="1393">
        <v>3</v>
      </c>
      <c r="H59" s="1394">
        <v>3</v>
      </c>
      <c r="I59" s="1393">
        <v>6</v>
      </c>
      <c r="J59" s="1395">
        <v>8</v>
      </c>
      <c r="K59" s="1395">
        <v>10</v>
      </c>
      <c r="L59" s="1395">
        <v>10</v>
      </c>
      <c r="M59" s="1394">
        <v>10</v>
      </c>
      <c r="N59" s="783"/>
      <c r="O59" s="783"/>
      <c r="P59" s="783"/>
      <c r="Q59" s="783"/>
      <c r="R59" s="783"/>
      <c r="S59" s="783"/>
      <c r="T59" s="783"/>
    </row>
    <row r="60" spans="1:20" ht="15.75" customHeight="1">
      <c r="A60" s="231"/>
      <c r="B60" s="993" t="s">
        <v>516</v>
      </c>
      <c r="C60" s="490" t="s">
        <v>515</v>
      </c>
      <c r="D60" s="1392">
        <v>13</v>
      </c>
      <c r="E60" s="1393">
        <v>3</v>
      </c>
      <c r="F60" s="1393">
        <v>19</v>
      </c>
      <c r="G60" s="1393">
        <v>15</v>
      </c>
      <c r="H60" s="1394">
        <v>15</v>
      </c>
      <c r="I60" s="1393">
        <v>17</v>
      </c>
      <c r="J60" s="1395">
        <v>20</v>
      </c>
      <c r="K60" s="1395">
        <v>24</v>
      </c>
      <c r="L60" s="1395">
        <v>24</v>
      </c>
      <c r="M60" s="1394">
        <v>24</v>
      </c>
      <c r="N60" s="783"/>
      <c r="O60" s="783"/>
      <c r="P60" s="783"/>
      <c r="Q60" s="783"/>
      <c r="R60" s="783"/>
      <c r="S60" s="783"/>
      <c r="T60" s="783"/>
    </row>
    <row r="61" spans="1:20" ht="15.75" customHeight="1">
      <c r="A61" s="231"/>
      <c r="B61" s="993" t="s">
        <v>844</v>
      </c>
      <c r="C61" s="490" t="s">
        <v>515</v>
      </c>
      <c r="D61" s="1392" t="s">
        <v>476</v>
      </c>
      <c r="E61" s="1393">
        <v>1</v>
      </c>
      <c r="F61" s="1393">
        <v>2</v>
      </c>
      <c r="G61" s="1393">
        <v>1</v>
      </c>
      <c r="H61" s="1394">
        <v>1</v>
      </c>
      <c r="I61" s="1393">
        <v>2</v>
      </c>
      <c r="J61" s="1395">
        <v>2</v>
      </c>
      <c r="K61" s="1395">
        <v>2</v>
      </c>
      <c r="L61" s="1395">
        <v>2</v>
      </c>
      <c r="M61" s="1394">
        <v>2</v>
      </c>
      <c r="N61" s="783"/>
      <c r="O61" s="783"/>
      <c r="P61" s="783"/>
      <c r="Q61" s="783"/>
      <c r="R61" s="783"/>
      <c r="S61" s="783"/>
      <c r="T61" s="783"/>
    </row>
    <row r="62" spans="1:20" ht="15.75" customHeight="1">
      <c r="A62" s="231"/>
      <c r="B62" s="1381" t="s">
        <v>843</v>
      </c>
      <c r="C62" s="490"/>
      <c r="D62" s="1396"/>
      <c r="E62" s="1397"/>
      <c r="F62" s="1397"/>
      <c r="G62" s="1397"/>
      <c r="H62" s="1398"/>
      <c r="I62" s="1399"/>
      <c r="J62" s="1399"/>
      <c r="K62" s="1399"/>
      <c r="L62" s="1399"/>
      <c r="M62" s="1400"/>
      <c r="N62" s="805"/>
      <c r="O62" s="783"/>
      <c r="P62" s="783"/>
      <c r="Q62" s="783"/>
      <c r="R62" s="783"/>
      <c r="S62" s="783"/>
      <c r="T62" s="783"/>
    </row>
    <row r="63" spans="1:20" ht="15.75" customHeight="1">
      <c r="A63" s="231"/>
      <c r="B63" s="993" t="s">
        <v>514</v>
      </c>
      <c r="C63" s="490" t="s">
        <v>515</v>
      </c>
      <c r="D63" s="1392">
        <v>0</v>
      </c>
      <c r="E63" s="1393">
        <v>0</v>
      </c>
      <c r="F63" s="1393">
        <v>1</v>
      </c>
      <c r="G63" s="1393">
        <v>0</v>
      </c>
      <c r="H63" s="1394">
        <v>0</v>
      </c>
      <c r="I63" s="1393">
        <v>0</v>
      </c>
      <c r="J63" s="1395">
        <v>0</v>
      </c>
      <c r="K63" s="1395">
        <v>0</v>
      </c>
      <c r="L63" s="1395">
        <v>0</v>
      </c>
      <c r="M63" s="1394">
        <v>0</v>
      </c>
      <c r="N63" s="783"/>
      <c r="O63" s="783"/>
      <c r="P63" s="783"/>
      <c r="Q63" s="783"/>
      <c r="R63" s="783"/>
      <c r="S63" s="783"/>
      <c r="T63" s="783"/>
    </row>
    <row r="64" spans="1:20" ht="15.75" customHeight="1">
      <c r="A64" s="231"/>
      <c r="B64" s="993" t="s">
        <v>516</v>
      </c>
      <c r="C64" s="490" t="s">
        <v>515</v>
      </c>
      <c r="D64" s="1392">
        <v>0</v>
      </c>
      <c r="E64" s="1393">
        <v>0</v>
      </c>
      <c r="F64" s="1393">
        <v>1</v>
      </c>
      <c r="G64" s="1393">
        <v>1</v>
      </c>
      <c r="H64" s="1394">
        <v>0</v>
      </c>
      <c r="I64" s="1393">
        <v>0</v>
      </c>
      <c r="J64" s="1395">
        <v>1</v>
      </c>
      <c r="K64" s="1395">
        <v>0</v>
      </c>
      <c r="L64" s="1395">
        <v>0</v>
      </c>
      <c r="M64" s="1394">
        <v>1</v>
      </c>
      <c r="N64" s="783"/>
      <c r="O64" s="783"/>
      <c r="P64" s="783"/>
      <c r="Q64" s="783"/>
      <c r="R64" s="783"/>
      <c r="S64" s="783"/>
      <c r="T64" s="783"/>
    </row>
    <row r="65" spans="1:20" ht="15.75" customHeight="1">
      <c r="A65" s="231"/>
      <c r="B65" s="993" t="s">
        <v>844</v>
      </c>
      <c r="C65" s="490" t="s">
        <v>515</v>
      </c>
      <c r="D65" s="1392" t="s">
        <v>476</v>
      </c>
      <c r="E65" s="1393">
        <v>0</v>
      </c>
      <c r="F65" s="1393">
        <v>0</v>
      </c>
      <c r="G65" s="1393">
        <v>0</v>
      </c>
      <c r="H65" s="1394">
        <v>0</v>
      </c>
      <c r="I65" s="1393">
        <v>0</v>
      </c>
      <c r="J65" s="1395">
        <v>0</v>
      </c>
      <c r="K65" s="1395">
        <v>0</v>
      </c>
      <c r="L65" s="1395">
        <v>0</v>
      </c>
      <c r="M65" s="1394">
        <v>0</v>
      </c>
      <c r="N65" s="783"/>
      <c r="O65" s="783"/>
      <c r="P65" s="783"/>
      <c r="Q65" s="783"/>
      <c r="R65" s="783"/>
      <c r="S65" s="783"/>
      <c r="T65" s="783"/>
    </row>
    <row r="66" spans="1:20" ht="15.75" customHeight="1">
      <c r="A66" s="231"/>
      <c r="B66" s="1381" t="s">
        <v>846</v>
      </c>
      <c r="C66" s="490"/>
      <c r="D66" s="1396"/>
      <c r="E66" s="1397"/>
      <c r="F66" s="1397"/>
      <c r="G66" s="1397"/>
      <c r="H66" s="1398"/>
      <c r="I66" s="1399"/>
      <c r="J66" s="1399"/>
      <c r="K66" s="1399"/>
      <c r="L66" s="1399"/>
      <c r="M66" s="1400"/>
      <c r="N66" s="805"/>
      <c r="O66" s="783"/>
      <c r="P66" s="783"/>
      <c r="Q66" s="783"/>
      <c r="R66" s="783"/>
      <c r="S66" s="783"/>
      <c r="T66" s="783"/>
    </row>
    <row r="67" spans="1:20" ht="15.75" customHeight="1">
      <c r="A67" s="231"/>
      <c r="B67" s="993" t="s">
        <v>514</v>
      </c>
      <c r="C67" s="490" t="s">
        <v>515</v>
      </c>
      <c r="D67" s="1401">
        <v>0</v>
      </c>
      <c r="E67" s="1402">
        <v>0</v>
      </c>
      <c r="F67" s="1402">
        <v>0</v>
      </c>
      <c r="G67" s="1402">
        <v>0</v>
      </c>
      <c r="H67" s="1403">
        <v>0</v>
      </c>
      <c r="I67" s="1402">
        <v>0</v>
      </c>
      <c r="J67" s="1404">
        <v>0</v>
      </c>
      <c r="K67" s="1404">
        <v>0</v>
      </c>
      <c r="L67" s="1404">
        <v>0</v>
      </c>
      <c r="M67" s="1403">
        <v>0</v>
      </c>
      <c r="N67" s="783"/>
      <c r="O67" s="783"/>
      <c r="P67" s="783"/>
      <c r="Q67" s="783"/>
      <c r="R67" s="783"/>
      <c r="S67" s="783"/>
      <c r="T67" s="783"/>
    </row>
    <row r="68" spans="1:20" ht="15.75" customHeight="1">
      <c r="A68" s="231"/>
      <c r="B68" s="993" t="s">
        <v>516</v>
      </c>
      <c r="C68" s="490" t="s">
        <v>515</v>
      </c>
      <c r="D68" s="1401">
        <v>0</v>
      </c>
      <c r="E68" s="1402">
        <v>0</v>
      </c>
      <c r="F68" s="1402">
        <v>0</v>
      </c>
      <c r="G68" s="1402">
        <v>0</v>
      </c>
      <c r="H68" s="1403">
        <v>0</v>
      </c>
      <c r="I68" s="1402">
        <v>0</v>
      </c>
      <c r="J68" s="1404">
        <v>0</v>
      </c>
      <c r="K68" s="1404">
        <v>0</v>
      </c>
      <c r="L68" s="1404">
        <v>0</v>
      </c>
      <c r="M68" s="1403">
        <v>0</v>
      </c>
      <c r="N68" s="783"/>
      <c r="O68" s="783"/>
      <c r="P68" s="783"/>
      <c r="Q68" s="783"/>
      <c r="R68" s="783"/>
      <c r="S68" s="783"/>
      <c r="T68" s="783"/>
    </row>
    <row r="69" spans="1:20" ht="15.75" customHeight="1">
      <c r="A69" s="231"/>
      <c r="B69" s="993" t="s">
        <v>844</v>
      </c>
      <c r="C69" s="490" t="s">
        <v>515</v>
      </c>
      <c r="D69" s="1392" t="s">
        <v>476</v>
      </c>
      <c r="E69" s="1393">
        <v>0</v>
      </c>
      <c r="F69" s="1393">
        <v>0</v>
      </c>
      <c r="G69" s="1393">
        <v>0</v>
      </c>
      <c r="H69" s="1394">
        <v>0</v>
      </c>
      <c r="I69" s="1393">
        <v>0</v>
      </c>
      <c r="J69" s="1395">
        <v>0</v>
      </c>
      <c r="K69" s="1395">
        <v>0</v>
      </c>
      <c r="L69" s="1395">
        <v>0</v>
      </c>
      <c r="M69" s="1394">
        <v>0</v>
      </c>
      <c r="N69" s="783"/>
      <c r="O69" s="783"/>
      <c r="P69" s="783"/>
      <c r="Q69" s="783"/>
      <c r="R69" s="783"/>
      <c r="S69" s="783"/>
      <c r="T69" s="783"/>
    </row>
    <row r="70" spans="1:20" ht="15.75" customHeight="1">
      <c r="A70" s="231"/>
      <c r="B70" s="1379" t="s">
        <v>847</v>
      </c>
      <c r="C70" s="490" t="s">
        <v>515</v>
      </c>
      <c r="D70" s="1405">
        <v>10688</v>
      </c>
      <c r="E70" s="1406">
        <v>11165</v>
      </c>
      <c r="F70" s="1406">
        <v>10728</v>
      </c>
      <c r="G70" s="1406">
        <v>9221</v>
      </c>
      <c r="H70" s="1407">
        <v>8872</v>
      </c>
      <c r="I70" s="1408">
        <v>8231</v>
      </c>
      <c r="J70" s="1406">
        <v>8039</v>
      </c>
      <c r="K70" s="1406">
        <v>7346</v>
      </c>
      <c r="L70" s="1406">
        <v>7346</v>
      </c>
      <c r="M70" s="1407">
        <v>7347</v>
      </c>
      <c r="N70" s="809"/>
      <c r="O70" s="783"/>
      <c r="P70" s="783"/>
      <c r="Q70" s="783"/>
      <c r="R70" s="783"/>
      <c r="S70" s="783"/>
      <c r="T70" s="783"/>
    </row>
    <row r="71" spans="1:20" ht="15.75" customHeight="1" thickBot="1">
      <c r="A71" s="231"/>
      <c r="B71" s="1409" t="s">
        <v>850</v>
      </c>
      <c r="C71" s="491" t="s">
        <v>515</v>
      </c>
      <c r="D71" s="1410">
        <v>0</v>
      </c>
      <c r="E71" s="1411">
        <v>163</v>
      </c>
      <c r="F71" s="1411">
        <v>316</v>
      </c>
      <c r="G71" s="1411">
        <v>201</v>
      </c>
      <c r="H71" s="1412">
        <v>181</v>
      </c>
      <c r="I71" s="1413">
        <v>202</v>
      </c>
      <c r="J71" s="1411">
        <v>252</v>
      </c>
      <c r="K71" s="1411">
        <v>252</v>
      </c>
      <c r="L71" s="1411">
        <v>252</v>
      </c>
      <c r="M71" s="1412">
        <v>252</v>
      </c>
      <c r="N71" s="809"/>
      <c r="O71" s="783"/>
      <c r="P71" s="783"/>
      <c r="Q71" s="783"/>
      <c r="R71" s="783"/>
      <c r="S71" s="783"/>
      <c r="T71" s="783"/>
    </row>
    <row r="72" spans="1:20">
      <c r="A72" s="231"/>
      <c r="B72" s="1414"/>
      <c r="C72" s="302"/>
      <c r="D72" s="783"/>
      <c r="E72" s="783"/>
      <c r="F72" s="783"/>
      <c r="G72" s="783"/>
      <c r="H72" s="783"/>
      <c r="I72" s="783"/>
      <c r="J72" s="783"/>
      <c r="K72" s="783"/>
      <c r="L72" s="783"/>
      <c r="M72" s="783"/>
      <c r="N72" s="783"/>
      <c r="O72" s="783"/>
      <c r="P72" s="783"/>
      <c r="Q72" s="783"/>
      <c r="R72" s="783"/>
      <c r="S72" s="783"/>
      <c r="T72" s="783"/>
    </row>
    <row r="73" spans="1:20">
      <c r="A73" s="231"/>
      <c r="B73" s="1415"/>
      <c r="C73" s="492"/>
      <c r="D73" s="810"/>
      <c r="E73" s="810"/>
      <c r="F73" s="810"/>
      <c r="G73" s="810"/>
      <c r="H73" s="810"/>
      <c r="I73" s="810"/>
      <c r="J73" s="810"/>
      <c r="K73" s="810"/>
      <c r="L73" s="810"/>
      <c r="M73" s="810"/>
      <c r="N73" s="783"/>
      <c r="O73" s="810"/>
      <c r="P73" s="810"/>
      <c r="Q73" s="810"/>
      <c r="R73" s="783"/>
      <c r="S73" s="810"/>
      <c r="T73" s="810"/>
    </row>
    <row r="74" spans="1:20" s="852" customFormat="1" ht="15.75" customHeight="1">
      <c r="A74" s="980"/>
      <c r="B74" s="1350" t="s">
        <v>851</v>
      </c>
      <c r="C74" s="295"/>
      <c r="D74" s="784"/>
      <c r="E74" s="784"/>
      <c r="F74" s="784"/>
      <c r="G74" s="784"/>
      <c r="H74" s="784"/>
      <c r="I74" s="784"/>
      <c r="J74" s="784"/>
      <c r="K74" s="784"/>
      <c r="L74" s="784"/>
      <c r="M74" s="784"/>
      <c r="N74" s="784"/>
      <c r="O74" s="989"/>
      <c r="P74" s="989"/>
      <c r="Q74" s="989"/>
      <c r="R74" s="982"/>
      <c r="S74" s="784"/>
      <c r="T74" s="784"/>
    </row>
    <row r="75" spans="1:20" ht="13.5" thickBot="1">
      <c r="A75" s="231"/>
      <c r="B75" s="1377"/>
      <c r="C75" s="492"/>
      <c r="D75" s="810"/>
      <c r="E75" s="810"/>
      <c r="F75" s="810"/>
      <c r="G75" s="810"/>
      <c r="H75" s="810"/>
      <c r="I75" s="810"/>
      <c r="J75" s="810"/>
      <c r="K75" s="810"/>
      <c r="L75" s="810"/>
      <c r="M75" s="810"/>
      <c r="N75" s="783"/>
      <c r="O75" s="810"/>
      <c r="P75" s="810"/>
      <c r="Q75" s="810"/>
      <c r="R75" s="783"/>
      <c r="S75" s="810"/>
      <c r="T75" s="810"/>
    </row>
    <row r="76" spans="1:20" ht="15.75" customHeight="1">
      <c r="A76" s="231"/>
      <c r="B76" s="1885" t="s">
        <v>851</v>
      </c>
      <c r="C76" s="1889" t="s">
        <v>31</v>
      </c>
      <c r="D76" s="785" t="s">
        <v>116</v>
      </c>
      <c r="E76" s="786"/>
      <c r="F76" s="786"/>
      <c r="G76" s="786"/>
      <c r="H76" s="787"/>
      <c r="I76" s="786" t="s">
        <v>117</v>
      </c>
      <c r="J76" s="788"/>
      <c r="K76" s="788"/>
      <c r="L76" s="788"/>
      <c r="M76" s="787"/>
      <c r="N76" s="783"/>
      <c r="O76" s="811" t="s">
        <v>116</v>
      </c>
      <c r="P76" s="812"/>
      <c r="Q76" s="813"/>
      <c r="R76" s="783"/>
      <c r="S76" s="811" t="s">
        <v>117</v>
      </c>
      <c r="T76" s="813"/>
    </row>
    <row r="77" spans="1:20" ht="25.5">
      <c r="A77" s="231"/>
      <c r="B77" s="1886"/>
      <c r="C77" s="1890"/>
      <c r="D77" s="789" t="s">
        <v>32</v>
      </c>
      <c r="E77" s="790" t="s">
        <v>33</v>
      </c>
      <c r="F77" s="790" t="s">
        <v>29</v>
      </c>
      <c r="G77" s="790" t="s">
        <v>34</v>
      </c>
      <c r="H77" s="791" t="s">
        <v>35</v>
      </c>
      <c r="I77" s="792" t="s">
        <v>118</v>
      </c>
      <c r="J77" s="790" t="s">
        <v>136</v>
      </c>
      <c r="K77" s="790" t="s">
        <v>137</v>
      </c>
      <c r="L77" s="790" t="s">
        <v>138</v>
      </c>
      <c r="M77" s="791" t="s">
        <v>139</v>
      </c>
      <c r="N77" s="783"/>
      <c r="O77" s="814" t="s">
        <v>126</v>
      </c>
      <c r="P77" s="815" t="s">
        <v>127</v>
      </c>
      <c r="Q77" s="816" t="s">
        <v>245</v>
      </c>
      <c r="R77" s="783"/>
      <c r="S77" s="814" t="s">
        <v>127</v>
      </c>
      <c r="T77" s="816" t="s">
        <v>128</v>
      </c>
    </row>
    <row r="78" spans="1:20" ht="15.75" customHeight="1">
      <c r="A78" s="231"/>
      <c r="B78" s="1416" t="s">
        <v>856</v>
      </c>
      <c r="C78" s="1417"/>
      <c r="D78" s="802"/>
      <c r="E78" s="803"/>
      <c r="F78" s="803"/>
      <c r="G78" s="803"/>
      <c r="H78" s="804"/>
      <c r="I78" s="797"/>
      <c r="J78" s="797"/>
      <c r="K78" s="797"/>
      <c r="L78" s="797"/>
      <c r="M78" s="798"/>
      <c r="N78" s="783"/>
      <c r="O78" s="796"/>
      <c r="P78" s="797"/>
      <c r="Q78" s="798"/>
      <c r="R78" s="783"/>
      <c r="S78" s="796"/>
      <c r="T78" s="798"/>
    </row>
    <row r="79" spans="1:20" ht="15.75" customHeight="1">
      <c r="A79" s="231"/>
      <c r="B79" s="1418" t="s">
        <v>665</v>
      </c>
      <c r="C79" s="304"/>
      <c r="D79" s="793"/>
      <c r="E79" s="794"/>
      <c r="F79" s="794"/>
      <c r="G79" s="794"/>
      <c r="H79" s="795"/>
      <c r="I79" s="794"/>
      <c r="J79" s="794"/>
      <c r="K79" s="794"/>
      <c r="L79" s="794"/>
      <c r="M79" s="795"/>
      <c r="N79" s="783"/>
      <c r="O79" s="817"/>
      <c r="P79" s="818"/>
      <c r="Q79" s="819"/>
      <c r="R79" s="783"/>
      <c r="S79" s="793"/>
      <c r="T79" s="795"/>
    </row>
    <row r="80" spans="1:20" ht="15.75" customHeight="1">
      <c r="A80" s="231"/>
      <c r="B80" s="994" t="s">
        <v>857</v>
      </c>
      <c r="C80" s="490" t="s">
        <v>14</v>
      </c>
      <c r="D80" s="280">
        <v>14.1</v>
      </c>
      <c r="E80" s="281">
        <v>12</v>
      </c>
      <c r="F80" s="281">
        <v>13.8</v>
      </c>
      <c r="G80" s="281">
        <v>11.3</v>
      </c>
      <c r="H80" s="282">
        <v>10.9</v>
      </c>
      <c r="I80" s="281">
        <v>10</v>
      </c>
      <c r="J80" s="283">
        <v>9.8000000000000007</v>
      </c>
      <c r="K80" s="283">
        <v>9</v>
      </c>
      <c r="L80" s="283">
        <v>9</v>
      </c>
      <c r="M80" s="282">
        <v>9</v>
      </c>
      <c r="N80" s="783"/>
      <c r="O80" s="232">
        <v>39.9</v>
      </c>
      <c r="P80" s="233">
        <v>22.2</v>
      </c>
      <c r="Q80" s="234">
        <v>62.1</v>
      </c>
      <c r="R80" s="235"/>
      <c r="S80" s="232">
        <v>46.9</v>
      </c>
      <c r="T80" s="1367">
        <v>-0.24476650563607089</v>
      </c>
    </row>
    <row r="81" spans="1:20" ht="15.75" customHeight="1">
      <c r="A81" s="231"/>
      <c r="B81" s="994" t="s">
        <v>858</v>
      </c>
      <c r="C81" s="490" t="s">
        <v>14</v>
      </c>
      <c r="D81" s="280">
        <v>0.7</v>
      </c>
      <c r="E81" s="281">
        <v>1</v>
      </c>
      <c r="F81" s="281">
        <v>1.7</v>
      </c>
      <c r="G81" s="281">
        <v>1</v>
      </c>
      <c r="H81" s="282">
        <v>0.9</v>
      </c>
      <c r="I81" s="281">
        <v>1.3</v>
      </c>
      <c r="J81" s="283">
        <v>1.3</v>
      </c>
      <c r="K81" s="283">
        <v>1.1000000000000001</v>
      </c>
      <c r="L81" s="283">
        <v>1.1000000000000001</v>
      </c>
      <c r="M81" s="282">
        <v>1.1000000000000001</v>
      </c>
      <c r="N81" s="783"/>
      <c r="O81" s="232">
        <v>3.4</v>
      </c>
      <c r="P81" s="233">
        <v>1.9</v>
      </c>
      <c r="Q81" s="234">
        <v>5.3</v>
      </c>
      <c r="R81" s="235"/>
      <c r="S81" s="232">
        <v>4.0999999999999996</v>
      </c>
      <c r="T81" s="1367">
        <v>-0.22641509433962281</v>
      </c>
    </row>
    <row r="82" spans="1:20" ht="15.75" customHeight="1">
      <c r="A82" s="231"/>
      <c r="B82" s="1419" t="s">
        <v>859</v>
      </c>
      <c r="C82" s="490" t="s">
        <v>14</v>
      </c>
      <c r="D82" s="232">
        <v>14.8</v>
      </c>
      <c r="E82" s="1420">
        <v>13</v>
      </c>
      <c r="F82" s="1420">
        <v>15.5</v>
      </c>
      <c r="G82" s="1420">
        <v>12.3</v>
      </c>
      <c r="H82" s="234">
        <v>11.8</v>
      </c>
      <c r="I82" s="1420">
        <v>11.3</v>
      </c>
      <c r="J82" s="233">
        <v>11.1</v>
      </c>
      <c r="K82" s="233">
        <v>10.1</v>
      </c>
      <c r="L82" s="233">
        <v>10.1</v>
      </c>
      <c r="M82" s="234">
        <v>10.1</v>
      </c>
      <c r="N82" s="783"/>
      <c r="O82" s="232">
        <v>43.3</v>
      </c>
      <c r="P82" s="233">
        <v>24.1</v>
      </c>
      <c r="Q82" s="234">
        <v>67.400000000000006</v>
      </c>
      <c r="R82" s="235"/>
      <c r="S82" s="232">
        <v>51</v>
      </c>
      <c r="T82" s="1367">
        <v>-0.24332344213649842</v>
      </c>
    </row>
    <row r="83" spans="1:20" ht="15.75" customHeight="1">
      <c r="A83" s="231"/>
      <c r="B83" s="1418" t="s">
        <v>666</v>
      </c>
      <c r="C83" s="305"/>
      <c r="D83" s="1421"/>
      <c r="E83" s="1422"/>
      <c r="F83" s="1422"/>
      <c r="G83" s="1422"/>
      <c r="H83" s="1423"/>
      <c r="I83" s="1422"/>
      <c r="J83" s="1422"/>
      <c r="K83" s="1422"/>
      <c r="L83" s="1422"/>
      <c r="M83" s="1423"/>
      <c r="N83" s="783"/>
      <c r="O83" s="1424"/>
      <c r="P83" s="1422"/>
      <c r="Q83" s="1423"/>
      <c r="R83" s="235"/>
      <c r="S83" s="1421"/>
      <c r="T83" s="1423"/>
    </row>
    <row r="84" spans="1:20" ht="15.75" customHeight="1">
      <c r="A84" s="231"/>
      <c r="B84" s="994" t="s">
        <v>857</v>
      </c>
      <c r="C84" s="490" t="s">
        <v>14</v>
      </c>
      <c r="D84" s="280">
        <v>2.2000000000000002</v>
      </c>
      <c r="E84" s="281">
        <v>3.2</v>
      </c>
      <c r="F84" s="281">
        <v>2.5</v>
      </c>
      <c r="G84" s="281">
        <v>1.7</v>
      </c>
      <c r="H84" s="282">
        <v>1.9</v>
      </c>
      <c r="I84" s="281">
        <v>1.1000000000000001</v>
      </c>
      <c r="J84" s="283">
        <v>1</v>
      </c>
      <c r="K84" s="283">
        <v>1</v>
      </c>
      <c r="L84" s="283">
        <v>1</v>
      </c>
      <c r="M84" s="282">
        <v>1</v>
      </c>
      <c r="N84" s="783"/>
      <c r="O84" s="232">
        <v>7.9</v>
      </c>
      <c r="P84" s="233">
        <v>3.6</v>
      </c>
      <c r="Q84" s="234">
        <v>11.5</v>
      </c>
      <c r="R84" s="235"/>
      <c r="S84" s="232">
        <v>11.9</v>
      </c>
      <c r="T84" s="1367">
        <v>3.4782608695652049E-2</v>
      </c>
    </row>
    <row r="85" spans="1:20" ht="15.75" customHeight="1">
      <c r="A85" s="231"/>
      <c r="B85" s="994" t="s">
        <v>858</v>
      </c>
      <c r="C85" s="490" t="s">
        <v>14</v>
      </c>
      <c r="D85" s="280">
        <v>0</v>
      </c>
      <c r="E85" s="281">
        <v>0</v>
      </c>
      <c r="F85" s="281">
        <v>0.5</v>
      </c>
      <c r="G85" s="281">
        <v>0.6</v>
      </c>
      <c r="H85" s="282">
        <v>0.7</v>
      </c>
      <c r="I85" s="281">
        <v>1.3</v>
      </c>
      <c r="J85" s="283">
        <v>1.3</v>
      </c>
      <c r="K85" s="283">
        <v>1.3</v>
      </c>
      <c r="L85" s="283">
        <v>1.3</v>
      </c>
      <c r="M85" s="282">
        <v>1.3</v>
      </c>
      <c r="N85" s="783"/>
      <c r="O85" s="232">
        <v>0.5</v>
      </c>
      <c r="P85" s="233">
        <v>1.3</v>
      </c>
      <c r="Q85" s="234">
        <v>1.8</v>
      </c>
      <c r="R85" s="235"/>
      <c r="S85" s="232">
        <v>3.2</v>
      </c>
      <c r="T85" s="1367">
        <v>0.77777777777777779</v>
      </c>
    </row>
    <row r="86" spans="1:20" ht="15.75" customHeight="1">
      <c r="A86" s="231"/>
      <c r="B86" s="1419" t="s">
        <v>860</v>
      </c>
      <c r="C86" s="490" t="s">
        <v>14</v>
      </c>
      <c r="D86" s="232">
        <v>2.2000000000000002</v>
      </c>
      <c r="E86" s="1420">
        <v>3.2</v>
      </c>
      <c r="F86" s="1420">
        <v>3</v>
      </c>
      <c r="G86" s="1420">
        <v>2.2999999999999998</v>
      </c>
      <c r="H86" s="234">
        <v>2.6</v>
      </c>
      <c r="I86" s="1420">
        <v>2.4</v>
      </c>
      <c r="J86" s="233">
        <v>2.2999999999999998</v>
      </c>
      <c r="K86" s="233">
        <v>2.2999999999999998</v>
      </c>
      <c r="L86" s="233">
        <v>2.2999999999999998</v>
      </c>
      <c r="M86" s="234">
        <v>2.2999999999999998</v>
      </c>
      <c r="N86" s="783"/>
      <c r="O86" s="232">
        <v>8.4</v>
      </c>
      <c r="P86" s="233">
        <v>4.9000000000000004</v>
      </c>
      <c r="Q86" s="234">
        <v>13.3</v>
      </c>
      <c r="R86" s="235"/>
      <c r="S86" s="232">
        <v>15.1</v>
      </c>
      <c r="T86" s="1367">
        <v>0.13533834586466184</v>
      </c>
    </row>
    <row r="87" spans="1:20" ht="15.75" customHeight="1">
      <c r="A87" s="231"/>
      <c r="B87" s="1418" t="s">
        <v>839</v>
      </c>
      <c r="C87" s="305"/>
      <c r="D87" s="1421"/>
      <c r="E87" s="1422"/>
      <c r="F87" s="1422"/>
      <c r="G87" s="1422"/>
      <c r="H87" s="1423"/>
      <c r="I87" s="1422"/>
      <c r="J87" s="1422"/>
      <c r="K87" s="1422"/>
      <c r="L87" s="1422"/>
      <c r="M87" s="1423"/>
      <c r="N87" s="783"/>
      <c r="O87" s="1421"/>
      <c r="P87" s="1422"/>
      <c r="Q87" s="1423"/>
      <c r="R87" s="235"/>
      <c r="S87" s="1421"/>
      <c r="T87" s="1423"/>
    </row>
    <row r="88" spans="1:20" ht="15.75" customHeight="1">
      <c r="A88" s="231"/>
      <c r="B88" s="994" t="s">
        <v>857</v>
      </c>
      <c r="C88" s="490" t="s">
        <v>14</v>
      </c>
      <c r="D88" s="280">
        <v>0.6</v>
      </c>
      <c r="E88" s="281">
        <v>1.2</v>
      </c>
      <c r="F88" s="281">
        <v>0.5</v>
      </c>
      <c r="G88" s="281">
        <v>0.4</v>
      </c>
      <c r="H88" s="282">
        <v>0</v>
      </c>
      <c r="I88" s="281">
        <v>0</v>
      </c>
      <c r="J88" s="283">
        <v>0</v>
      </c>
      <c r="K88" s="283">
        <v>0</v>
      </c>
      <c r="L88" s="283">
        <v>0</v>
      </c>
      <c r="M88" s="282">
        <v>0</v>
      </c>
      <c r="N88" s="783"/>
      <c r="O88" s="232">
        <v>2.2999999999999998</v>
      </c>
      <c r="P88" s="233">
        <v>0.4</v>
      </c>
      <c r="Q88" s="234">
        <v>2.7</v>
      </c>
      <c r="R88" s="235"/>
      <c r="S88" s="232">
        <v>0.8</v>
      </c>
      <c r="T88" s="1367">
        <v>-0.70370370370370361</v>
      </c>
    </row>
    <row r="89" spans="1:20" ht="15.75" customHeight="1">
      <c r="A89" s="231"/>
      <c r="B89" s="994" t="s">
        <v>858</v>
      </c>
      <c r="C89" s="490" t="s">
        <v>14</v>
      </c>
      <c r="D89" s="280">
        <v>0</v>
      </c>
      <c r="E89" s="281">
        <v>0.7</v>
      </c>
      <c r="F89" s="281">
        <v>1.7</v>
      </c>
      <c r="G89" s="281">
        <v>0.3</v>
      </c>
      <c r="H89" s="282">
        <v>0.2</v>
      </c>
      <c r="I89" s="281">
        <v>0</v>
      </c>
      <c r="J89" s="283">
        <v>0</v>
      </c>
      <c r="K89" s="283">
        <v>0</v>
      </c>
      <c r="L89" s="283">
        <v>0</v>
      </c>
      <c r="M89" s="282">
        <v>0</v>
      </c>
      <c r="N89" s="783"/>
      <c r="O89" s="232">
        <v>2.4</v>
      </c>
      <c r="P89" s="233">
        <v>0.5</v>
      </c>
      <c r="Q89" s="234">
        <v>2.9</v>
      </c>
      <c r="R89" s="235"/>
      <c r="S89" s="232">
        <v>0.6</v>
      </c>
      <c r="T89" s="1367">
        <v>-0.79310344827586199</v>
      </c>
    </row>
    <row r="90" spans="1:20" ht="15.75" customHeight="1">
      <c r="A90" s="231"/>
      <c r="B90" s="1419" t="s">
        <v>861</v>
      </c>
      <c r="C90" s="490" t="s">
        <v>14</v>
      </c>
      <c r="D90" s="232">
        <v>0.6</v>
      </c>
      <c r="E90" s="1420">
        <v>1.9</v>
      </c>
      <c r="F90" s="1420">
        <v>2.2000000000000002</v>
      </c>
      <c r="G90" s="1420">
        <v>0.7</v>
      </c>
      <c r="H90" s="234">
        <v>0.2</v>
      </c>
      <c r="I90" s="1420">
        <v>0</v>
      </c>
      <c r="J90" s="233">
        <v>0.7</v>
      </c>
      <c r="K90" s="233">
        <v>0</v>
      </c>
      <c r="L90" s="233">
        <v>0</v>
      </c>
      <c r="M90" s="234">
        <v>0.7</v>
      </c>
      <c r="N90" s="783"/>
      <c r="O90" s="232">
        <v>4.7</v>
      </c>
      <c r="P90" s="233">
        <v>0.9</v>
      </c>
      <c r="Q90" s="234">
        <v>5.6</v>
      </c>
      <c r="R90" s="235"/>
      <c r="S90" s="232">
        <v>1.4</v>
      </c>
      <c r="T90" s="1367">
        <v>-0.75</v>
      </c>
    </row>
    <row r="91" spans="1:20" ht="15.75" customHeight="1">
      <c r="A91" s="231"/>
      <c r="B91" s="1418" t="s">
        <v>840</v>
      </c>
      <c r="C91" s="305"/>
      <c r="D91" s="1421"/>
      <c r="E91" s="1422"/>
      <c r="F91" s="1422"/>
      <c r="G91" s="1422"/>
      <c r="H91" s="1423"/>
      <c r="I91" s="1422"/>
      <c r="J91" s="1422"/>
      <c r="K91" s="1422"/>
      <c r="L91" s="1422"/>
      <c r="M91" s="1423"/>
      <c r="N91" s="783"/>
      <c r="O91" s="1421"/>
      <c r="P91" s="1422"/>
      <c r="Q91" s="1423"/>
      <c r="R91" s="235"/>
      <c r="S91" s="1421"/>
      <c r="T91" s="1423"/>
    </row>
    <row r="92" spans="1:20" ht="15.75" customHeight="1">
      <c r="A92" s="231"/>
      <c r="B92" s="994" t="s">
        <v>857</v>
      </c>
      <c r="C92" s="490" t="s">
        <v>14</v>
      </c>
      <c r="D92" s="280">
        <v>0</v>
      </c>
      <c r="E92" s="281">
        <v>0</v>
      </c>
      <c r="F92" s="281">
        <v>0</v>
      </c>
      <c r="G92" s="281">
        <v>0</v>
      </c>
      <c r="H92" s="282">
        <v>0</v>
      </c>
      <c r="I92" s="281">
        <v>0</v>
      </c>
      <c r="J92" s="283">
        <v>0</v>
      </c>
      <c r="K92" s="283">
        <v>0</v>
      </c>
      <c r="L92" s="283">
        <v>0</v>
      </c>
      <c r="M92" s="282">
        <v>0</v>
      </c>
      <c r="N92" s="783"/>
      <c r="O92" s="232">
        <v>0</v>
      </c>
      <c r="P92" s="233">
        <v>0</v>
      </c>
      <c r="Q92" s="234">
        <v>0</v>
      </c>
      <c r="R92" s="235"/>
      <c r="S92" s="232">
        <v>0</v>
      </c>
      <c r="T92" s="1367" t="s">
        <v>1021</v>
      </c>
    </row>
    <row r="93" spans="1:20" ht="15.75" customHeight="1">
      <c r="A93" s="231"/>
      <c r="B93" s="994" t="s">
        <v>858</v>
      </c>
      <c r="C93" s="490" t="s">
        <v>14</v>
      </c>
      <c r="D93" s="280">
        <v>0</v>
      </c>
      <c r="E93" s="281">
        <v>0</v>
      </c>
      <c r="F93" s="281">
        <v>0</v>
      </c>
      <c r="G93" s="281">
        <v>0</v>
      </c>
      <c r="H93" s="282">
        <v>0</v>
      </c>
      <c r="I93" s="281">
        <v>0</v>
      </c>
      <c r="J93" s="283">
        <v>0</v>
      </c>
      <c r="K93" s="283">
        <v>0</v>
      </c>
      <c r="L93" s="283">
        <v>0</v>
      </c>
      <c r="M93" s="282">
        <v>0</v>
      </c>
      <c r="N93" s="783"/>
      <c r="O93" s="232">
        <v>0</v>
      </c>
      <c r="P93" s="233">
        <v>0</v>
      </c>
      <c r="Q93" s="234">
        <v>0</v>
      </c>
      <c r="R93" s="235"/>
      <c r="S93" s="232">
        <v>0</v>
      </c>
      <c r="T93" s="1367" t="s">
        <v>1021</v>
      </c>
    </row>
    <row r="94" spans="1:20" ht="15.75" customHeight="1">
      <c r="A94" s="231"/>
      <c r="B94" s="1419" t="s">
        <v>694</v>
      </c>
      <c r="C94" s="490" t="s">
        <v>14</v>
      </c>
      <c r="D94" s="232">
        <v>0</v>
      </c>
      <c r="E94" s="1420">
        <v>0</v>
      </c>
      <c r="F94" s="1420">
        <v>0</v>
      </c>
      <c r="G94" s="1420">
        <v>0</v>
      </c>
      <c r="H94" s="234">
        <v>0</v>
      </c>
      <c r="I94" s="1420">
        <v>0</v>
      </c>
      <c r="J94" s="233">
        <v>0</v>
      </c>
      <c r="K94" s="233">
        <v>0</v>
      </c>
      <c r="L94" s="233">
        <v>0</v>
      </c>
      <c r="M94" s="234">
        <v>0</v>
      </c>
      <c r="N94" s="783"/>
      <c r="O94" s="232">
        <v>0</v>
      </c>
      <c r="P94" s="233">
        <v>0</v>
      </c>
      <c r="Q94" s="234">
        <v>0</v>
      </c>
      <c r="R94" s="235"/>
      <c r="S94" s="232">
        <v>0</v>
      </c>
      <c r="T94" s="1367" t="s">
        <v>1021</v>
      </c>
    </row>
    <row r="95" spans="1:20" ht="15.75" customHeight="1">
      <c r="A95" s="231"/>
      <c r="B95" s="1385"/>
      <c r="C95" s="490"/>
      <c r="D95" s="1421"/>
      <c r="E95" s="1422"/>
      <c r="F95" s="1422"/>
      <c r="G95" s="1422"/>
      <c r="H95" s="1423"/>
      <c r="I95" s="1422"/>
      <c r="J95" s="1422"/>
      <c r="K95" s="1422"/>
      <c r="L95" s="1422"/>
      <c r="M95" s="1423"/>
      <c r="N95" s="783"/>
      <c r="O95" s="1421"/>
      <c r="P95" s="1422"/>
      <c r="Q95" s="1423"/>
      <c r="R95" s="235"/>
      <c r="S95" s="1421"/>
      <c r="T95" s="1423"/>
    </row>
    <row r="96" spans="1:20" ht="15.75" customHeight="1">
      <c r="A96" s="231"/>
      <c r="B96" s="1385" t="s">
        <v>695</v>
      </c>
      <c r="C96" s="490" t="s">
        <v>14</v>
      </c>
      <c r="D96" s="284"/>
      <c r="E96" s="285"/>
      <c r="F96" s="285"/>
      <c r="G96" s="281">
        <v>0</v>
      </c>
      <c r="H96" s="282">
        <v>0</v>
      </c>
      <c r="I96" s="281">
        <v>0</v>
      </c>
      <c r="J96" s="283">
        <v>0</v>
      </c>
      <c r="K96" s="283">
        <v>0</v>
      </c>
      <c r="L96" s="283">
        <v>0</v>
      </c>
      <c r="M96" s="282">
        <v>0</v>
      </c>
      <c r="N96" s="783"/>
      <c r="O96" s="232">
        <v>0</v>
      </c>
      <c r="P96" s="233">
        <v>0</v>
      </c>
      <c r="Q96" s="234">
        <v>0</v>
      </c>
      <c r="R96" s="235"/>
      <c r="S96" s="232">
        <v>0</v>
      </c>
      <c r="T96" s="1367" t="s">
        <v>1021</v>
      </c>
    </row>
    <row r="97" spans="1:20" ht="15.75" customHeight="1">
      <c r="A97" s="231"/>
      <c r="B97" s="1385" t="s">
        <v>696</v>
      </c>
      <c r="C97" s="490" t="s">
        <v>14</v>
      </c>
      <c r="D97" s="1372">
        <v>17.600000000000001</v>
      </c>
      <c r="E97" s="1375">
        <v>18.100000000000001</v>
      </c>
      <c r="F97" s="1375">
        <v>20.7</v>
      </c>
      <c r="G97" s="1375">
        <v>15.3</v>
      </c>
      <c r="H97" s="1374">
        <v>14.6</v>
      </c>
      <c r="I97" s="1375">
        <v>13.7</v>
      </c>
      <c r="J97" s="1373">
        <v>13.4</v>
      </c>
      <c r="K97" s="1373">
        <v>12.4</v>
      </c>
      <c r="L97" s="1373">
        <v>12.4</v>
      </c>
      <c r="M97" s="1374">
        <v>12.4</v>
      </c>
      <c r="N97" s="801"/>
      <c r="O97" s="1372">
        <v>56.4</v>
      </c>
      <c r="P97" s="1373">
        <v>29.9</v>
      </c>
      <c r="Q97" s="1374">
        <v>86.3</v>
      </c>
      <c r="R97" s="1425"/>
      <c r="S97" s="1372">
        <v>67.5</v>
      </c>
      <c r="T97" s="1426">
        <v>-0.2178447276940905</v>
      </c>
    </row>
    <row r="98" spans="1:20" ht="15.75" customHeight="1">
      <c r="A98" s="231"/>
      <c r="B98" s="1385"/>
      <c r="C98" s="490"/>
      <c r="D98" s="1421"/>
      <c r="E98" s="1422"/>
      <c r="F98" s="1422"/>
      <c r="G98" s="1422"/>
      <c r="H98" s="1423"/>
      <c r="I98" s="1422"/>
      <c r="J98" s="1422"/>
      <c r="K98" s="1422"/>
      <c r="L98" s="1422"/>
      <c r="M98" s="1423"/>
      <c r="N98" s="783"/>
      <c r="O98" s="1421"/>
      <c r="P98" s="1422"/>
      <c r="Q98" s="1423"/>
      <c r="R98" s="235"/>
      <c r="S98" s="1421"/>
      <c r="T98" s="1423"/>
    </row>
    <row r="99" spans="1:20" ht="15.75" customHeight="1">
      <c r="A99" s="231"/>
      <c r="B99" s="1385" t="s">
        <v>745</v>
      </c>
      <c r="C99" s="488" t="s">
        <v>14</v>
      </c>
      <c r="D99" s="284"/>
      <c r="E99" s="285"/>
      <c r="F99" s="285"/>
      <c r="G99" s="281">
        <v>0</v>
      </c>
      <c r="H99" s="282">
        <v>0</v>
      </c>
      <c r="I99" s="281">
        <v>0</v>
      </c>
      <c r="J99" s="283">
        <v>0</v>
      </c>
      <c r="K99" s="283">
        <v>0</v>
      </c>
      <c r="L99" s="283">
        <v>0</v>
      </c>
      <c r="M99" s="282">
        <v>0</v>
      </c>
      <c r="N99" s="783"/>
      <c r="O99" s="232">
        <v>0</v>
      </c>
      <c r="P99" s="233">
        <v>0</v>
      </c>
      <c r="Q99" s="234">
        <v>0</v>
      </c>
      <c r="R99" s="235"/>
      <c r="S99" s="232">
        <v>0</v>
      </c>
      <c r="T99" s="1367" t="s">
        <v>1021</v>
      </c>
    </row>
    <row r="100" spans="1:20" ht="15.75" customHeight="1" thickBot="1">
      <c r="A100" s="231"/>
      <c r="B100" s="1389" t="s">
        <v>746</v>
      </c>
      <c r="C100" s="491" t="s">
        <v>14</v>
      </c>
      <c r="D100" s="286"/>
      <c r="E100" s="287"/>
      <c r="F100" s="287"/>
      <c r="G100" s="288">
        <v>0</v>
      </c>
      <c r="H100" s="289">
        <v>0</v>
      </c>
      <c r="I100" s="288">
        <v>0</v>
      </c>
      <c r="J100" s="290">
        <v>0</v>
      </c>
      <c r="K100" s="290">
        <v>0</v>
      </c>
      <c r="L100" s="290">
        <v>0</v>
      </c>
      <c r="M100" s="289">
        <v>0</v>
      </c>
      <c r="N100" s="783"/>
      <c r="O100" s="236">
        <v>0</v>
      </c>
      <c r="P100" s="237">
        <v>0</v>
      </c>
      <c r="Q100" s="238">
        <v>0</v>
      </c>
      <c r="R100" s="235"/>
      <c r="S100" s="236">
        <v>0</v>
      </c>
      <c r="T100" s="1376" t="s">
        <v>1021</v>
      </c>
    </row>
    <row r="101" spans="1:20">
      <c r="A101" s="231"/>
      <c r="B101" s="231"/>
      <c r="C101" s="231"/>
      <c r="D101" s="782"/>
      <c r="E101" s="782"/>
      <c r="F101" s="782"/>
      <c r="G101" s="782"/>
      <c r="H101" s="782"/>
      <c r="I101" s="782"/>
      <c r="J101" s="782"/>
      <c r="K101" s="782"/>
      <c r="L101" s="782"/>
      <c r="M101" s="782"/>
      <c r="N101" s="782"/>
      <c r="O101" s="782"/>
      <c r="P101" s="782"/>
      <c r="Q101" s="782"/>
      <c r="R101" s="782"/>
      <c r="S101" s="782"/>
      <c r="T101" s="782"/>
    </row>
    <row r="102" spans="1:20">
      <c r="A102" s="231"/>
      <c r="B102" s="231"/>
      <c r="C102" s="291"/>
      <c r="D102" s="784"/>
      <c r="E102" s="784"/>
      <c r="F102" s="784"/>
      <c r="G102" s="784"/>
      <c r="H102" s="784"/>
      <c r="I102" s="784"/>
      <c r="J102" s="784"/>
      <c r="K102" s="784"/>
      <c r="L102" s="784"/>
      <c r="M102" s="784"/>
      <c r="N102" s="783"/>
      <c r="O102" s="784"/>
      <c r="P102" s="784"/>
      <c r="Q102" s="784"/>
      <c r="R102" s="783"/>
      <c r="S102" s="784"/>
      <c r="T102" s="784"/>
    </row>
    <row r="103" spans="1:20" s="852" customFormat="1" ht="15.75" customHeight="1">
      <c r="A103" s="980"/>
      <c r="B103" s="1350" t="s">
        <v>140</v>
      </c>
      <c r="C103" s="295"/>
      <c r="D103" s="784"/>
      <c r="E103" s="784"/>
      <c r="F103" s="784"/>
      <c r="G103" s="784"/>
      <c r="H103" s="784"/>
      <c r="I103" s="784"/>
      <c r="J103" s="784"/>
      <c r="K103" s="784"/>
      <c r="L103" s="784"/>
      <c r="M103" s="784"/>
      <c r="N103" s="784"/>
      <c r="O103" s="989"/>
      <c r="P103" s="989"/>
      <c r="Q103" s="989"/>
      <c r="R103" s="982"/>
      <c r="S103" s="784"/>
      <c r="T103" s="784"/>
    </row>
    <row r="104" spans="1:20" ht="13.5" thickBot="1">
      <c r="A104" s="231"/>
      <c r="B104" s="1377"/>
      <c r="C104" s="492"/>
      <c r="D104" s="810"/>
      <c r="E104" s="810"/>
      <c r="F104" s="810"/>
      <c r="G104" s="810"/>
      <c r="H104" s="810"/>
      <c r="I104" s="810"/>
      <c r="J104" s="810"/>
      <c r="K104" s="810"/>
      <c r="L104" s="810"/>
      <c r="M104" s="810"/>
      <c r="N104" s="783"/>
      <c r="O104" s="810"/>
      <c r="P104" s="810"/>
      <c r="Q104" s="810"/>
      <c r="R104" s="783"/>
      <c r="S104" s="810"/>
      <c r="T104" s="810"/>
    </row>
    <row r="105" spans="1:20" ht="15.75" customHeight="1">
      <c r="A105" s="231"/>
      <c r="B105" s="1885" t="s">
        <v>140</v>
      </c>
      <c r="C105" s="1889" t="s">
        <v>31</v>
      </c>
      <c r="D105" s="785" t="s">
        <v>116</v>
      </c>
      <c r="E105" s="786"/>
      <c r="F105" s="786"/>
      <c r="G105" s="786"/>
      <c r="H105" s="787"/>
      <c r="I105" s="786" t="s">
        <v>117</v>
      </c>
      <c r="J105" s="788"/>
      <c r="K105" s="788"/>
      <c r="L105" s="788"/>
      <c r="M105" s="787"/>
      <c r="N105" s="783"/>
      <c r="O105" s="811" t="s">
        <v>116</v>
      </c>
      <c r="P105" s="812"/>
      <c r="Q105" s="813"/>
      <c r="R105" s="783"/>
      <c r="S105" s="811" t="s">
        <v>117</v>
      </c>
      <c r="T105" s="813"/>
    </row>
    <row r="106" spans="1:20" ht="25.5">
      <c r="A106" s="231"/>
      <c r="B106" s="1886"/>
      <c r="C106" s="1890"/>
      <c r="D106" s="789" t="s">
        <v>32</v>
      </c>
      <c r="E106" s="790" t="s">
        <v>33</v>
      </c>
      <c r="F106" s="790" t="s">
        <v>29</v>
      </c>
      <c r="G106" s="790" t="s">
        <v>34</v>
      </c>
      <c r="H106" s="791" t="s">
        <v>35</v>
      </c>
      <c r="I106" s="792" t="s">
        <v>118</v>
      </c>
      <c r="J106" s="790" t="s">
        <v>136</v>
      </c>
      <c r="K106" s="790" t="s">
        <v>137</v>
      </c>
      <c r="L106" s="790" t="s">
        <v>138</v>
      </c>
      <c r="M106" s="791" t="s">
        <v>139</v>
      </c>
      <c r="N106" s="783"/>
      <c r="O106" s="814" t="s">
        <v>126</v>
      </c>
      <c r="P106" s="815" t="s">
        <v>127</v>
      </c>
      <c r="Q106" s="816" t="s">
        <v>245</v>
      </c>
      <c r="R106" s="783"/>
      <c r="S106" s="814" t="s">
        <v>127</v>
      </c>
      <c r="T106" s="816" t="s">
        <v>128</v>
      </c>
    </row>
    <row r="107" spans="1:20" ht="15.75" customHeight="1">
      <c r="A107" s="231"/>
      <c r="B107" s="1427" t="s">
        <v>141</v>
      </c>
      <c r="C107" s="304"/>
      <c r="D107" s="793"/>
      <c r="E107" s="794"/>
      <c r="F107" s="794"/>
      <c r="G107" s="794"/>
      <c r="H107" s="795"/>
      <c r="I107" s="794"/>
      <c r="J107" s="794"/>
      <c r="K107" s="794"/>
      <c r="L107" s="794"/>
      <c r="M107" s="795"/>
      <c r="N107" s="783"/>
      <c r="O107" s="817"/>
      <c r="P107" s="818"/>
      <c r="Q107" s="819"/>
      <c r="R107" s="783"/>
      <c r="S107" s="793"/>
      <c r="T107" s="795"/>
    </row>
    <row r="108" spans="1:20" ht="15.75" customHeight="1">
      <c r="A108" s="231"/>
      <c r="B108" s="995" t="s">
        <v>857</v>
      </c>
      <c r="C108" s="490" t="s">
        <v>14</v>
      </c>
      <c r="D108" s="280">
        <v>14.1</v>
      </c>
      <c r="E108" s="281">
        <v>12</v>
      </c>
      <c r="F108" s="281">
        <v>13.8</v>
      </c>
      <c r="G108" s="281">
        <v>11.3</v>
      </c>
      <c r="H108" s="282">
        <v>10.9</v>
      </c>
      <c r="I108" s="281">
        <v>10</v>
      </c>
      <c r="J108" s="283">
        <v>9.8000000000000007</v>
      </c>
      <c r="K108" s="283">
        <v>9</v>
      </c>
      <c r="L108" s="283">
        <v>9</v>
      </c>
      <c r="M108" s="282">
        <v>9</v>
      </c>
      <c r="N108" s="783"/>
      <c r="O108" s="232">
        <v>39.9</v>
      </c>
      <c r="P108" s="233">
        <v>22.2</v>
      </c>
      <c r="Q108" s="234">
        <v>62.1</v>
      </c>
      <c r="R108" s="235"/>
      <c r="S108" s="232">
        <v>46.9</v>
      </c>
      <c r="T108" s="1367">
        <v>-0.24476650563607089</v>
      </c>
    </row>
    <row r="109" spans="1:20" ht="15.75" customHeight="1">
      <c r="A109" s="231"/>
      <c r="B109" s="995" t="s">
        <v>142</v>
      </c>
      <c r="C109" s="490" t="s">
        <v>14</v>
      </c>
      <c r="D109" s="280">
        <v>0.1</v>
      </c>
      <c r="E109" s="281">
        <v>0.4</v>
      </c>
      <c r="F109" s="281">
        <v>0.9</v>
      </c>
      <c r="G109" s="281">
        <v>0.4</v>
      </c>
      <c r="H109" s="282">
        <v>0.4</v>
      </c>
      <c r="I109" s="281">
        <v>1.3</v>
      </c>
      <c r="J109" s="283">
        <v>1.3</v>
      </c>
      <c r="K109" s="283">
        <v>1.1000000000000001</v>
      </c>
      <c r="L109" s="283">
        <v>1.1000000000000001</v>
      </c>
      <c r="M109" s="282">
        <v>1.1000000000000001</v>
      </c>
      <c r="N109" s="783"/>
      <c r="O109" s="232">
        <v>1.4</v>
      </c>
      <c r="P109" s="233">
        <v>0.8</v>
      </c>
      <c r="Q109" s="234">
        <v>2.2000000000000002</v>
      </c>
      <c r="R109" s="235"/>
      <c r="S109" s="232">
        <v>1.6</v>
      </c>
      <c r="T109" s="1367">
        <v>-0.2727272727272726</v>
      </c>
    </row>
    <row r="110" spans="1:20" ht="15.75" customHeight="1">
      <c r="A110" s="231"/>
      <c r="B110" s="1428" t="s">
        <v>859</v>
      </c>
      <c r="C110" s="490" t="s">
        <v>14</v>
      </c>
      <c r="D110" s="232">
        <v>14.2</v>
      </c>
      <c r="E110" s="1420">
        <v>12.4</v>
      </c>
      <c r="F110" s="1420">
        <v>14.7</v>
      </c>
      <c r="G110" s="1420">
        <v>11.7</v>
      </c>
      <c r="H110" s="234">
        <v>11.3</v>
      </c>
      <c r="I110" s="1420">
        <v>11.3</v>
      </c>
      <c r="J110" s="233">
        <v>11.1</v>
      </c>
      <c r="K110" s="233">
        <v>10.1</v>
      </c>
      <c r="L110" s="233">
        <v>10.1</v>
      </c>
      <c r="M110" s="234">
        <v>10.1</v>
      </c>
      <c r="N110" s="783"/>
      <c r="O110" s="232">
        <v>41.3</v>
      </c>
      <c r="P110" s="233">
        <v>23</v>
      </c>
      <c r="Q110" s="234">
        <v>64.3</v>
      </c>
      <c r="R110" s="235"/>
      <c r="S110" s="232">
        <v>48.5</v>
      </c>
      <c r="T110" s="1367">
        <v>-0.24572317262830495</v>
      </c>
    </row>
    <row r="111" spans="1:20" ht="15.75" customHeight="1">
      <c r="A111" s="231"/>
      <c r="B111" s="1427" t="s">
        <v>871</v>
      </c>
      <c r="C111" s="305"/>
      <c r="D111" s="1421"/>
      <c r="E111" s="1422"/>
      <c r="F111" s="1422"/>
      <c r="G111" s="1422"/>
      <c r="H111" s="1423"/>
      <c r="I111" s="1422"/>
      <c r="J111" s="1422"/>
      <c r="K111" s="1422"/>
      <c r="L111" s="1422"/>
      <c r="M111" s="1423"/>
      <c r="N111" s="783"/>
      <c r="O111" s="1424"/>
      <c r="P111" s="1422"/>
      <c r="Q111" s="1423"/>
      <c r="R111" s="235"/>
      <c r="S111" s="1421"/>
      <c r="T111" s="1423"/>
    </row>
    <row r="112" spans="1:20" ht="15.75" customHeight="1">
      <c r="A112" s="231"/>
      <c r="B112" s="995" t="s">
        <v>857</v>
      </c>
      <c r="C112" s="490" t="s">
        <v>14</v>
      </c>
      <c r="D112" s="280">
        <v>2.2000000000000002</v>
      </c>
      <c r="E112" s="281">
        <v>3.2</v>
      </c>
      <c r="F112" s="281">
        <v>2.5</v>
      </c>
      <c r="G112" s="281">
        <v>1.7</v>
      </c>
      <c r="H112" s="282">
        <v>1.9</v>
      </c>
      <c r="I112" s="281">
        <v>1.1000000000000001</v>
      </c>
      <c r="J112" s="283">
        <v>1</v>
      </c>
      <c r="K112" s="283">
        <v>1</v>
      </c>
      <c r="L112" s="283">
        <v>1</v>
      </c>
      <c r="M112" s="282">
        <v>1</v>
      </c>
      <c r="N112" s="783"/>
      <c r="O112" s="232">
        <v>7.9</v>
      </c>
      <c r="P112" s="233">
        <v>3.6</v>
      </c>
      <c r="Q112" s="234">
        <v>11.5</v>
      </c>
      <c r="R112" s="235"/>
      <c r="S112" s="232">
        <v>11.9</v>
      </c>
      <c r="T112" s="1367">
        <v>3.4782608695652049E-2</v>
      </c>
    </row>
    <row r="113" spans="1:20" ht="15.75" customHeight="1">
      <c r="A113" s="231"/>
      <c r="B113" s="995" t="s">
        <v>142</v>
      </c>
      <c r="C113" s="490" t="s">
        <v>14</v>
      </c>
      <c r="D113" s="280">
        <v>0</v>
      </c>
      <c r="E113" s="281">
        <v>0</v>
      </c>
      <c r="F113" s="281">
        <v>0.2</v>
      </c>
      <c r="G113" s="281">
        <v>0.2</v>
      </c>
      <c r="H113" s="282">
        <v>0.2</v>
      </c>
      <c r="I113" s="281">
        <v>1.3</v>
      </c>
      <c r="J113" s="283">
        <v>1.3</v>
      </c>
      <c r="K113" s="283">
        <v>1.3</v>
      </c>
      <c r="L113" s="283">
        <v>1.3</v>
      </c>
      <c r="M113" s="282">
        <v>1.3</v>
      </c>
      <c r="N113" s="783"/>
      <c r="O113" s="232">
        <v>0.2</v>
      </c>
      <c r="P113" s="233">
        <v>0.4</v>
      </c>
      <c r="Q113" s="234">
        <v>0.6</v>
      </c>
      <c r="R113" s="235"/>
      <c r="S113" s="232">
        <v>1.8</v>
      </c>
      <c r="T113" s="1367">
        <v>2</v>
      </c>
    </row>
    <row r="114" spans="1:20" ht="15.75" customHeight="1">
      <c r="A114" s="231"/>
      <c r="B114" s="1428" t="s">
        <v>860</v>
      </c>
      <c r="C114" s="490" t="s">
        <v>14</v>
      </c>
      <c r="D114" s="232">
        <v>2.2000000000000002</v>
      </c>
      <c r="E114" s="1420">
        <v>3.2</v>
      </c>
      <c r="F114" s="1420">
        <v>2.7</v>
      </c>
      <c r="G114" s="1420">
        <v>1.9</v>
      </c>
      <c r="H114" s="234">
        <v>2.1</v>
      </c>
      <c r="I114" s="1420">
        <v>2.4</v>
      </c>
      <c r="J114" s="233">
        <v>2.2999999999999998</v>
      </c>
      <c r="K114" s="233">
        <v>2.2999999999999998</v>
      </c>
      <c r="L114" s="233">
        <v>2.2999999999999998</v>
      </c>
      <c r="M114" s="234">
        <v>2.2999999999999998</v>
      </c>
      <c r="N114" s="783"/>
      <c r="O114" s="232">
        <v>8.1</v>
      </c>
      <c r="P114" s="233">
        <v>4</v>
      </c>
      <c r="Q114" s="234">
        <v>12.1</v>
      </c>
      <c r="R114" s="235"/>
      <c r="S114" s="232">
        <v>13.7</v>
      </c>
      <c r="T114" s="1367">
        <v>0.1322314049586775</v>
      </c>
    </row>
    <row r="115" spans="1:20" ht="15.75" customHeight="1">
      <c r="A115" s="231"/>
      <c r="B115" s="1427" t="s">
        <v>708</v>
      </c>
      <c r="C115" s="305"/>
      <c r="D115" s="1421"/>
      <c r="E115" s="1422"/>
      <c r="F115" s="1422"/>
      <c r="G115" s="1422"/>
      <c r="H115" s="1423"/>
      <c r="I115" s="1422"/>
      <c r="J115" s="1422"/>
      <c r="K115" s="1422"/>
      <c r="L115" s="1422"/>
      <c r="M115" s="1423"/>
      <c r="N115" s="783"/>
      <c r="O115" s="1421"/>
      <c r="P115" s="1422"/>
      <c r="Q115" s="1423"/>
      <c r="R115" s="235"/>
      <c r="S115" s="1421"/>
      <c r="T115" s="1423"/>
    </row>
    <row r="116" spans="1:20" ht="15.75" customHeight="1">
      <c r="A116" s="231"/>
      <c r="B116" s="995" t="s">
        <v>857</v>
      </c>
      <c r="C116" s="490" t="s">
        <v>14</v>
      </c>
      <c r="D116" s="280">
        <v>0.6</v>
      </c>
      <c r="E116" s="281">
        <v>1.2</v>
      </c>
      <c r="F116" s="281">
        <v>0.5</v>
      </c>
      <c r="G116" s="281">
        <v>0.4</v>
      </c>
      <c r="H116" s="282">
        <v>0</v>
      </c>
      <c r="I116" s="281">
        <v>0</v>
      </c>
      <c r="J116" s="281">
        <v>0</v>
      </c>
      <c r="K116" s="281">
        <v>0</v>
      </c>
      <c r="L116" s="281">
        <v>0</v>
      </c>
      <c r="M116" s="281">
        <v>0</v>
      </c>
      <c r="N116" s="783"/>
      <c r="O116" s="232">
        <v>2.2999999999999998</v>
      </c>
      <c r="P116" s="233">
        <v>0.4</v>
      </c>
      <c r="Q116" s="234">
        <v>2.7</v>
      </c>
      <c r="R116" s="235"/>
      <c r="S116" s="232">
        <v>0.8</v>
      </c>
      <c r="T116" s="1367">
        <v>-0.70370370370370361</v>
      </c>
    </row>
    <row r="117" spans="1:20" ht="15.75" customHeight="1">
      <c r="A117" s="231"/>
      <c r="B117" s="995" t="s">
        <v>142</v>
      </c>
      <c r="C117" s="490" t="s">
        <v>14</v>
      </c>
      <c r="D117" s="280">
        <v>0</v>
      </c>
      <c r="E117" s="281">
        <v>0.3</v>
      </c>
      <c r="F117" s="281">
        <v>1.1000000000000001</v>
      </c>
      <c r="G117" s="281">
        <v>0.15</v>
      </c>
      <c r="H117" s="282">
        <v>0.1</v>
      </c>
      <c r="I117" s="281">
        <v>0</v>
      </c>
      <c r="J117" s="281">
        <v>0</v>
      </c>
      <c r="K117" s="281">
        <v>0</v>
      </c>
      <c r="L117" s="281">
        <v>0</v>
      </c>
      <c r="M117" s="281">
        <v>0</v>
      </c>
      <c r="N117" s="783"/>
      <c r="O117" s="232">
        <v>1.4</v>
      </c>
      <c r="P117" s="233">
        <v>0.25</v>
      </c>
      <c r="Q117" s="234">
        <v>1.65</v>
      </c>
      <c r="R117" s="235"/>
      <c r="S117" s="232">
        <v>0.3</v>
      </c>
      <c r="T117" s="1367">
        <v>-0.81818181818181812</v>
      </c>
    </row>
    <row r="118" spans="1:20" ht="15.75" customHeight="1">
      <c r="A118" s="231"/>
      <c r="B118" s="1428" t="s">
        <v>861</v>
      </c>
      <c r="C118" s="490" t="s">
        <v>14</v>
      </c>
      <c r="D118" s="232">
        <v>0.6</v>
      </c>
      <c r="E118" s="1420">
        <v>1.5</v>
      </c>
      <c r="F118" s="1420">
        <v>1.6</v>
      </c>
      <c r="G118" s="1420">
        <v>0.55000000000000004</v>
      </c>
      <c r="H118" s="234">
        <v>0.1</v>
      </c>
      <c r="I118" s="1420">
        <v>0</v>
      </c>
      <c r="J118" s="233">
        <v>0.55000000000000004</v>
      </c>
      <c r="K118" s="233">
        <v>0</v>
      </c>
      <c r="L118" s="233">
        <v>0</v>
      </c>
      <c r="M118" s="234">
        <v>0.55000000000000004</v>
      </c>
      <c r="N118" s="783"/>
      <c r="O118" s="232">
        <v>3.7</v>
      </c>
      <c r="P118" s="233">
        <v>0.65</v>
      </c>
      <c r="Q118" s="234">
        <v>4.3499999999999996</v>
      </c>
      <c r="R118" s="235"/>
      <c r="S118" s="232">
        <v>1.1000000000000001</v>
      </c>
      <c r="T118" s="1367">
        <v>-0.74712643678160917</v>
      </c>
    </row>
    <row r="119" spans="1:20" ht="15.75" customHeight="1">
      <c r="A119" s="231"/>
      <c r="B119" s="1427" t="s">
        <v>599</v>
      </c>
      <c r="C119" s="305"/>
      <c r="D119" s="1421"/>
      <c r="E119" s="1422"/>
      <c r="F119" s="1422"/>
      <c r="G119" s="1422"/>
      <c r="H119" s="1423"/>
      <c r="I119" s="1422"/>
      <c r="J119" s="1422"/>
      <c r="K119" s="1422"/>
      <c r="L119" s="1422"/>
      <c r="M119" s="1423"/>
      <c r="N119" s="783"/>
      <c r="O119" s="1421"/>
      <c r="P119" s="1422"/>
      <c r="Q119" s="1423"/>
      <c r="R119" s="235"/>
      <c r="S119" s="1421"/>
      <c r="T119" s="1423"/>
    </row>
    <row r="120" spans="1:20" ht="15.75" customHeight="1">
      <c r="A120" s="231"/>
      <c r="B120" s="995" t="s">
        <v>857</v>
      </c>
      <c r="C120" s="490" t="s">
        <v>14</v>
      </c>
      <c r="D120" s="280">
        <v>0</v>
      </c>
      <c r="E120" s="281">
        <v>0</v>
      </c>
      <c r="F120" s="281">
        <v>0</v>
      </c>
      <c r="G120" s="281">
        <v>0</v>
      </c>
      <c r="H120" s="282">
        <v>0</v>
      </c>
      <c r="I120" s="281">
        <v>0</v>
      </c>
      <c r="J120" s="283">
        <v>0</v>
      </c>
      <c r="K120" s="283">
        <v>0</v>
      </c>
      <c r="L120" s="283">
        <v>0</v>
      </c>
      <c r="M120" s="282">
        <v>0</v>
      </c>
      <c r="N120" s="783"/>
      <c r="O120" s="232">
        <v>0</v>
      </c>
      <c r="P120" s="233">
        <v>0</v>
      </c>
      <c r="Q120" s="234">
        <v>0</v>
      </c>
      <c r="R120" s="235"/>
      <c r="S120" s="232">
        <v>0</v>
      </c>
      <c r="T120" s="1367" t="s">
        <v>1021</v>
      </c>
    </row>
    <row r="121" spans="1:20" ht="15.75" customHeight="1">
      <c r="A121" s="231"/>
      <c r="B121" s="995" t="s">
        <v>142</v>
      </c>
      <c r="C121" s="490" t="s">
        <v>14</v>
      </c>
      <c r="D121" s="280">
        <v>0</v>
      </c>
      <c r="E121" s="281">
        <v>0</v>
      </c>
      <c r="F121" s="281">
        <v>0</v>
      </c>
      <c r="G121" s="281">
        <v>0</v>
      </c>
      <c r="H121" s="282">
        <v>0</v>
      </c>
      <c r="I121" s="281">
        <v>0</v>
      </c>
      <c r="J121" s="283">
        <v>0</v>
      </c>
      <c r="K121" s="283">
        <v>0</v>
      </c>
      <c r="L121" s="283">
        <v>0</v>
      </c>
      <c r="M121" s="282">
        <v>0</v>
      </c>
      <c r="N121" s="783"/>
      <c r="O121" s="232">
        <v>0</v>
      </c>
      <c r="P121" s="233">
        <v>0</v>
      </c>
      <c r="Q121" s="234">
        <v>0</v>
      </c>
      <c r="R121" s="235"/>
      <c r="S121" s="232">
        <v>0</v>
      </c>
      <c r="T121" s="1367" t="s">
        <v>1021</v>
      </c>
    </row>
    <row r="122" spans="1:20" ht="15.75" customHeight="1">
      <c r="A122" s="231"/>
      <c r="B122" s="1428" t="s">
        <v>694</v>
      </c>
      <c r="C122" s="490" t="s">
        <v>14</v>
      </c>
      <c r="D122" s="232">
        <v>0</v>
      </c>
      <c r="E122" s="1420">
        <v>0</v>
      </c>
      <c r="F122" s="1420">
        <v>0</v>
      </c>
      <c r="G122" s="1420">
        <v>0</v>
      </c>
      <c r="H122" s="234">
        <v>0</v>
      </c>
      <c r="I122" s="1420">
        <v>0</v>
      </c>
      <c r="J122" s="233">
        <v>0</v>
      </c>
      <c r="K122" s="233">
        <v>0</v>
      </c>
      <c r="L122" s="233">
        <v>0</v>
      </c>
      <c r="M122" s="234">
        <v>0</v>
      </c>
      <c r="N122" s="783"/>
      <c r="O122" s="232">
        <v>0</v>
      </c>
      <c r="P122" s="233">
        <v>0</v>
      </c>
      <c r="Q122" s="234">
        <v>0</v>
      </c>
      <c r="R122" s="235"/>
      <c r="S122" s="232">
        <v>0</v>
      </c>
      <c r="T122" s="1367" t="s">
        <v>1021</v>
      </c>
    </row>
    <row r="123" spans="1:20" ht="15.75" customHeight="1">
      <c r="A123" s="231"/>
      <c r="B123" s="1419"/>
      <c r="C123" s="490"/>
      <c r="D123" s="1421"/>
      <c r="E123" s="1422"/>
      <c r="F123" s="1422"/>
      <c r="G123" s="1422"/>
      <c r="H123" s="1423"/>
      <c r="I123" s="1422"/>
      <c r="J123" s="1422"/>
      <c r="K123" s="1422"/>
      <c r="L123" s="1422"/>
      <c r="M123" s="1423"/>
      <c r="N123" s="783"/>
      <c r="O123" s="1421"/>
      <c r="P123" s="1422"/>
      <c r="Q123" s="1423"/>
      <c r="R123" s="235"/>
      <c r="S123" s="1421"/>
      <c r="T123" s="1423"/>
    </row>
    <row r="124" spans="1:20" ht="15.75" customHeight="1">
      <c r="A124" s="231"/>
      <c r="B124" s="1427" t="s">
        <v>451</v>
      </c>
      <c r="C124" s="488" t="s">
        <v>14</v>
      </c>
      <c r="D124" s="1375">
        <v>17</v>
      </c>
      <c r="E124" s="1375">
        <v>17.100000000000001</v>
      </c>
      <c r="F124" s="1375">
        <v>19</v>
      </c>
      <c r="G124" s="1375">
        <v>14.15</v>
      </c>
      <c r="H124" s="1374">
        <v>13.5</v>
      </c>
      <c r="I124" s="1375">
        <v>13.7</v>
      </c>
      <c r="J124" s="1373">
        <v>13.4</v>
      </c>
      <c r="K124" s="1373">
        <v>12.4</v>
      </c>
      <c r="L124" s="1373">
        <v>12.4</v>
      </c>
      <c r="M124" s="1374">
        <v>12.4</v>
      </c>
      <c r="N124" s="801"/>
      <c r="O124" s="1372">
        <v>53.1</v>
      </c>
      <c r="P124" s="1373">
        <v>27.65</v>
      </c>
      <c r="Q124" s="1374">
        <v>80.75</v>
      </c>
      <c r="R124" s="1425"/>
      <c r="S124" s="1372">
        <v>63.3</v>
      </c>
      <c r="T124" s="1426">
        <v>-0.21609907120743044</v>
      </c>
    </row>
    <row r="125" spans="1:20" ht="15.75" customHeight="1">
      <c r="A125" s="231"/>
      <c r="B125" s="1427" t="s">
        <v>452</v>
      </c>
      <c r="C125" s="488" t="s">
        <v>14</v>
      </c>
      <c r="D125" s="280">
        <v>-0.7</v>
      </c>
      <c r="E125" s="281">
        <v>3.8</v>
      </c>
      <c r="F125" s="281">
        <v>5.8</v>
      </c>
      <c r="G125" s="281">
        <v>5.4</v>
      </c>
      <c r="H125" s="282">
        <v>5.0999999999999996</v>
      </c>
      <c r="I125" s="281">
        <v>4.8</v>
      </c>
      <c r="J125" s="283">
        <v>5</v>
      </c>
      <c r="K125" s="283">
        <v>4.7</v>
      </c>
      <c r="L125" s="283">
        <v>4.7</v>
      </c>
      <c r="M125" s="282">
        <v>4.9000000000000004</v>
      </c>
      <c r="N125" s="801"/>
      <c r="O125" s="1372">
        <v>8.9</v>
      </c>
      <c r="P125" s="1373">
        <v>10.5</v>
      </c>
      <c r="Q125" s="1374">
        <v>19.399999999999999</v>
      </c>
      <c r="R125" s="1425"/>
      <c r="S125" s="1372">
        <v>24.1</v>
      </c>
      <c r="T125" s="1426">
        <v>0.24226804123711357</v>
      </c>
    </row>
    <row r="126" spans="1:20" ht="15.75" customHeight="1">
      <c r="A126" s="231"/>
      <c r="B126" s="1427" t="s">
        <v>453</v>
      </c>
      <c r="C126" s="488" t="s">
        <v>14</v>
      </c>
      <c r="D126" s="1372">
        <v>16.3</v>
      </c>
      <c r="E126" s="1375">
        <v>20.9</v>
      </c>
      <c r="F126" s="1375">
        <v>24.8</v>
      </c>
      <c r="G126" s="1375">
        <v>19.55</v>
      </c>
      <c r="H126" s="1374">
        <v>18.600000000000001</v>
      </c>
      <c r="I126" s="1375">
        <f>+I125+I124</f>
        <v>18.5</v>
      </c>
      <c r="J126" s="1375">
        <f>+J125+J124</f>
        <v>18.399999999999999</v>
      </c>
      <c r="K126" s="1375">
        <f>+K125+K124</f>
        <v>17.100000000000001</v>
      </c>
      <c r="L126" s="1375">
        <f>+L125+L124</f>
        <v>17.100000000000001</v>
      </c>
      <c r="M126" s="1375">
        <f>+M125+M124</f>
        <v>17.3</v>
      </c>
      <c r="N126" s="801"/>
      <c r="O126" s="1372">
        <v>62</v>
      </c>
      <c r="P126" s="1373">
        <v>38.15</v>
      </c>
      <c r="Q126" s="1374">
        <v>100.15</v>
      </c>
      <c r="R126" s="1425"/>
      <c r="S126" s="1372">
        <v>87.4</v>
      </c>
      <c r="T126" s="1426">
        <v>-0.12730903644533201</v>
      </c>
    </row>
    <row r="127" spans="1:20" ht="15.75" customHeight="1">
      <c r="A127" s="231"/>
      <c r="B127" s="1427"/>
      <c r="C127" s="297"/>
      <c r="D127" s="1429"/>
      <c r="E127" s="1430"/>
      <c r="F127" s="1430"/>
      <c r="G127" s="1430"/>
      <c r="H127" s="1431"/>
      <c r="I127" s="1430"/>
      <c r="J127" s="1430"/>
      <c r="K127" s="1430"/>
      <c r="L127" s="1430"/>
      <c r="M127" s="1431"/>
      <c r="N127" s="783"/>
      <c r="O127" s="1421"/>
      <c r="P127" s="1422"/>
      <c r="Q127" s="1423"/>
      <c r="R127" s="235"/>
      <c r="S127" s="1421"/>
      <c r="T127" s="1423"/>
    </row>
    <row r="128" spans="1:20" ht="15.75" customHeight="1" thickBot="1">
      <c r="A128" s="231"/>
      <c r="B128" s="1432" t="s">
        <v>484</v>
      </c>
      <c r="C128" s="489" t="s">
        <v>14</v>
      </c>
      <c r="D128" s="776">
        <v>1.3</v>
      </c>
      <c r="E128" s="776">
        <v>-2.8</v>
      </c>
      <c r="F128" s="776">
        <v>-4.100000000000005</v>
      </c>
      <c r="G128" s="776">
        <v>-4.25</v>
      </c>
      <c r="H128" s="777">
        <v>-4</v>
      </c>
      <c r="I128" s="776">
        <v>-4.0999999999999996</v>
      </c>
      <c r="J128" s="778">
        <v>-4.05</v>
      </c>
      <c r="K128" s="778">
        <v>-3.9</v>
      </c>
      <c r="L128" s="778">
        <v>-3.9</v>
      </c>
      <c r="M128" s="777">
        <v>-3.95</v>
      </c>
      <c r="N128" s="801"/>
      <c r="O128" s="775">
        <v>-5.6000000000000085</v>
      </c>
      <c r="P128" s="778">
        <v>-8.25</v>
      </c>
      <c r="Q128" s="777">
        <v>-13.85</v>
      </c>
      <c r="R128" s="1425"/>
      <c r="S128" s="775">
        <v>-19.899999999999999</v>
      </c>
      <c r="T128" s="1433">
        <v>0.43682310469313945</v>
      </c>
    </row>
    <row r="129" spans="1:20">
      <c r="A129" s="231"/>
      <c r="B129" s="231"/>
      <c r="C129" s="291"/>
      <c r="D129" s="784"/>
      <c r="E129" s="784"/>
      <c r="F129" s="784"/>
      <c r="G129" s="784"/>
      <c r="H129" s="784"/>
      <c r="I129" s="784"/>
      <c r="J129" s="784"/>
      <c r="K129" s="784"/>
      <c r="L129" s="784"/>
      <c r="M129" s="784"/>
      <c r="N129" s="784"/>
      <c r="O129" s="784"/>
      <c r="P129" s="784"/>
      <c r="Q129" s="784"/>
      <c r="R129" s="784"/>
      <c r="S129" s="784"/>
      <c r="T129" s="784"/>
    </row>
    <row r="130" spans="1:20" ht="13.5" thickBot="1">
      <c r="A130" s="231"/>
      <c r="B130" s="231"/>
      <c r="C130" s="291"/>
      <c r="D130" s="784"/>
      <c r="E130" s="784"/>
      <c r="F130" s="784"/>
      <c r="G130" s="784"/>
      <c r="H130" s="784"/>
      <c r="I130" s="784"/>
      <c r="J130" s="784"/>
      <c r="K130" s="784"/>
      <c r="L130" s="784"/>
      <c r="M130" s="784"/>
      <c r="N130" s="784"/>
      <c r="O130" s="784"/>
      <c r="P130" s="784"/>
      <c r="Q130" s="784"/>
      <c r="R130" s="784"/>
      <c r="S130" s="784"/>
      <c r="T130" s="784"/>
    </row>
    <row r="131" spans="1:20">
      <c r="A131" s="231"/>
      <c r="B131" s="1887"/>
      <c r="C131" s="1889" t="s">
        <v>31</v>
      </c>
      <c r="D131" s="785" t="s">
        <v>116</v>
      </c>
      <c r="E131" s="786"/>
      <c r="F131" s="786"/>
      <c r="G131" s="786"/>
      <c r="H131" s="787"/>
      <c r="I131" s="786" t="s">
        <v>117</v>
      </c>
      <c r="J131" s="788"/>
      <c r="K131" s="788"/>
      <c r="L131" s="788"/>
      <c r="M131" s="787"/>
      <c r="N131" s="783"/>
      <c r="O131" s="811" t="s">
        <v>116</v>
      </c>
      <c r="P131" s="812"/>
      <c r="Q131" s="813"/>
      <c r="R131" s="783"/>
      <c r="S131" s="811" t="s">
        <v>117</v>
      </c>
      <c r="T131" s="813"/>
    </row>
    <row r="132" spans="1:20" ht="25.5">
      <c r="A132" s="231"/>
      <c r="B132" s="1888"/>
      <c r="C132" s="1890"/>
      <c r="D132" s="789" t="s">
        <v>32</v>
      </c>
      <c r="E132" s="790" t="s">
        <v>33</v>
      </c>
      <c r="F132" s="790" t="s">
        <v>29</v>
      </c>
      <c r="G132" s="790" t="s">
        <v>34</v>
      </c>
      <c r="H132" s="791" t="s">
        <v>35</v>
      </c>
      <c r="I132" s="792" t="s">
        <v>118</v>
      </c>
      <c r="J132" s="790" t="s">
        <v>136</v>
      </c>
      <c r="K132" s="790" t="s">
        <v>137</v>
      </c>
      <c r="L132" s="790" t="s">
        <v>138</v>
      </c>
      <c r="M132" s="791" t="s">
        <v>139</v>
      </c>
      <c r="N132" s="783"/>
      <c r="O132" s="814" t="s">
        <v>126</v>
      </c>
      <c r="P132" s="815" t="s">
        <v>127</v>
      </c>
      <c r="Q132" s="816" t="s">
        <v>245</v>
      </c>
      <c r="R132" s="783"/>
      <c r="S132" s="814" t="s">
        <v>127</v>
      </c>
      <c r="T132" s="816" t="s">
        <v>128</v>
      </c>
    </row>
    <row r="133" spans="1:20" s="852" customFormat="1" ht="15.75" customHeight="1">
      <c r="A133" s="980"/>
      <c r="B133" s="984" t="s">
        <v>485</v>
      </c>
      <c r="C133" s="985" t="s">
        <v>14</v>
      </c>
      <c r="D133" s="1363">
        <v>0.6</v>
      </c>
      <c r="E133" s="1364">
        <v>0.6</v>
      </c>
      <c r="F133" s="1364">
        <v>0.8</v>
      </c>
      <c r="G133" s="1364">
        <v>0.6</v>
      </c>
      <c r="H133" s="1365">
        <v>0.5</v>
      </c>
      <c r="I133" s="1364">
        <v>0.5</v>
      </c>
      <c r="J133" s="1366">
        <v>0.5</v>
      </c>
      <c r="K133" s="1366">
        <v>0.5</v>
      </c>
      <c r="L133" s="1366">
        <v>0.5</v>
      </c>
      <c r="M133" s="1365">
        <v>0.5</v>
      </c>
      <c r="N133" s="784"/>
      <c r="O133" s="1434">
        <v>2</v>
      </c>
      <c r="P133" s="1435">
        <v>1.1000000000000001</v>
      </c>
      <c r="Q133" s="1436">
        <v>3.1</v>
      </c>
      <c r="R133" s="235"/>
      <c r="S133" s="1434">
        <v>2.5</v>
      </c>
      <c r="T133" s="1437">
        <v>-0.19354838709677422</v>
      </c>
    </row>
    <row r="134" spans="1:20" s="852" customFormat="1" ht="15.75" customHeight="1">
      <c r="A134" s="980"/>
      <c r="B134" s="984" t="s">
        <v>360</v>
      </c>
      <c r="C134" s="985" t="s">
        <v>14</v>
      </c>
      <c r="D134" s="1368">
        <v>0</v>
      </c>
      <c r="E134" s="1369">
        <v>0</v>
      </c>
      <c r="F134" s="1369">
        <v>0.3</v>
      </c>
      <c r="G134" s="1369">
        <v>0.4</v>
      </c>
      <c r="H134" s="1370">
        <v>0.5</v>
      </c>
      <c r="I134" s="1369">
        <v>0.2</v>
      </c>
      <c r="J134" s="1371">
        <v>0.3</v>
      </c>
      <c r="K134" s="1371">
        <v>0.3</v>
      </c>
      <c r="L134" s="1371">
        <v>0.3</v>
      </c>
      <c r="M134" s="1370">
        <v>0.3</v>
      </c>
      <c r="N134" s="784"/>
      <c r="O134" s="232">
        <v>0.3</v>
      </c>
      <c r="P134" s="233">
        <v>0.9</v>
      </c>
      <c r="Q134" s="234">
        <v>1.2</v>
      </c>
      <c r="R134" s="235"/>
      <c r="S134" s="232">
        <v>1.4</v>
      </c>
      <c r="T134" s="1367">
        <v>0.16666666666666663</v>
      </c>
    </row>
    <row r="135" spans="1:20" s="852" customFormat="1" ht="15.75" customHeight="1">
      <c r="A135" s="980"/>
      <c r="B135" s="984" t="s">
        <v>489</v>
      </c>
      <c r="C135" s="985" t="s">
        <v>14</v>
      </c>
      <c r="D135" s="1368">
        <v>0</v>
      </c>
      <c r="E135" s="1369">
        <v>0.4</v>
      </c>
      <c r="F135" s="1369">
        <v>0.6</v>
      </c>
      <c r="G135" s="1369">
        <v>0.15</v>
      </c>
      <c r="H135" s="1370">
        <v>0.1</v>
      </c>
      <c r="I135" s="1369">
        <v>0</v>
      </c>
      <c r="J135" s="1371">
        <v>0.15</v>
      </c>
      <c r="K135" s="1371">
        <v>0</v>
      </c>
      <c r="L135" s="1371">
        <v>0</v>
      </c>
      <c r="M135" s="1370">
        <v>0.15</v>
      </c>
      <c r="N135" s="784"/>
      <c r="O135" s="232">
        <v>1</v>
      </c>
      <c r="P135" s="233">
        <v>0.25</v>
      </c>
      <c r="Q135" s="234">
        <v>1.25</v>
      </c>
      <c r="R135" s="235"/>
      <c r="S135" s="232">
        <v>0.3</v>
      </c>
      <c r="T135" s="1367">
        <v>-0.76</v>
      </c>
    </row>
    <row r="136" spans="1:20" s="852" customFormat="1" ht="15.75" customHeight="1" thickBot="1">
      <c r="A136" s="980"/>
      <c r="B136" s="986" t="s">
        <v>490</v>
      </c>
      <c r="C136" s="987" t="s">
        <v>14</v>
      </c>
      <c r="D136" s="1438">
        <v>0</v>
      </c>
      <c r="E136" s="1439">
        <v>0</v>
      </c>
      <c r="F136" s="1439">
        <v>0</v>
      </c>
      <c r="G136" s="1439">
        <v>0</v>
      </c>
      <c r="H136" s="1440">
        <v>0</v>
      </c>
      <c r="I136" s="1439">
        <v>0</v>
      </c>
      <c r="J136" s="1441">
        <v>0</v>
      </c>
      <c r="K136" s="1441">
        <v>0</v>
      </c>
      <c r="L136" s="1441">
        <v>0</v>
      </c>
      <c r="M136" s="1440">
        <v>0</v>
      </c>
      <c r="N136" s="784"/>
      <c r="O136" s="236">
        <v>0</v>
      </c>
      <c r="P136" s="237">
        <v>0</v>
      </c>
      <c r="Q136" s="238">
        <v>0</v>
      </c>
      <c r="R136" s="235"/>
      <c r="S136" s="236">
        <v>0</v>
      </c>
      <c r="T136" s="1376" t="s">
        <v>1021</v>
      </c>
    </row>
    <row r="137" spans="1:20">
      <c r="A137" s="306"/>
      <c r="B137" s="493"/>
      <c r="C137" s="307"/>
      <c r="D137" s="298"/>
      <c r="E137" s="298"/>
      <c r="F137" s="298"/>
      <c r="G137" s="298"/>
      <c r="H137" s="298"/>
      <c r="I137" s="298"/>
      <c r="J137" s="298"/>
      <c r="K137" s="298"/>
      <c r="L137" s="298"/>
      <c r="M137" s="298"/>
      <c r="N137" s="298"/>
      <c r="O137" s="295"/>
      <c r="P137" s="295"/>
      <c r="Q137" s="295"/>
      <c r="R137" s="295"/>
      <c r="S137" s="295"/>
      <c r="T137" s="295"/>
    </row>
    <row r="138" spans="1:20">
      <c r="A138" s="231"/>
      <c r="B138" s="231"/>
      <c r="C138" s="291"/>
      <c r="D138" s="295"/>
      <c r="E138" s="295"/>
      <c r="F138" s="295"/>
      <c r="G138" s="295"/>
      <c r="H138" s="295"/>
      <c r="I138" s="295"/>
      <c r="J138" s="295"/>
      <c r="K138" s="295"/>
      <c r="L138" s="295"/>
      <c r="M138" s="295"/>
      <c r="N138" s="295"/>
      <c r="O138" s="295"/>
      <c r="P138" s="295"/>
      <c r="Q138" s="295"/>
      <c r="R138" s="295"/>
      <c r="S138" s="295"/>
      <c r="T138" s="295"/>
    </row>
    <row r="139" spans="1:20">
      <c r="A139" s="231"/>
      <c r="B139" s="231"/>
      <c r="C139" s="291"/>
      <c r="D139" s="295"/>
      <c r="E139" s="295"/>
      <c r="F139" s="295"/>
      <c r="G139" s="295"/>
      <c r="H139" s="295"/>
      <c r="I139" s="295"/>
      <c r="J139" s="295"/>
      <c r="K139" s="295"/>
      <c r="L139" s="295"/>
      <c r="M139" s="295"/>
      <c r="N139" s="295"/>
      <c r="O139" s="295"/>
      <c r="P139" s="295"/>
      <c r="Q139" s="295"/>
      <c r="R139" s="295"/>
      <c r="S139" s="295"/>
      <c r="T139" s="295"/>
    </row>
    <row r="140" spans="1:20">
      <c r="A140" s="231"/>
      <c r="B140" s="231"/>
      <c r="C140" s="291"/>
      <c r="D140" s="295"/>
      <c r="E140" s="295"/>
      <c r="F140" s="295"/>
      <c r="G140" s="295"/>
      <c r="H140" s="295"/>
      <c r="I140" s="295"/>
      <c r="J140" s="295"/>
      <c r="K140" s="295"/>
      <c r="L140" s="295"/>
      <c r="M140" s="295"/>
      <c r="N140" s="295"/>
      <c r="O140" s="295"/>
      <c r="P140" s="295"/>
      <c r="Q140" s="295"/>
      <c r="R140" s="295"/>
      <c r="S140" s="295"/>
      <c r="T140" s="295"/>
    </row>
    <row r="141" spans="1:20">
      <c r="A141" s="231"/>
      <c r="B141" s="231"/>
      <c r="C141" s="291"/>
      <c r="D141" s="295"/>
      <c r="E141" s="295"/>
      <c r="F141" s="295"/>
      <c r="G141" s="295"/>
      <c r="H141" s="295"/>
      <c r="I141" s="295"/>
      <c r="J141" s="295"/>
      <c r="K141" s="295"/>
      <c r="L141" s="295"/>
      <c r="M141" s="295"/>
      <c r="N141" s="295"/>
      <c r="O141" s="295"/>
      <c r="P141" s="295"/>
      <c r="Q141" s="295"/>
      <c r="R141" s="295"/>
      <c r="S141" s="295"/>
      <c r="T141" s="295"/>
    </row>
    <row r="142" spans="1:20">
      <c r="A142" s="231"/>
      <c r="B142" s="231"/>
      <c r="C142" s="291"/>
      <c r="D142" s="295"/>
      <c r="E142" s="295"/>
      <c r="F142" s="295"/>
      <c r="G142" s="295"/>
      <c r="H142" s="295"/>
      <c r="I142" s="295"/>
      <c r="J142" s="295"/>
      <c r="K142" s="295"/>
      <c r="L142" s="295"/>
      <c r="M142" s="295"/>
      <c r="N142" s="295"/>
      <c r="O142" s="295"/>
      <c r="P142" s="295"/>
      <c r="Q142" s="295"/>
      <c r="R142" s="295"/>
      <c r="S142" s="295"/>
      <c r="T142" s="295"/>
    </row>
    <row r="143" spans="1:20">
      <c r="A143" s="231"/>
      <c r="B143" s="231"/>
      <c r="C143" s="291"/>
      <c r="D143" s="295"/>
      <c r="E143" s="295"/>
      <c r="F143" s="295"/>
      <c r="G143" s="295"/>
      <c r="H143" s="295"/>
      <c r="I143" s="295"/>
      <c r="J143" s="295"/>
      <c r="K143" s="295"/>
      <c r="L143" s="295"/>
      <c r="M143" s="295"/>
      <c r="N143" s="295"/>
      <c r="O143" s="295"/>
      <c r="P143" s="295"/>
      <c r="Q143" s="295"/>
      <c r="R143" s="295"/>
      <c r="S143" s="295"/>
      <c r="T143" s="295"/>
    </row>
    <row r="144" spans="1:20">
      <c r="A144" s="231"/>
      <c r="B144" s="231"/>
      <c r="C144" s="291"/>
      <c r="D144" s="295"/>
      <c r="E144" s="295"/>
      <c r="F144" s="295"/>
      <c r="G144" s="295"/>
      <c r="H144" s="295"/>
      <c r="I144" s="295"/>
      <c r="J144" s="295"/>
      <c r="K144" s="295"/>
      <c r="L144" s="295"/>
      <c r="M144" s="295"/>
      <c r="N144" s="295"/>
      <c r="O144" s="295"/>
      <c r="P144" s="295"/>
      <c r="Q144" s="295"/>
      <c r="R144" s="295"/>
      <c r="S144" s="295"/>
      <c r="T144" s="295"/>
    </row>
  </sheetData>
  <mergeCells count="12">
    <mergeCell ref="B105:B106"/>
    <mergeCell ref="B131:B132"/>
    <mergeCell ref="C8:C9"/>
    <mergeCell ref="B76:B77"/>
    <mergeCell ref="B8:B9"/>
    <mergeCell ref="B18:B19"/>
    <mergeCell ref="B51:B52"/>
    <mergeCell ref="C131:C132"/>
    <mergeCell ref="C105:C106"/>
    <mergeCell ref="C76:C77"/>
    <mergeCell ref="C51:C52"/>
    <mergeCell ref="C18:C19"/>
  </mergeCells>
  <phoneticPr fontId="0" type="noConversion"/>
  <hyperlinks>
    <hyperlink ref="F1" location="Inputs!A1" display="Index"/>
  </hyperlinks>
  <pageMargins left="0.7" right="0.7" top="0.75" bottom="0.75" header="0.3" footer="0.3"/>
  <pageSetup paperSize="9"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tabColor rgb="FFC1DFFF"/>
    <pageSetUpPr fitToPage="1"/>
  </sheetPr>
  <dimension ref="A1:AD267"/>
  <sheetViews>
    <sheetView topLeftCell="F1" zoomScaleSheetLayoutView="85" workbookViewId="0">
      <selection activeCell="F1" sqref="A1:XFD1048576"/>
    </sheetView>
  </sheetViews>
  <sheetFormatPr defaultColWidth="10.28515625" defaultRowHeight="12.75"/>
  <cols>
    <col min="1" max="1" width="3.7109375" style="558" customWidth="1"/>
    <col min="2" max="2" width="105.28515625" style="558" customWidth="1"/>
    <col min="3" max="3" width="7.42578125" style="559" customWidth="1"/>
    <col min="4" max="8" width="10" style="560" customWidth="1"/>
    <col min="9" max="13" width="10.28515625" style="560" customWidth="1"/>
    <col min="14" max="14" width="3.140625" style="560" customWidth="1"/>
    <col min="15" max="17" width="10.28515625" style="560" customWidth="1"/>
    <col min="18" max="18" width="3.140625" style="560" customWidth="1"/>
    <col min="19" max="19" width="10.28515625" style="560" customWidth="1"/>
    <col min="20" max="20" width="13" style="560" customWidth="1"/>
    <col min="21" max="16384" width="10.28515625" style="558"/>
  </cols>
  <sheetData>
    <row r="1" spans="1:30" s="549" customFormat="1" ht="26.25">
      <c r="A1" s="543" t="s">
        <v>852</v>
      </c>
      <c r="B1" s="544"/>
      <c r="C1" s="545"/>
      <c r="D1" s="546"/>
      <c r="E1" s="546"/>
      <c r="F1" s="546"/>
      <c r="G1" s="546"/>
      <c r="H1" s="546"/>
      <c r="I1" s="546"/>
      <c r="J1" s="547"/>
      <c r="K1" s="548"/>
      <c r="L1" s="548"/>
      <c r="M1" s="547"/>
      <c r="N1" s="547"/>
      <c r="O1" s="548"/>
      <c r="P1" s="547"/>
      <c r="Q1" s="547"/>
      <c r="R1" s="547"/>
      <c r="S1" s="547"/>
      <c r="T1" s="547"/>
      <c r="Y1" s="550"/>
      <c r="Z1" s="550"/>
      <c r="AA1" s="550"/>
      <c r="AB1" s="550"/>
      <c r="AC1" s="550"/>
      <c r="AD1" s="550"/>
    </row>
    <row r="2" spans="1:30" s="549" customFormat="1" ht="18">
      <c r="A2" s="551"/>
      <c r="C2" s="552"/>
      <c r="D2" s="547"/>
      <c r="E2" s="547"/>
      <c r="F2" s="547"/>
      <c r="G2" s="547"/>
      <c r="H2" s="547"/>
      <c r="I2" s="547"/>
      <c r="J2" s="547"/>
      <c r="K2" s="547"/>
      <c r="L2" s="547"/>
      <c r="M2" s="547"/>
      <c r="N2" s="547"/>
      <c r="O2" s="547"/>
      <c r="P2" s="547"/>
      <c r="Q2" s="547"/>
      <c r="R2" s="547"/>
      <c r="S2" s="547"/>
      <c r="T2" s="547"/>
      <c r="Y2" s="550"/>
      <c r="Z2" s="550"/>
      <c r="AA2" s="550"/>
      <c r="AB2" s="550"/>
      <c r="AC2" s="550"/>
      <c r="AD2" s="550"/>
    </row>
    <row r="3" spans="1:30" s="554" customFormat="1" ht="18.75" thickBot="1">
      <c r="A3" s="553" t="s">
        <v>254</v>
      </c>
      <c r="C3" s="555"/>
      <c r="D3" s="556"/>
      <c r="E3" s="556"/>
      <c r="F3" s="556"/>
      <c r="G3" s="556"/>
      <c r="H3" s="556"/>
      <c r="I3" s="556"/>
      <c r="J3" s="556"/>
      <c r="K3" s="556"/>
      <c r="L3" s="556"/>
      <c r="M3" s="556"/>
      <c r="N3" s="556"/>
      <c r="O3" s="556"/>
      <c r="P3" s="556"/>
      <c r="Q3" s="556"/>
      <c r="R3" s="556"/>
      <c r="S3" s="556"/>
      <c r="T3" s="556"/>
      <c r="Y3" s="557"/>
      <c r="Z3" s="557"/>
      <c r="AA3" s="557"/>
      <c r="AB3" s="557"/>
      <c r="AC3" s="557"/>
      <c r="AD3" s="557"/>
    </row>
    <row r="4" spans="1:30">
      <c r="R4" s="561"/>
    </row>
    <row r="5" spans="1:30">
      <c r="D5" s="558"/>
      <c r="E5" s="558"/>
      <c r="F5" s="558"/>
      <c r="G5" s="558"/>
      <c r="H5" s="558"/>
      <c r="I5" s="558"/>
      <c r="J5" s="558"/>
      <c r="K5" s="558"/>
      <c r="L5" s="558"/>
      <c r="M5" s="558"/>
      <c r="N5" s="558"/>
      <c r="O5" s="558"/>
      <c r="P5" s="558"/>
      <c r="Q5" s="558"/>
      <c r="R5" s="561"/>
      <c r="S5" s="558"/>
      <c r="T5" s="558"/>
    </row>
    <row r="6" spans="1:30">
      <c r="B6" s="1442" t="s">
        <v>255</v>
      </c>
      <c r="D6" s="558"/>
      <c r="E6" s="558"/>
      <c r="F6" s="558"/>
      <c r="G6" s="558"/>
      <c r="H6" s="558"/>
      <c r="I6" s="558"/>
      <c r="J6" s="558"/>
      <c r="K6" s="558"/>
      <c r="L6" s="558"/>
      <c r="M6" s="558"/>
      <c r="N6" s="558"/>
      <c r="O6" s="558"/>
      <c r="P6" s="558"/>
      <c r="Q6" s="558"/>
      <c r="R6" s="561"/>
      <c r="S6" s="558"/>
      <c r="T6" s="558"/>
    </row>
    <row r="7" spans="1:30" ht="13.5" thickBot="1">
      <c r="D7" s="558"/>
      <c r="E7" s="558"/>
      <c r="F7" s="558"/>
      <c r="G7" s="558"/>
      <c r="H7" s="558"/>
      <c r="I7" s="558"/>
      <c r="J7" s="558"/>
      <c r="K7" s="558"/>
      <c r="L7" s="558"/>
      <c r="M7" s="558"/>
      <c r="N7" s="558"/>
      <c r="O7" s="558"/>
      <c r="P7" s="558"/>
      <c r="Q7" s="558"/>
      <c r="R7" s="561"/>
      <c r="S7" s="558"/>
      <c r="T7" s="558"/>
    </row>
    <row r="8" spans="1:30">
      <c r="B8" s="1443"/>
      <c r="C8" s="1893" t="s">
        <v>31</v>
      </c>
      <c r="D8" s="1444" t="s">
        <v>116</v>
      </c>
      <c r="E8" s="1445"/>
      <c r="F8" s="1445"/>
      <c r="G8" s="1445"/>
      <c r="H8" s="562"/>
      <c r="I8" s="1445" t="s">
        <v>117</v>
      </c>
      <c r="J8" s="563"/>
      <c r="K8" s="563"/>
      <c r="L8" s="563"/>
      <c r="M8" s="562"/>
      <c r="N8" s="558"/>
      <c r="O8" s="1446" t="s">
        <v>116</v>
      </c>
      <c r="P8" s="1447"/>
      <c r="Q8" s="1448"/>
      <c r="R8" s="561"/>
      <c r="S8" s="1446" t="s">
        <v>117</v>
      </c>
      <c r="T8" s="1448"/>
    </row>
    <row r="9" spans="1:30">
      <c r="B9" s="564"/>
      <c r="C9" s="1894"/>
      <c r="D9" s="1449" t="s">
        <v>32</v>
      </c>
      <c r="E9" s="1450" t="s">
        <v>33</v>
      </c>
      <c r="F9" s="1450" t="s">
        <v>29</v>
      </c>
      <c r="G9" s="1450" t="s">
        <v>34</v>
      </c>
      <c r="H9" s="1451" t="s">
        <v>35</v>
      </c>
      <c r="I9" s="1452" t="s">
        <v>118</v>
      </c>
      <c r="J9" s="1450" t="s">
        <v>136</v>
      </c>
      <c r="K9" s="1450" t="s">
        <v>137</v>
      </c>
      <c r="L9" s="1450" t="s">
        <v>138</v>
      </c>
      <c r="M9" s="1451" t="s">
        <v>139</v>
      </c>
      <c r="N9" s="558"/>
      <c r="O9" s="1453" t="s">
        <v>126</v>
      </c>
      <c r="P9" s="1454" t="s">
        <v>127</v>
      </c>
      <c r="Q9" s="1455" t="s">
        <v>245</v>
      </c>
      <c r="R9" s="561"/>
      <c r="S9" s="1453" t="s">
        <v>127</v>
      </c>
      <c r="T9" s="1455" t="s">
        <v>128</v>
      </c>
    </row>
    <row r="10" spans="1:30">
      <c r="B10" s="565" t="s">
        <v>256</v>
      </c>
      <c r="C10" s="1456" t="s">
        <v>14</v>
      </c>
      <c r="D10" s="1457">
        <f t="shared" ref="D10:M10" si="0">SUM(D178,D217,D240)</f>
        <v>0</v>
      </c>
      <c r="E10" s="1457">
        <f t="shared" si="0"/>
        <v>0</v>
      </c>
      <c r="F10" s="1457">
        <f t="shared" si="0"/>
        <v>0</v>
      </c>
      <c r="G10" s="1457">
        <f t="shared" si="0"/>
        <v>0</v>
      </c>
      <c r="H10" s="1458">
        <f t="shared" si="0"/>
        <v>0</v>
      </c>
      <c r="I10" s="1457">
        <f t="shared" si="0"/>
        <v>0</v>
      </c>
      <c r="J10" s="1459">
        <f t="shared" si="0"/>
        <v>0</v>
      </c>
      <c r="K10" s="1459">
        <f t="shared" si="0"/>
        <v>0</v>
      </c>
      <c r="L10" s="1459">
        <f t="shared" si="0"/>
        <v>0</v>
      </c>
      <c r="M10" s="1458">
        <f t="shared" si="0"/>
        <v>0</v>
      </c>
      <c r="N10" s="558"/>
      <c r="O10" s="566">
        <f t="shared" ref="O10:O15" si="1">SUM(D10:G10)</f>
        <v>0</v>
      </c>
      <c r="P10" s="567">
        <f t="shared" ref="P10:P15" si="2">SUM(H10)</f>
        <v>0</v>
      </c>
      <c r="Q10" s="568">
        <f t="shared" ref="Q10:Q15" si="3">SUM(D10:H10)</f>
        <v>0</v>
      </c>
      <c r="R10" s="561"/>
      <c r="S10" s="566">
        <f t="shared" ref="S10:S15" si="4">SUM(I10:M10)</f>
        <v>0</v>
      </c>
      <c r="T10" s="1367" t="str">
        <f t="shared" ref="T10:T15" si="5">IF(Q10&lt;&gt;0,(S10-Q10)/Q10,"0")</f>
        <v>0</v>
      </c>
    </row>
    <row r="11" spans="1:30">
      <c r="B11" s="565" t="s">
        <v>257</v>
      </c>
      <c r="C11" s="1456" t="s">
        <v>14</v>
      </c>
      <c r="D11" s="1460">
        <f t="shared" ref="D11:M11" si="6">D240</f>
        <v>0</v>
      </c>
      <c r="E11" s="1457">
        <f t="shared" si="6"/>
        <v>0</v>
      </c>
      <c r="F11" s="1457">
        <f t="shared" si="6"/>
        <v>0</v>
      </c>
      <c r="G11" s="1457">
        <f t="shared" si="6"/>
        <v>0</v>
      </c>
      <c r="H11" s="1458">
        <f t="shared" si="6"/>
        <v>0</v>
      </c>
      <c r="I11" s="1457">
        <f t="shared" si="6"/>
        <v>0</v>
      </c>
      <c r="J11" s="1459">
        <f t="shared" si="6"/>
        <v>0</v>
      </c>
      <c r="K11" s="1459">
        <f t="shared" si="6"/>
        <v>0</v>
      </c>
      <c r="L11" s="1459">
        <f t="shared" si="6"/>
        <v>0</v>
      </c>
      <c r="M11" s="1458">
        <f t="shared" si="6"/>
        <v>0</v>
      </c>
      <c r="N11" s="558"/>
      <c r="O11" s="566">
        <f t="shared" si="1"/>
        <v>0</v>
      </c>
      <c r="P11" s="567">
        <f t="shared" si="2"/>
        <v>0</v>
      </c>
      <c r="Q11" s="568">
        <f t="shared" si="3"/>
        <v>0</v>
      </c>
      <c r="R11" s="561"/>
      <c r="S11" s="566">
        <f t="shared" si="4"/>
        <v>0</v>
      </c>
      <c r="T11" s="1367" t="str">
        <f t="shared" si="5"/>
        <v>0</v>
      </c>
    </row>
    <row r="12" spans="1:30">
      <c r="B12" s="569" t="s">
        <v>258</v>
      </c>
      <c r="C12" s="1456" t="s">
        <v>14</v>
      </c>
      <c r="D12" s="1460">
        <f t="shared" ref="D12:M12" si="7">D263</f>
        <v>0</v>
      </c>
      <c r="E12" s="1457">
        <f t="shared" si="7"/>
        <v>0</v>
      </c>
      <c r="F12" s="1457">
        <f t="shared" si="7"/>
        <v>0</v>
      </c>
      <c r="G12" s="1457">
        <f t="shared" si="7"/>
        <v>0</v>
      </c>
      <c r="H12" s="1458">
        <f t="shared" si="7"/>
        <v>0</v>
      </c>
      <c r="I12" s="1457">
        <f t="shared" si="7"/>
        <v>0</v>
      </c>
      <c r="J12" s="1459">
        <f t="shared" si="7"/>
        <v>0</v>
      </c>
      <c r="K12" s="1459">
        <f t="shared" si="7"/>
        <v>0</v>
      </c>
      <c r="L12" s="1459">
        <f t="shared" si="7"/>
        <v>0</v>
      </c>
      <c r="M12" s="1458">
        <f t="shared" si="7"/>
        <v>0</v>
      </c>
      <c r="N12" s="558"/>
      <c r="O12" s="566">
        <f t="shared" si="1"/>
        <v>0</v>
      </c>
      <c r="P12" s="567">
        <f t="shared" si="2"/>
        <v>0</v>
      </c>
      <c r="Q12" s="568">
        <f t="shared" si="3"/>
        <v>0</v>
      </c>
      <c r="R12" s="561"/>
      <c r="S12" s="566">
        <f t="shared" si="4"/>
        <v>0</v>
      </c>
      <c r="T12" s="1367" t="str">
        <f t="shared" si="5"/>
        <v>0</v>
      </c>
    </row>
    <row r="13" spans="1:30">
      <c r="B13" s="565" t="s">
        <v>259</v>
      </c>
      <c r="C13" s="1456" t="s">
        <v>14</v>
      </c>
      <c r="D13" s="1461">
        <f t="shared" ref="D13:M13" si="8">D11-D12</f>
        <v>0</v>
      </c>
      <c r="E13" s="1462">
        <f t="shared" si="8"/>
        <v>0</v>
      </c>
      <c r="F13" s="1462">
        <f t="shared" si="8"/>
        <v>0</v>
      </c>
      <c r="G13" s="1462">
        <f t="shared" si="8"/>
        <v>0</v>
      </c>
      <c r="H13" s="1463">
        <f t="shared" si="8"/>
        <v>0</v>
      </c>
      <c r="I13" s="1464">
        <f t="shared" si="8"/>
        <v>0</v>
      </c>
      <c r="J13" s="1462">
        <f t="shared" si="8"/>
        <v>0</v>
      </c>
      <c r="K13" s="1462">
        <f t="shared" si="8"/>
        <v>0</v>
      </c>
      <c r="L13" s="1462">
        <f t="shared" si="8"/>
        <v>0</v>
      </c>
      <c r="M13" s="1463">
        <f t="shared" si="8"/>
        <v>0</v>
      </c>
      <c r="N13" s="558"/>
      <c r="O13" s="566">
        <f t="shared" si="1"/>
        <v>0</v>
      </c>
      <c r="P13" s="567">
        <f t="shared" si="2"/>
        <v>0</v>
      </c>
      <c r="Q13" s="568">
        <f t="shared" si="3"/>
        <v>0</v>
      </c>
      <c r="R13" s="561"/>
      <c r="S13" s="566">
        <f t="shared" si="4"/>
        <v>0</v>
      </c>
      <c r="T13" s="1367" t="str">
        <f t="shared" si="5"/>
        <v>0</v>
      </c>
    </row>
    <row r="14" spans="1:30">
      <c r="B14" s="565" t="s">
        <v>260</v>
      </c>
      <c r="C14" s="1456" t="s">
        <v>14</v>
      </c>
      <c r="D14" s="570"/>
      <c r="E14" s="570"/>
      <c r="F14" s="570"/>
      <c r="G14" s="570"/>
      <c r="H14" s="570"/>
      <c r="I14" s="570"/>
      <c r="J14" s="570"/>
      <c r="K14" s="570"/>
      <c r="L14" s="570"/>
      <c r="M14" s="570"/>
      <c r="N14" s="558"/>
      <c r="O14" s="566">
        <f t="shared" si="1"/>
        <v>0</v>
      </c>
      <c r="P14" s="567">
        <f t="shared" si="2"/>
        <v>0</v>
      </c>
      <c r="Q14" s="568">
        <f t="shared" si="3"/>
        <v>0</v>
      </c>
      <c r="R14" s="561"/>
      <c r="S14" s="566">
        <f t="shared" si="4"/>
        <v>0</v>
      </c>
      <c r="T14" s="1367" t="str">
        <f t="shared" si="5"/>
        <v>0</v>
      </c>
    </row>
    <row r="15" spans="1:30">
      <c r="B15" s="565" t="s">
        <v>261</v>
      </c>
      <c r="C15" s="1456" t="s">
        <v>14</v>
      </c>
      <c r="D15" s="1465">
        <f t="shared" ref="D15:M15" si="9">D13+D14</f>
        <v>0</v>
      </c>
      <c r="E15" s="1466">
        <f t="shared" si="9"/>
        <v>0</v>
      </c>
      <c r="F15" s="1466">
        <f t="shared" si="9"/>
        <v>0</v>
      </c>
      <c r="G15" s="1466">
        <f t="shared" si="9"/>
        <v>0</v>
      </c>
      <c r="H15" s="1467">
        <f t="shared" si="9"/>
        <v>0</v>
      </c>
      <c r="I15" s="1466">
        <f t="shared" si="9"/>
        <v>0</v>
      </c>
      <c r="J15" s="1468">
        <f t="shared" si="9"/>
        <v>0</v>
      </c>
      <c r="K15" s="1468">
        <f t="shared" si="9"/>
        <v>0</v>
      </c>
      <c r="L15" s="1468">
        <f t="shared" si="9"/>
        <v>0</v>
      </c>
      <c r="M15" s="1467">
        <f t="shared" si="9"/>
        <v>0</v>
      </c>
      <c r="N15" s="558"/>
      <c r="O15" s="566">
        <f t="shared" si="1"/>
        <v>0</v>
      </c>
      <c r="P15" s="567">
        <f t="shared" si="2"/>
        <v>0</v>
      </c>
      <c r="Q15" s="568">
        <f t="shared" si="3"/>
        <v>0</v>
      </c>
      <c r="R15" s="561"/>
      <c r="S15" s="566">
        <f t="shared" si="4"/>
        <v>0</v>
      </c>
      <c r="T15" s="1367" t="str">
        <f t="shared" si="5"/>
        <v>0</v>
      </c>
    </row>
    <row r="16" spans="1:30" ht="13.5" thickBot="1">
      <c r="B16" s="571" t="s">
        <v>613</v>
      </c>
      <c r="C16" s="1469"/>
      <c r="D16" s="1470" t="str">
        <f t="shared" ref="D16:M16" si="10">IF(D13-SUM(D31,D35,D39,D43)=0,"OK","ERROR")</f>
        <v>OK</v>
      </c>
      <c r="E16" s="1471" t="str">
        <f t="shared" si="10"/>
        <v>OK</v>
      </c>
      <c r="F16" s="1471" t="str">
        <f t="shared" si="10"/>
        <v>OK</v>
      </c>
      <c r="G16" s="1471" t="str">
        <f t="shared" si="10"/>
        <v>OK</v>
      </c>
      <c r="H16" s="1472" t="str">
        <f t="shared" si="10"/>
        <v>OK</v>
      </c>
      <c r="I16" s="1471" t="str">
        <f t="shared" si="10"/>
        <v>OK</v>
      </c>
      <c r="J16" s="1473" t="str">
        <f t="shared" si="10"/>
        <v>OK</v>
      </c>
      <c r="K16" s="1473" t="str">
        <f t="shared" si="10"/>
        <v>OK</v>
      </c>
      <c r="L16" s="1473" t="str">
        <f t="shared" si="10"/>
        <v>OK</v>
      </c>
      <c r="M16" s="1472" t="str">
        <f t="shared" si="10"/>
        <v>OK</v>
      </c>
      <c r="N16" s="558"/>
      <c r="O16" s="572"/>
      <c r="P16" s="573"/>
      <c r="Q16" s="574"/>
      <c r="R16" s="561"/>
      <c r="S16" s="572"/>
      <c r="T16" s="1474"/>
    </row>
    <row r="17" spans="2:20" ht="13.5" thickBot="1">
      <c r="D17" s="558"/>
      <c r="E17" s="558"/>
      <c r="F17" s="558"/>
      <c r="G17" s="558"/>
      <c r="H17" s="558"/>
      <c r="I17" s="558"/>
      <c r="J17" s="558"/>
      <c r="K17" s="558"/>
      <c r="L17" s="558"/>
      <c r="M17" s="558"/>
      <c r="N17" s="558"/>
      <c r="O17" s="558"/>
      <c r="P17" s="558"/>
      <c r="Q17" s="558"/>
      <c r="R17" s="561"/>
      <c r="S17" s="558"/>
      <c r="T17" s="558"/>
    </row>
    <row r="18" spans="2:20">
      <c r="B18" s="1443"/>
      <c r="C18" s="1893" t="s">
        <v>31</v>
      </c>
      <c r="D18" s="1444" t="s">
        <v>116</v>
      </c>
      <c r="E18" s="1445"/>
      <c r="F18" s="1445"/>
      <c r="G18" s="1445"/>
      <c r="H18" s="562"/>
      <c r="I18" s="1445" t="s">
        <v>117</v>
      </c>
      <c r="J18" s="563"/>
      <c r="K18" s="563"/>
      <c r="L18" s="563"/>
      <c r="M18" s="562"/>
      <c r="N18" s="558"/>
      <c r="O18" s="1446" t="s">
        <v>116</v>
      </c>
      <c r="P18" s="1447"/>
      <c r="Q18" s="1448"/>
      <c r="R18" s="561"/>
      <c r="S18" s="1446" t="s">
        <v>117</v>
      </c>
      <c r="T18" s="1448"/>
    </row>
    <row r="19" spans="2:20">
      <c r="B19" s="564"/>
      <c r="C19" s="1894"/>
      <c r="D19" s="1449" t="s">
        <v>32</v>
      </c>
      <c r="E19" s="1450" t="s">
        <v>33</v>
      </c>
      <c r="F19" s="1450" t="s">
        <v>29</v>
      </c>
      <c r="G19" s="1450" t="s">
        <v>34</v>
      </c>
      <c r="H19" s="1451" t="s">
        <v>35</v>
      </c>
      <c r="I19" s="1452" t="s">
        <v>118</v>
      </c>
      <c r="J19" s="1450" t="s">
        <v>136</v>
      </c>
      <c r="K19" s="1450" t="s">
        <v>137</v>
      </c>
      <c r="L19" s="1450" t="s">
        <v>138</v>
      </c>
      <c r="M19" s="1451" t="s">
        <v>139</v>
      </c>
      <c r="N19" s="558"/>
      <c r="O19" s="1453" t="s">
        <v>126</v>
      </c>
      <c r="P19" s="1454" t="s">
        <v>127</v>
      </c>
      <c r="Q19" s="1455" t="s">
        <v>245</v>
      </c>
      <c r="R19" s="561"/>
      <c r="S19" s="1453" t="s">
        <v>127</v>
      </c>
      <c r="T19" s="1455" t="s">
        <v>128</v>
      </c>
    </row>
    <row r="20" spans="2:20">
      <c r="B20" s="565" t="s">
        <v>262</v>
      </c>
      <c r="C20" s="1456" t="s">
        <v>14</v>
      </c>
      <c r="D20" s="570"/>
      <c r="E20" s="575"/>
      <c r="F20" s="575"/>
      <c r="G20" s="575"/>
      <c r="H20" s="576"/>
      <c r="I20" s="575"/>
      <c r="J20" s="577"/>
      <c r="K20" s="577"/>
      <c r="L20" s="577"/>
      <c r="M20" s="576"/>
      <c r="N20" s="558"/>
      <c r="O20" s="566">
        <f>SUM(D20:G20)</f>
        <v>0</v>
      </c>
      <c r="P20" s="567">
        <f>SUM(H20)</f>
        <v>0</v>
      </c>
      <c r="Q20" s="568">
        <f>SUM(D20:H20)</f>
        <v>0</v>
      </c>
      <c r="R20" s="561"/>
      <c r="S20" s="566">
        <f>SUM(I20:M20)</f>
        <v>0</v>
      </c>
      <c r="T20" s="1367" t="str">
        <f>IF(Q20&lt;&gt;0,(S20-Q20)/Q20,"0")</f>
        <v>0</v>
      </c>
    </row>
    <row r="21" spans="2:20">
      <c r="B21" s="565" t="s">
        <v>263</v>
      </c>
      <c r="C21" s="1456" t="s">
        <v>14</v>
      </c>
      <c r="D21" s="570"/>
      <c r="E21" s="575"/>
      <c r="F21" s="575"/>
      <c r="G21" s="575"/>
      <c r="H21" s="576"/>
      <c r="I21" s="575"/>
      <c r="J21" s="577"/>
      <c r="K21" s="577"/>
      <c r="L21" s="577"/>
      <c r="M21" s="576"/>
      <c r="N21" s="558"/>
      <c r="O21" s="566">
        <f>SUM(D21:G21)</f>
        <v>0</v>
      </c>
      <c r="P21" s="567">
        <f>SUM(H21)</f>
        <v>0</v>
      </c>
      <c r="Q21" s="568">
        <f>SUM(D21:H21)</f>
        <v>0</v>
      </c>
      <c r="R21" s="561"/>
      <c r="S21" s="566">
        <f>SUM(I21:M21)</f>
        <v>0</v>
      </c>
      <c r="T21" s="1367" t="str">
        <f>IF(Q21&lt;&gt;0,(S21-Q21)/Q21,"0")</f>
        <v>0</v>
      </c>
    </row>
    <row r="22" spans="2:20" ht="13.5" thickBot="1">
      <c r="B22" s="571" t="s">
        <v>245</v>
      </c>
      <c r="C22" s="1469" t="s">
        <v>14</v>
      </c>
      <c r="D22" s="1475">
        <f t="shared" ref="D22:M22" si="11">D20+D21</f>
        <v>0</v>
      </c>
      <c r="E22" s="1476">
        <f t="shared" si="11"/>
        <v>0</v>
      </c>
      <c r="F22" s="1476">
        <f t="shared" si="11"/>
        <v>0</v>
      </c>
      <c r="G22" s="1476">
        <f t="shared" si="11"/>
        <v>0</v>
      </c>
      <c r="H22" s="1477">
        <f t="shared" si="11"/>
        <v>0</v>
      </c>
      <c r="I22" s="1476">
        <f t="shared" si="11"/>
        <v>0</v>
      </c>
      <c r="J22" s="1478">
        <f t="shared" si="11"/>
        <v>0</v>
      </c>
      <c r="K22" s="1478">
        <f t="shared" si="11"/>
        <v>0</v>
      </c>
      <c r="L22" s="1478">
        <f t="shared" si="11"/>
        <v>0</v>
      </c>
      <c r="M22" s="1477">
        <f t="shared" si="11"/>
        <v>0</v>
      </c>
      <c r="N22" s="558"/>
      <c r="O22" s="578">
        <f>SUM(D22:G22)</f>
        <v>0</v>
      </c>
      <c r="P22" s="579">
        <f>SUM(H22)</f>
        <v>0</v>
      </c>
      <c r="Q22" s="580">
        <f>SUM(D22:H22)</f>
        <v>0</v>
      </c>
      <c r="R22" s="561"/>
      <c r="S22" s="578">
        <f>SUM(I22:M22)</f>
        <v>0</v>
      </c>
      <c r="T22" s="1376" t="str">
        <f>IF(Q22&lt;&gt;0,(S22-Q22)/Q22,"0")</f>
        <v>0</v>
      </c>
    </row>
    <row r="23" spans="2:20">
      <c r="D23" s="558"/>
      <c r="E23" s="558"/>
      <c r="F23" s="558"/>
      <c r="G23" s="558"/>
      <c r="H23" s="558"/>
      <c r="I23" s="558"/>
      <c r="J23" s="558"/>
      <c r="K23" s="558"/>
      <c r="L23" s="558"/>
      <c r="M23" s="558"/>
      <c r="N23" s="558"/>
      <c r="O23" s="558"/>
      <c r="P23" s="558"/>
      <c r="Q23" s="558"/>
      <c r="R23" s="561"/>
      <c r="S23" s="558"/>
      <c r="T23" s="558"/>
    </row>
    <row r="24" spans="2:20">
      <c r="B24" s="1479" t="s">
        <v>264</v>
      </c>
      <c r="C24" s="1480"/>
      <c r="D24" s="581"/>
      <c r="E24" s="581"/>
      <c r="F24" s="581"/>
      <c r="G24" s="581"/>
      <c r="H24" s="581"/>
      <c r="I24" s="581"/>
      <c r="J24" s="581"/>
      <c r="K24" s="581"/>
      <c r="L24" s="581"/>
      <c r="M24" s="581"/>
      <c r="N24" s="561"/>
      <c r="O24" s="581"/>
      <c r="P24" s="581"/>
      <c r="Q24" s="581"/>
      <c r="R24" s="561"/>
      <c r="S24" s="581"/>
      <c r="T24" s="581"/>
    </row>
    <row r="25" spans="2:20" ht="13.5" thickBot="1">
      <c r="B25" s="1479"/>
      <c r="C25" s="1480"/>
      <c r="D25" s="581"/>
      <c r="E25" s="581"/>
      <c r="F25" s="581"/>
      <c r="G25" s="581"/>
      <c r="H25" s="581"/>
      <c r="I25" s="581"/>
      <c r="J25" s="581"/>
      <c r="K25" s="581"/>
      <c r="L25" s="581"/>
      <c r="M25" s="581"/>
      <c r="N25" s="561"/>
      <c r="O25" s="581"/>
      <c r="P25" s="581"/>
      <c r="Q25" s="581"/>
      <c r="R25" s="561"/>
      <c r="S25" s="581"/>
      <c r="T25" s="581"/>
    </row>
    <row r="26" spans="2:20">
      <c r="B26" s="1891" t="s">
        <v>265</v>
      </c>
      <c r="C26" s="1893" t="s">
        <v>31</v>
      </c>
      <c r="D26" s="1444" t="s">
        <v>116</v>
      </c>
      <c r="E26" s="1445"/>
      <c r="F26" s="1445"/>
      <c r="G26" s="1445"/>
      <c r="H26" s="562"/>
      <c r="I26" s="1445" t="s">
        <v>117</v>
      </c>
      <c r="J26" s="563"/>
      <c r="K26" s="563"/>
      <c r="L26" s="563"/>
      <c r="M26" s="562"/>
      <c r="N26" s="561"/>
      <c r="O26" s="1446" t="s">
        <v>116</v>
      </c>
      <c r="P26" s="1447"/>
      <c r="Q26" s="1448"/>
      <c r="R26" s="561"/>
      <c r="S26" s="1446" t="s">
        <v>117</v>
      </c>
      <c r="T26" s="1448"/>
    </row>
    <row r="27" spans="2:20">
      <c r="B27" s="1892"/>
      <c r="C27" s="1894"/>
      <c r="D27" s="1449" t="s">
        <v>32</v>
      </c>
      <c r="E27" s="1450" t="s">
        <v>33</v>
      </c>
      <c r="F27" s="1450" t="s">
        <v>29</v>
      </c>
      <c r="G27" s="1450" t="s">
        <v>34</v>
      </c>
      <c r="H27" s="1451" t="s">
        <v>35</v>
      </c>
      <c r="I27" s="1452" t="s">
        <v>118</v>
      </c>
      <c r="J27" s="1450" t="s">
        <v>136</v>
      </c>
      <c r="K27" s="1450" t="s">
        <v>137</v>
      </c>
      <c r="L27" s="1450" t="s">
        <v>138</v>
      </c>
      <c r="M27" s="1451" t="s">
        <v>139</v>
      </c>
      <c r="N27" s="561"/>
      <c r="O27" s="1453" t="s">
        <v>126</v>
      </c>
      <c r="P27" s="1454" t="s">
        <v>127</v>
      </c>
      <c r="Q27" s="1455" t="s">
        <v>245</v>
      </c>
      <c r="R27" s="561"/>
      <c r="S27" s="1453" t="s">
        <v>127</v>
      </c>
      <c r="T27" s="1455" t="s">
        <v>128</v>
      </c>
    </row>
    <row r="28" spans="2:20">
      <c r="B28" s="1481" t="s">
        <v>141</v>
      </c>
      <c r="C28" s="582"/>
      <c r="D28" s="583"/>
      <c r="E28" s="584"/>
      <c r="F28" s="584"/>
      <c r="G28" s="584"/>
      <c r="H28" s="585"/>
      <c r="I28" s="584"/>
      <c r="J28" s="584"/>
      <c r="K28" s="584"/>
      <c r="L28" s="584"/>
      <c r="M28" s="585"/>
      <c r="N28" s="561"/>
      <c r="O28" s="586"/>
      <c r="P28" s="587"/>
      <c r="Q28" s="588"/>
      <c r="R28" s="561"/>
      <c r="S28" s="583"/>
      <c r="T28" s="585"/>
    </row>
    <row r="29" spans="2:20">
      <c r="B29" s="589" t="s">
        <v>266</v>
      </c>
      <c r="C29" s="1482" t="s">
        <v>14</v>
      </c>
      <c r="D29" s="1483"/>
      <c r="E29" s="1484"/>
      <c r="F29" s="1484"/>
      <c r="G29" s="1484"/>
      <c r="H29" s="1485"/>
      <c r="I29" s="1486">
        <f t="shared" ref="I29:M30" si="12">I225-I248</f>
        <v>0</v>
      </c>
      <c r="J29" s="1487">
        <f t="shared" si="12"/>
        <v>0</v>
      </c>
      <c r="K29" s="1487">
        <f t="shared" si="12"/>
        <v>0</v>
      </c>
      <c r="L29" s="1487">
        <f t="shared" si="12"/>
        <v>0</v>
      </c>
      <c r="M29" s="1488">
        <f t="shared" si="12"/>
        <v>0</v>
      </c>
      <c r="N29" s="561"/>
      <c r="O29" s="572"/>
      <c r="P29" s="573"/>
      <c r="Q29" s="574"/>
      <c r="R29" s="561"/>
      <c r="S29" s="572"/>
      <c r="T29" s="1474"/>
    </row>
    <row r="30" spans="2:20">
      <c r="B30" s="589" t="s">
        <v>267</v>
      </c>
      <c r="C30" s="1482" t="s">
        <v>14</v>
      </c>
      <c r="D30" s="1483"/>
      <c r="E30" s="1484"/>
      <c r="F30" s="1484"/>
      <c r="G30" s="1484"/>
      <c r="H30" s="1485"/>
      <c r="I30" s="1486">
        <f t="shared" si="12"/>
        <v>0</v>
      </c>
      <c r="J30" s="1487">
        <f t="shared" si="12"/>
        <v>0</v>
      </c>
      <c r="K30" s="1487">
        <f t="shared" si="12"/>
        <v>0</v>
      </c>
      <c r="L30" s="1487">
        <f t="shared" si="12"/>
        <v>0</v>
      </c>
      <c r="M30" s="1488">
        <f t="shared" si="12"/>
        <v>0</v>
      </c>
      <c r="N30" s="561"/>
      <c r="O30" s="572"/>
      <c r="P30" s="573"/>
      <c r="Q30" s="574"/>
      <c r="R30" s="561"/>
      <c r="S30" s="572"/>
      <c r="T30" s="1474"/>
    </row>
    <row r="31" spans="2:20">
      <c r="B31" s="1489" t="s">
        <v>859</v>
      </c>
      <c r="C31" s="1482" t="s">
        <v>14</v>
      </c>
      <c r="D31" s="566">
        <f>D227-D250</f>
        <v>0</v>
      </c>
      <c r="E31" s="590">
        <f>E227-E250</f>
        <v>0</v>
      </c>
      <c r="F31" s="590">
        <f>F227-F250</f>
        <v>0</v>
      </c>
      <c r="G31" s="590">
        <f>G227-G250</f>
        <v>0</v>
      </c>
      <c r="H31" s="568">
        <f>H227-H250</f>
        <v>0</v>
      </c>
      <c r="I31" s="590">
        <f>SUM(I29:I30)</f>
        <v>0</v>
      </c>
      <c r="J31" s="567">
        <f>SUM(J29:J30)</f>
        <v>0</v>
      </c>
      <c r="K31" s="567">
        <f>SUM(K29:K30)</f>
        <v>0</v>
      </c>
      <c r="L31" s="567">
        <f>SUM(L29:L30)</f>
        <v>0</v>
      </c>
      <c r="M31" s="568">
        <f>SUM(M29:M30)</f>
        <v>0</v>
      </c>
      <c r="N31" s="561"/>
      <c r="O31" s="566">
        <f>SUM(D31:G31)</f>
        <v>0</v>
      </c>
      <c r="P31" s="567">
        <f>SUM(H31)</f>
        <v>0</v>
      </c>
      <c r="Q31" s="568">
        <f>SUM(D31:H31)</f>
        <v>0</v>
      </c>
      <c r="R31" s="561"/>
      <c r="S31" s="566">
        <f>SUM(I31:M31)</f>
        <v>0</v>
      </c>
      <c r="T31" s="1367" t="str">
        <f>IF(Q31&lt;&gt;0,(S31-Q31)/Q31,"0")</f>
        <v>0</v>
      </c>
    </row>
    <row r="32" spans="2:20">
      <c r="B32" s="1481" t="s">
        <v>871</v>
      </c>
      <c r="C32" s="591"/>
      <c r="D32" s="592"/>
      <c r="E32" s="593"/>
      <c r="F32" s="593"/>
      <c r="G32" s="593"/>
      <c r="H32" s="594"/>
      <c r="I32" s="593"/>
      <c r="J32" s="593"/>
      <c r="K32" s="593"/>
      <c r="L32" s="593"/>
      <c r="M32" s="594"/>
      <c r="N32" s="561"/>
      <c r="O32" s="595"/>
      <c r="P32" s="593"/>
      <c r="Q32" s="594"/>
      <c r="R32" s="561"/>
      <c r="S32" s="592"/>
      <c r="T32" s="594"/>
    </row>
    <row r="33" spans="2:20">
      <c r="B33" s="589" t="s">
        <v>268</v>
      </c>
      <c r="C33" s="1482" t="s">
        <v>14</v>
      </c>
      <c r="D33" s="1483"/>
      <c r="E33" s="1484"/>
      <c r="F33" s="1484"/>
      <c r="G33" s="1484"/>
      <c r="H33" s="1485"/>
      <c r="I33" s="1486">
        <f t="shared" ref="I33:M34" si="13">I229-I252</f>
        <v>0</v>
      </c>
      <c r="J33" s="1487">
        <f t="shared" si="13"/>
        <v>0</v>
      </c>
      <c r="K33" s="1487">
        <f t="shared" si="13"/>
        <v>0</v>
      </c>
      <c r="L33" s="1487">
        <f t="shared" si="13"/>
        <v>0</v>
      </c>
      <c r="M33" s="1488">
        <f t="shared" si="13"/>
        <v>0</v>
      </c>
      <c r="N33" s="561"/>
      <c r="O33" s="572"/>
      <c r="P33" s="573"/>
      <c r="Q33" s="574"/>
      <c r="R33" s="561"/>
      <c r="S33" s="572"/>
      <c r="T33" s="1474"/>
    </row>
    <row r="34" spans="2:20">
      <c r="B34" s="589" t="s">
        <v>269</v>
      </c>
      <c r="C34" s="1482" t="s">
        <v>14</v>
      </c>
      <c r="D34" s="1483"/>
      <c r="E34" s="1484"/>
      <c r="F34" s="1484"/>
      <c r="G34" s="1484"/>
      <c r="H34" s="1485"/>
      <c r="I34" s="1486">
        <f t="shared" si="13"/>
        <v>0</v>
      </c>
      <c r="J34" s="1487">
        <f t="shared" si="13"/>
        <v>0</v>
      </c>
      <c r="K34" s="1487">
        <f t="shared" si="13"/>
        <v>0</v>
      </c>
      <c r="L34" s="1487">
        <f t="shared" si="13"/>
        <v>0</v>
      </c>
      <c r="M34" s="1488">
        <f t="shared" si="13"/>
        <v>0</v>
      </c>
      <c r="N34" s="561"/>
      <c r="O34" s="572"/>
      <c r="P34" s="573"/>
      <c r="Q34" s="574"/>
      <c r="R34" s="561"/>
      <c r="S34" s="572"/>
      <c r="T34" s="1474"/>
    </row>
    <row r="35" spans="2:20">
      <c r="B35" s="1489" t="s">
        <v>860</v>
      </c>
      <c r="C35" s="1482" t="s">
        <v>14</v>
      </c>
      <c r="D35" s="566">
        <f>D231-D254</f>
        <v>0</v>
      </c>
      <c r="E35" s="590">
        <f>E231-E254</f>
        <v>0</v>
      </c>
      <c r="F35" s="590">
        <f>F231-F254</f>
        <v>0</v>
      </c>
      <c r="G35" s="590">
        <f>G231-G254</f>
        <v>0</v>
      </c>
      <c r="H35" s="568">
        <f>H231-H254</f>
        <v>0</v>
      </c>
      <c r="I35" s="590">
        <f>SUM(I33:I34)</f>
        <v>0</v>
      </c>
      <c r="J35" s="567">
        <f>SUM(J33:J34)</f>
        <v>0</v>
      </c>
      <c r="K35" s="567">
        <f>SUM(K33:K34)</f>
        <v>0</v>
      </c>
      <c r="L35" s="567">
        <f>SUM(L33:L34)</f>
        <v>0</v>
      </c>
      <c r="M35" s="568">
        <f>SUM(M33:M34)</f>
        <v>0</v>
      </c>
      <c r="N35" s="561"/>
      <c r="O35" s="566">
        <f>SUM(D35:G35)</f>
        <v>0</v>
      </c>
      <c r="P35" s="567">
        <f>SUM(H35)</f>
        <v>0</v>
      </c>
      <c r="Q35" s="568">
        <f>SUM(D35:H35)</f>
        <v>0</v>
      </c>
      <c r="R35" s="561"/>
      <c r="S35" s="566">
        <f>SUM(I35:M35)</f>
        <v>0</v>
      </c>
      <c r="T35" s="1367" t="str">
        <f>IF(Q35&lt;&gt;0,(S35-Q35)/Q35,"0")</f>
        <v>0</v>
      </c>
    </row>
    <row r="36" spans="2:20">
      <c r="B36" s="1481" t="s">
        <v>708</v>
      </c>
      <c r="C36" s="591"/>
      <c r="D36" s="592"/>
      <c r="E36" s="593"/>
      <c r="F36" s="593"/>
      <c r="G36" s="593"/>
      <c r="H36" s="594"/>
      <c r="I36" s="593"/>
      <c r="J36" s="593"/>
      <c r="K36" s="593"/>
      <c r="L36" s="593"/>
      <c r="M36" s="594"/>
      <c r="N36" s="561"/>
      <c r="O36" s="592"/>
      <c r="P36" s="593"/>
      <c r="Q36" s="594"/>
      <c r="R36" s="561"/>
      <c r="S36" s="592"/>
      <c r="T36" s="594"/>
    </row>
    <row r="37" spans="2:20">
      <c r="B37" s="589" t="s">
        <v>270</v>
      </c>
      <c r="C37" s="1482" t="s">
        <v>14</v>
      </c>
      <c r="D37" s="1483"/>
      <c r="E37" s="1484"/>
      <c r="F37" s="1484"/>
      <c r="G37" s="1484"/>
      <c r="H37" s="1485"/>
      <c r="I37" s="1486">
        <f t="shared" ref="I37:M38" si="14">I233-I256</f>
        <v>0</v>
      </c>
      <c r="J37" s="1487">
        <f t="shared" si="14"/>
        <v>0</v>
      </c>
      <c r="K37" s="1487">
        <f t="shared" si="14"/>
        <v>0</v>
      </c>
      <c r="L37" s="1487">
        <f t="shared" si="14"/>
        <v>0</v>
      </c>
      <c r="M37" s="1488">
        <f t="shared" si="14"/>
        <v>0</v>
      </c>
      <c r="N37" s="561"/>
      <c r="O37" s="572"/>
      <c r="P37" s="573"/>
      <c r="Q37" s="574"/>
      <c r="R37" s="561"/>
      <c r="S37" s="572"/>
      <c r="T37" s="1474"/>
    </row>
    <row r="38" spans="2:20">
      <c r="B38" s="589" t="s">
        <v>271</v>
      </c>
      <c r="C38" s="1482" t="s">
        <v>14</v>
      </c>
      <c r="D38" s="1483"/>
      <c r="E38" s="1484"/>
      <c r="F38" s="1484"/>
      <c r="G38" s="1484"/>
      <c r="H38" s="1485"/>
      <c r="I38" s="1486">
        <f t="shared" si="14"/>
        <v>0</v>
      </c>
      <c r="J38" s="1487">
        <f t="shared" si="14"/>
        <v>0</v>
      </c>
      <c r="K38" s="1487">
        <f t="shared" si="14"/>
        <v>0</v>
      </c>
      <c r="L38" s="1487">
        <f t="shared" si="14"/>
        <v>0</v>
      </c>
      <c r="M38" s="1488">
        <f t="shared" si="14"/>
        <v>0</v>
      </c>
      <c r="N38" s="561"/>
      <c r="O38" s="572"/>
      <c r="P38" s="573"/>
      <c r="Q38" s="574"/>
      <c r="R38" s="561"/>
      <c r="S38" s="572"/>
      <c r="T38" s="1474"/>
    </row>
    <row r="39" spans="2:20">
      <c r="B39" s="1489" t="s">
        <v>861</v>
      </c>
      <c r="C39" s="1482" t="s">
        <v>14</v>
      </c>
      <c r="D39" s="566">
        <f>D235-D258</f>
        <v>0</v>
      </c>
      <c r="E39" s="590">
        <f>E235-E258</f>
        <v>0</v>
      </c>
      <c r="F39" s="590">
        <f>F235-F258</f>
        <v>0</v>
      </c>
      <c r="G39" s="590">
        <f>G235-G258</f>
        <v>0</v>
      </c>
      <c r="H39" s="568">
        <f>H235-H258</f>
        <v>0</v>
      </c>
      <c r="I39" s="590">
        <f>SUM(I37:I38)</f>
        <v>0</v>
      </c>
      <c r="J39" s="567">
        <f>SUM(J37:J38)</f>
        <v>0</v>
      </c>
      <c r="K39" s="567">
        <f>SUM(K37:K38)</f>
        <v>0</v>
      </c>
      <c r="L39" s="567">
        <f>SUM(L37:L38)</f>
        <v>0</v>
      </c>
      <c r="M39" s="568">
        <f>SUM(M37:M38)</f>
        <v>0</v>
      </c>
      <c r="N39" s="561"/>
      <c r="O39" s="566">
        <f>SUM(D39:G39)</f>
        <v>0</v>
      </c>
      <c r="P39" s="567">
        <f>SUM(H39)</f>
        <v>0</v>
      </c>
      <c r="Q39" s="568">
        <f>SUM(D39:H39)</f>
        <v>0</v>
      </c>
      <c r="R39" s="561"/>
      <c r="S39" s="566">
        <f>SUM(I39:M39)</f>
        <v>0</v>
      </c>
      <c r="T39" s="1367" t="str">
        <f>IF(Q39&lt;&gt;0,(S39-Q39)/Q39,"0")</f>
        <v>0</v>
      </c>
    </row>
    <row r="40" spans="2:20">
      <c r="B40" s="1481" t="s">
        <v>599</v>
      </c>
      <c r="C40" s="591"/>
      <c r="D40" s="592"/>
      <c r="E40" s="593"/>
      <c r="F40" s="593"/>
      <c r="G40" s="593"/>
      <c r="H40" s="594"/>
      <c r="I40" s="593"/>
      <c r="J40" s="593"/>
      <c r="K40" s="593"/>
      <c r="L40" s="593"/>
      <c r="M40" s="594"/>
      <c r="N40" s="561"/>
      <c r="O40" s="592"/>
      <c r="P40" s="593"/>
      <c r="Q40" s="594"/>
      <c r="R40" s="561"/>
      <c r="S40" s="592"/>
      <c r="T40" s="594"/>
    </row>
    <row r="41" spans="2:20">
      <c r="B41" s="589" t="s">
        <v>272</v>
      </c>
      <c r="C41" s="1482" t="s">
        <v>14</v>
      </c>
      <c r="D41" s="1483"/>
      <c r="E41" s="1484"/>
      <c r="F41" s="1484"/>
      <c r="G41" s="1484"/>
      <c r="H41" s="1485"/>
      <c r="I41" s="1486">
        <f t="shared" ref="I41:M42" si="15">I237-I260</f>
        <v>0</v>
      </c>
      <c r="J41" s="1487">
        <f t="shared" si="15"/>
        <v>0</v>
      </c>
      <c r="K41" s="1487">
        <f t="shared" si="15"/>
        <v>0</v>
      </c>
      <c r="L41" s="1487">
        <f t="shared" si="15"/>
        <v>0</v>
      </c>
      <c r="M41" s="1488">
        <f t="shared" si="15"/>
        <v>0</v>
      </c>
      <c r="N41" s="561"/>
      <c r="O41" s="572"/>
      <c r="P41" s="573"/>
      <c r="Q41" s="574"/>
      <c r="R41" s="561"/>
      <c r="S41" s="572"/>
      <c r="T41" s="1474"/>
    </row>
    <row r="42" spans="2:20">
      <c r="B42" s="589" t="s">
        <v>273</v>
      </c>
      <c r="C42" s="1482" t="s">
        <v>14</v>
      </c>
      <c r="D42" s="1483"/>
      <c r="E42" s="1484"/>
      <c r="F42" s="1484"/>
      <c r="G42" s="1484"/>
      <c r="H42" s="1485"/>
      <c r="I42" s="1486">
        <f t="shared" si="15"/>
        <v>0</v>
      </c>
      <c r="J42" s="1487">
        <f t="shared" si="15"/>
        <v>0</v>
      </c>
      <c r="K42" s="1487">
        <f t="shared" si="15"/>
        <v>0</v>
      </c>
      <c r="L42" s="1487">
        <f t="shared" si="15"/>
        <v>0</v>
      </c>
      <c r="M42" s="1488">
        <f t="shared" si="15"/>
        <v>0</v>
      </c>
      <c r="N42" s="561"/>
      <c r="O42" s="572"/>
      <c r="P42" s="573"/>
      <c r="Q42" s="574"/>
      <c r="R42" s="561"/>
      <c r="S42" s="572"/>
      <c r="T42" s="1474"/>
    </row>
    <row r="43" spans="2:20" ht="13.5" thickBot="1">
      <c r="B43" s="1490" t="s">
        <v>694</v>
      </c>
      <c r="C43" s="1491" t="s">
        <v>14</v>
      </c>
      <c r="D43" s="578">
        <f>D239-D262</f>
        <v>0</v>
      </c>
      <c r="E43" s="596">
        <f>E239-E262</f>
        <v>0</v>
      </c>
      <c r="F43" s="596">
        <f>F239-F262</f>
        <v>0</v>
      </c>
      <c r="G43" s="596">
        <f>G239-G262</f>
        <v>0</v>
      </c>
      <c r="H43" s="580">
        <f>H239-H262</f>
        <v>0</v>
      </c>
      <c r="I43" s="596">
        <f>SUM(I41:I42)</f>
        <v>0</v>
      </c>
      <c r="J43" s="579">
        <f>SUM(J41:J42)</f>
        <v>0</v>
      </c>
      <c r="K43" s="579">
        <f>SUM(K41:K42)</f>
        <v>0</v>
      </c>
      <c r="L43" s="579">
        <f>SUM(L41:L42)</f>
        <v>0</v>
      </c>
      <c r="M43" s="580">
        <f>SUM(M41:M42)</f>
        <v>0</v>
      </c>
      <c r="N43" s="561"/>
      <c r="O43" s="566">
        <f>SUM(D43:G43)</f>
        <v>0</v>
      </c>
      <c r="P43" s="567">
        <f>SUM(H43)</f>
        <v>0</v>
      </c>
      <c r="Q43" s="568">
        <f>SUM(D43:H43)</f>
        <v>0</v>
      </c>
      <c r="R43" s="561"/>
      <c r="S43" s="566">
        <f>SUM(I43:M43)</f>
        <v>0</v>
      </c>
      <c r="T43" s="1367" t="str">
        <f>IF(Q43&lt;&gt;0,(S43-Q43)/Q43,"0")</f>
        <v>0</v>
      </c>
    </row>
    <row r="44" spans="2:20">
      <c r="D44" s="558"/>
      <c r="E44" s="558"/>
      <c r="F44" s="558"/>
      <c r="G44" s="558"/>
      <c r="H44" s="558"/>
      <c r="I44" s="558"/>
      <c r="J44" s="558"/>
      <c r="K44" s="558"/>
      <c r="L44" s="558"/>
      <c r="M44" s="558"/>
      <c r="N44" s="558"/>
      <c r="O44" s="558"/>
      <c r="P44" s="558"/>
      <c r="Q44" s="558"/>
      <c r="R44" s="561"/>
      <c r="S44" s="558"/>
      <c r="T44" s="558"/>
    </row>
    <row r="45" spans="2:20">
      <c r="N45" s="561"/>
      <c r="O45" s="561"/>
      <c r="P45" s="561"/>
      <c r="Q45" s="561"/>
      <c r="R45" s="561"/>
      <c r="S45" s="561"/>
      <c r="T45" s="561"/>
    </row>
    <row r="46" spans="2:20">
      <c r="B46" s="1442" t="s">
        <v>274</v>
      </c>
      <c r="N46" s="561"/>
      <c r="O46" s="561"/>
      <c r="P46" s="561"/>
      <c r="Q46" s="561"/>
      <c r="R46" s="561"/>
      <c r="S46" s="561"/>
      <c r="T46" s="561"/>
    </row>
    <row r="47" spans="2:20" ht="13.5" thickBot="1">
      <c r="B47" s="1442"/>
      <c r="N47" s="561"/>
      <c r="O47" s="561"/>
      <c r="P47" s="561"/>
      <c r="Q47" s="561"/>
      <c r="R47" s="561"/>
      <c r="S47" s="561"/>
      <c r="T47" s="561"/>
    </row>
    <row r="48" spans="2:20">
      <c r="B48" s="1895"/>
      <c r="C48" s="1893" t="s">
        <v>31</v>
      </c>
      <c r="D48" s="1444" t="s">
        <v>116</v>
      </c>
      <c r="E48" s="1445"/>
      <c r="F48" s="1445"/>
      <c r="G48" s="1445"/>
      <c r="H48" s="562"/>
      <c r="I48" s="1444" t="s">
        <v>117</v>
      </c>
      <c r="J48" s="563"/>
      <c r="K48" s="563"/>
      <c r="L48" s="563"/>
      <c r="M48" s="562"/>
      <c r="N48" s="561"/>
      <c r="O48" s="561"/>
      <c r="P48" s="561"/>
      <c r="Q48" s="561"/>
      <c r="R48" s="561"/>
      <c r="S48" s="561"/>
      <c r="T48" s="561"/>
    </row>
    <row r="49" spans="2:20">
      <c r="B49" s="1896"/>
      <c r="C49" s="1894"/>
      <c r="D49" s="1449" t="s">
        <v>32</v>
      </c>
      <c r="E49" s="1450" t="s">
        <v>33</v>
      </c>
      <c r="F49" s="1450" t="s">
        <v>29</v>
      </c>
      <c r="G49" s="1450" t="s">
        <v>34</v>
      </c>
      <c r="H49" s="1451" t="s">
        <v>35</v>
      </c>
      <c r="I49" s="1449" t="s">
        <v>118</v>
      </c>
      <c r="J49" s="1450" t="s">
        <v>136</v>
      </c>
      <c r="K49" s="1450" t="s">
        <v>137</v>
      </c>
      <c r="L49" s="1450" t="s">
        <v>138</v>
      </c>
      <c r="M49" s="1451" t="s">
        <v>139</v>
      </c>
      <c r="N49" s="561"/>
      <c r="O49" s="561"/>
      <c r="P49" s="561"/>
      <c r="Q49" s="561"/>
      <c r="R49" s="561"/>
      <c r="S49" s="561"/>
      <c r="T49" s="561"/>
    </row>
    <row r="50" spans="2:20">
      <c r="B50" s="1492" t="s">
        <v>275</v>
      </c>
      <c r="C50" s="1493"/>
      <c r="D50" s="1494"/>
      <c r="E50" s="1495"/>
      <c r="F50" s="1495"/>
      <c r="G50" s="1495"/>
      <c r="H50" s="1496"/>
      <c r="I50" s="597"/>
      <c r="J50" s="598"/>
      <c r="K50" s="598"/>
      <c r="L50" s="598"/>
      <c r="M50" s="599"/>
      <c r="N50" s="600"/>
      <c r="O50" s="561"/>
      <c r="P50" s="561"/>
      <c r="Q50" s="561"/>
      <c r="R50" s="561"/>
      <c r="S50" s="561"/>
      <c r="T50" s="561"/>
    </row>
    <row r="51" spans="2:20">
      <c r="B51" s="1497" t="s">
        <v>276</v>
      </c>
      <c r="C51" s="1482"/>
      <c r="D51" s="1498"/>
      <c r="E51" s="1499"/>
      <c r="F51" s="1499"/>
      <c r="G51" s="1499"/>
      <c r="H51" s="1500"/>
      <c r="I51" s="601"/>
      <c r="J51" s="602"/>
      <c r="K51" s="602"/>
      <c r="L51" s="602"/>
      <c r="M51" s="603"/>
      <c r="N51" s="600"/>
      <c r="O51" s="561"/>
      <c r="P51" s="561"/>
      <c r="Q51" s="561"/>
      <c r="R51" s="561"/>
      <c r="S51" s="561"/>
      <c r="T51" s="561"/>
    </row>
    <row r="52" spans="2:20">
      <c r="B52" s="1501" t="s">
        <v>514</v>
      </c>
      <c r="C52" s="1482" t="s">
        <v>515</v>
      </c>
      <c r="D52" s="1502">
        <f t="shared" ref="D52:M56" si="16">D83+D114</f>
        <v>0</v>
      </c>
      <c r="E52" s="1503">
        <f t="shared" si="16"/>
        <v>0</v>
      </c>
      <c r="F52" s="1503">
        <f t="shared" si="16"/>
        <v>0</v>
      </c>
      <c r="G52" s="1503">
        <f t="shared" si="16"/>
        <v>0</v>
      </c>
      <c r="H52" s="1504">
        <f t="shared" si="16"/>
        <v>0</v>
      </c>
      <c r="I52" s="1502">
        <f t="shared" si="16"/>
        <v>0</v>
      </c>
      <c r="J52" s="1505">
        <f t="shared" si="16"/>
        <v>0</v>
      </c>
      <c r="K52" s="1505">
        <f t="shared" si="16"/>
        <v>0</v>
      </c>
      <c r="L52" s="1505">
        <f t="shared" si="16"/>
        <v>0</v>
      </c>
      <c r="M52" s="1504">
        <f t="shared" si="16"/>
        <v>0</v>
      </c>
      <c r="N52" s="561"/>
      <c r="O52" s="561"/>
      <c r="P52" s="561"/>
      <c r="Q52" s="561"/>
      <c r="R52" s="561"/>
      <c r="S52" s="561"/>
      <c r="T52" s="561"/>
    </row>
    <row r="53" spans="2:20">
      <c r="B53" s="1506" t="s">
        <v>277</v>
      </c>
      <c r="C53" s="1482"/>
      <c r="D53" s="1502">
        <f t="shared" si="16"/>
        <v>0</v>
      </c>
      <c r="E53" s="1503">
        <f t="shared" si="16"/>
        <v>0</v>
      </c>
      <c r="F53" s="1503">
        <f t="shared" si="16"/>
        <v>0</v>
      </c>
      <c r="G53" s="1503">
        <f t="shared" si="16"/>
        <v>0</v>
      </c>
      <c r="H53" s="1504">
        <f t="shared" si="16"/>
        <v>0</v>
      </c>
      <c r="I53" s="1502">
        <f t="shared" si="16"/>
        <v>0</v>
      </c>
      <c r="J53" s="1505">
        <f t="shared" si="16"/>
        <v>0</v>
      </c>
      <c r="K53" s="1505">
        <f t="shared" si="16"/>
        <v>0</v>
      </c>
      <c r="L53" s="1505">
        <f t="shared" si="16"/>
        <v>0</v>
      </c>
      <c r="M53" s="1504">
        <f t="shared" si="16"/>
        <v>0</v>
      </c>
      <c r="N53" s="561"/>
      <c r="O53" s="561"/>
      <c r="P53" s="561"/>
      <c r="Q53" s="561"/>
      <c r="R53" s="561"/>
      <c r="S53" s="561"/>
      <c r="T53" s="561"/>
    </row>
    <row r="54" spans="2:20">
      <c r="B54" s="589" t="s">
        <v>278</v>
      </c>
      <c r="C54" s="1482"/>
      <c r="D54" s="604"/>
      <c r="E54" s="605"/>
      <c r="F54" s="605"/>
      <c r="G54" s="605"/>
      <c r="H54" s="606"/>
      <c r="I54" s="1502">
        <f t="shared" si="16"/>
        <v>0</v>
      </c>
      <c r="J54" s="1505">
        <f t="shared" si="16"/>
        <v>0</v>
      </c>
      <c r="K54" s="1505">
        <f t="shared" si="16"/>
        <v>0</v>
      </c>
      <c r="L54" s="1505">
        <f t="shared" si="16"/>
        <v>0</v>
      </c>
      <c r="M54" s="1504">
        <f t="shared" si="16"/>
        <v>0</v>
      </c>
      <c r="N54" s="561"/>
      <c r="O54" s="561"/>
      <c r="P54" s="561"/>
      <c r="Q54" s="561"/>
      <c r="R54" s="561"/>
      <c r="S54" s="561"/>
      <c r="T54" s="561"/>
    </row>
    <row r="55" spans="2:20">
      <c r="B55" s="589" t="s">
        <v>279</v>
      </c>
      <c r="C55" s="1482" t="s">
        <v>515</v>
      </c>
      <c r="D55" s="604"/>
      <c r="E55" s="605"/>
      <c r="F55" s="605"/>
      <c r="G55" s="605"/>
      <c r="H55" s="606"/>
      <c r="I55" s="1502">
        <f t="shared" si="16"/>
        <v>0</v>
      </c>
      <c r="J55" s="1505">
        <f t="shared" si="16"/>
        <v>0</v>
      </c>
      <c r="K55" s="1505">
        <f t="shared" si="16"/>
        <v>0</v>
      </c>
      <c r="L55" s="1505">
        <f t="shared" si="16"/>
        <v>0</v>
      </c>
      <c r="M55" s="1504">
        <f t="shared" si="16"/>
        <v>0</v>
      </c>
      <c r="N55" s="561"/>
      <c r="O55" s="561"/>
      <c r="P55" s="561"/>
      <c r="Q55" s="561"/>
      <c r="R55" s="561"/>
      <c r="S55" s="561"/>
      <c r="T55" s="561"/>
    </row>
    <row r="56" spans="2:20">
      <c r="B56" s="589" t="s">
        <v>280</v>
      </c>
      <c r="C56" s="1482"/>
      <c r="D56" s="1502">
        <f>D87+D118</f>
        <v>0</v>
      </c>
      <c r="E56" s="1505">
        <f>E87+E118</f>
        <v>0</v>
      </c>
      <c r="F56" s="1505">
        <f>F87+F118</f>
        <v>0</v>
      </c>
      <c r="G56" s="1505">
        <f>G87+G118</f>
        <v>0</v>
      </c>
      <c r="H56" s="1504">
        <f>H87+H118</f>
        <v>0</v>
      </c>
      <c r="I56" s="1502">
        <f t="shared" si="16"/>
        <v>0</v>
      </c>
      <c r="J56" s="1505">
        <f t="shared" si="16"/>
        <v>0</v>
      </c>
      <c r="K56" s="1505">
        <f t="shared" si="16"/>
        <v>0</v>
      </c>
      <c r="L56" s="1505">
        <f t="shared" si="16"/>
        <v>0</v>
      </c>
      <c r="M56" s="1504">
        <f t="shared" si="16"/>
        <v>0</v>
      </c>
      <c r="N56" s="561"/>
      <c r="O56" s="561"/>
      <c r="P56" s="561"/>
      <c r="Q56" s="561"/>
      <c r="R56" s="561"/>
      <c r="S56" s="561"/>
      <c r="T56" s="561"/>
    </row>
    <row r="57" spans="2:20">
      <c r="B57" s="1507" t="s">
        <v>281</v>
      </c>
      <c r="C57" s="1482"/>
      <c r="D57" s="1508"/>
      <c r="E57" s="1509"/>
      <c r="F57" s="1509"/>
      <c r="G57" s="1509"/>
      <c r="H57" s="1510"/>
      <c r="I57" s="607"/>
      <c r="J57" s="608"/>
      <c r="K57" s="608"/>
      <c r="L57" s="608"/>
      <c r="M57" s="609"/>
      <c r="N57" s="600"/>
      <c r="O57" s="561"/>
      <c r="P57" s="561"/>
      <c r="Q57" s="561"/>
      <c r="R57" s="561"/>
      <c r="S57" s="561"/>
      <c r="T57" s="561"/>
    </row>
    <row r="58" spans="2:20">
      <c r="B58" s="1511" t="s">
        <v>514</v>
      </c>
      <c r="C58" s="1482" t="s">
        <v>515</v>
      </c>
      <c r="D58" s="1502">
        <f t="shared" ref="D58:M62" si="17">D89+D120</f>
        <v>0</v>
      </c>
      <c r="E58" s="1503">
        <f t="shared" si="17"/>
        <v>0</v>
      </c>
      <c r="F58" s="1503">
        <f t="shared" si="17"/>
        <v>0</v>
      </c>
      <c r="G58" s="1503">
        <f t="shared" si="17"/>
        <v>0</v>
      </c>
      <c r="H58" s="1504">
        <f t="shared" si="17"/>
        <v>0</v>
      </c>
      <c r="I58" s="1502">
        <f t="shared" si="17"/>
        <v>0</v>
      </c>
      <c r="J58" s="1505">
        <f t="shared" si="17"/>
        <v>0</v>
      </c>
      <c r="K58" s="1505">
        <f t="shared" si="17"/>
        <v>0</v>
      </c>
      <c r="L58" s="1505">
        <f t="shared" si="17"/>
        <v>0</v>
      </c>
      <c r="M58" s="1504">
        <f t="shared" si="17"/>
        <v>0</v>
      </c>
      <c r="N58" s="561"/>
      <c r="O58" s="561"/>
      <c r="P58" s="561"/>
      <c r="Q58" s="561"/>
      <c r="R58" s="561"/>
      <c r="S58" s="561"/>
      <c r="T58" s="561"/>
    </row>
    <row r="59" spans="2:20">
      <c r="B59" s="1512" t="s">
        <v>277</v>
      </c>
      <c r="C59" s="1482"/>
      <c r="D59" s="1502">
        <f t="shared" si="17"/>
        <v>0</v>
      </c>
      <c r="E59" s="1503">
        <f t="shared" si="17"/>
        <v>0</v>
      </c>
      <c r="F59" s="1503">
        <f t="shared" si="17"/>
        <v>0</v>
      </c>
      <c r="G59" s="1503">
        <f t="shared" si="17"/>
        <v>0</v>
      </c>
      <c r="H59" s="1504">
        <f t="shared" si="17"/>
        <v>0</v>
      </c>
      <c r="I59" s="1502">
        <f t="shared" si="17"/>
        <v>0</v>
      </c>
      <c r="J59" s="1505">
        <f t="shared" si="17"/>
        <v>0</v>
      </c>
      <c r="K59" s="1505">
        <f t="shared" si="17"/>
        <v>0</v>
      </c>
      <c r="L59" s="1505">
        <f t="shared" si="17"/>
        <v>0</v>
      </c>
      <c r="M59" s="1504">
        <f t="shared" si="17"/>
        <v>0</v>
      </c>
      <c r="N59" s="561"/>
      <c r="O59" s="561"/>
      <c r="P59" s="561"/>
      <c r="Q59" s="561"/>
      <c r="R59" s="561"/>
      <c r="S59" s="561"/>
      <c r="T59" s="561"/>
    </row>
    <row r="60" spans="2:20">
      <c r="B60" s="589" t="s">
        <v>268</v>
      </c>
      <c r="C60" s="1482"/>
      <c r="D60" s="1513"/>
      <c r="E60" s="1514"/>
      <c r="F60" s="1514"/>
      <c r="G60" s="1514"/>
      <c r="H60" s="1515"/>
      <c r="I60" s="1502">
        <f t="shared" si="17"/>
        <v>0</v>
      </c>
      <c r="J60" s="1505">
        <f t="shared" si="17"/>
        <v>0</v>
      </c>
      <c r="K60" s="1505">
        <f t="shared" si="17"/>
        <v>0</v>
      </c>
      <c r="L60" s="1505">
        <f t="shared" si="17"/>
        <v>0</v>
      </c>
      <c r="M60" s="1504">
        <f t="shared" si="17"/>
        <v>0</v>
      </c>
      <c r="N60" s="561"/>
      <c r="O60" s="561"/>
      <c r="P60" s="561"/>
      <c r="Q60" s="561"/>
      <c r="R60" s="561"/>
      <c r="S60" s="561"/>
      <c r="T60" s="561"/>
    </row>
    <row r="61" spans="2:20">
      <c r="B61" s="589" t="s">
        <v>269</v>
      </c>
      <c r="C61" s="1482" t="s">
        <v>515</v>
      </c>
      <c r="D61" s="1513"/>
      <c r="E61" s="1514"/>
      <c r="F61" s="1514"/>
      <c r="G61" s="1514"/>
      <c r="H61" s="1515"/>
      <c r="I61" s="1502">
        <f t="shared" si="17"/>
        <v>0</v>
      </c>
      <c r="J61" s="1505">
        <f t="shared" si="17"/>
        <v>0</v>
      </c>
      <c r="K61" s="1505">
        <f t="shared" si="17"/>
        <v>0</v>
      </c>
      <c r="L61" s="1505">
        <f t="shared" si="17"/>
        <v>0</v>
      </c>
      <c r="M61" s="1504">
        <f t="shared" si="17"/>
        <v>0</v>
      </c>
      <c r="N61" s="561"/>
      <c r="O61" s="561"/>
      <c r="P61" s="561"/>
      <c r="Q61" s="561"/>
      <c r="R61" s="561"/>
      <c r="S61" s="561"/>
      <c r="T61" s="561"/>
    </row>
    <row r="62" spans="2:20">
      <c r="B62" s="589" t="s">
        <v>282</v>
      </c>
      <c r="C62" s="1482"/>
      <c r="D62" s="1502">
        <f>D93+D124</f>
        <v>0</v>
      </c>
      <c r="E62" s="1505">
        <f>E93+E124</f>
        <v>0</v>
      </c>
      <c r="F62" s="1505">
        <f>F93+F124</f>
        <v>0</v>
      </c>
      <c r="G62" s="1505">
        <f>G93+G124</f>
        <v>0</v>
      </c>
      <c r="H62" s="1504">
        <f>H93+H124</f>
        <v>0</v>
      </c>
      <c r="I62" s="1502">
        <f t="shared" si="17"/>
        <v>0</v>
      </c>
      <c r="J62" s="1505">
        <f t="shared" si="17"/>
        <v>0</v>
      </c>
      <c r="K62" s="1505">
        <f t="shared" si="17"/>
        <v>0</v>
      </c>
      <c r="L62" s="1505">
        <f t="shared" si="17"/>
        <v>0</v>
      </c>
      <c r="M62" s="1504">
        <f t="shared" si="17"/>
        <v>0</v>
      </c>
      <c r="N62" s="561"/>
      <c r="O62" s="561"/>
      <c r="P62" s="561"/>
      <c r="Q62" s="561"/>
      <c r="R62" s="561"/>
      <c r="S62" s="561"/>
      <c r="T62" s="561"/>
    </row>
    <row r="63" spans="2:20">
      <c r="B63" s="1507" t="s">
        <v>283</v>
      </c>
      <c r="C63" s="1482"/>
      <c r="D63" s="1508"/>
      <c r="E63" s="1509"/>
      <c r="F63" s="1509"/>
      <c r="G63" s="1509"/>
      <c r="H63" s="1510"/>
      <c r="I63" s="1516"/>
      <c r="J63" s="1517"/>
      <c r="K63" s="1517"/>
      <c r="L63" s="1517"/>
      <c r="M63" s="1518"/>
      <c r="N63" s="600"/>
      <c r="O63" s="561"/>
      <c r="P63" s="561"/>
      <c r="Q63" s="561"/>
      <c r="R63" s="561"/>
      <c r="S63" s="561"/>
      <c r="T63" s="561"/>
    </row>
    <row r="64" spans="2:20">
      <c r="B64" s="1511" t="s">
        <v>514</v>
      </c>
      <c r="C64" s="1482" t="s">
        <v>515</v>
      </c>
      <c r="D64" s="1502">
        <f t="shared" ref="D64:M68" si="18">D95+D126</f>
        <v>0</v>
      </c>
      <c r="E64" s="1503">
        <f t="shared" si="18"/>
        <v>0</v>
      </c>
      <c r="F64" s="1503">
        <f t="shared" si="18"/>
        <v>0</v>
      </c>
      <c r="G64" s="1503">
        <f t="shared" si="18"/>
        <v>0</v>
      </c>
      <c r="H64" s="1504">
        <f t="shared" si="18"/>
        <v>0</v>
      </c>
      <c r="I64" s="1502">
        <f t="shared" si="18"/>
        <v>0</v>
      </c>
      <c r="J64" s="1505">
        <f t="shared" si="18"/>
        <v>0</v>
      </c>
      <c r="K64" s="1505">
        <f t="shared" si="18"/>
        <v>0</v>
      </c>
      <c r="L64" s="1505">
        <f t="shared" si="18"/>
        <v>0</v>
      </c>
      <c r="M64" s="1504">
        <f t="shared" si="18"/>
        <v>0</v>
      </c>
      <c r="N64" s="561"/>
      <c r="O64" s="561"/>
      <c r="P64" s="561"/>
      <c r="Q64" s="561"/>
      <c r="R64" s="561"/>
      <c r="S64" s="561"/>
      <c r="T64" s="561"/>
    </row>
    <row r="65" spans="1:20">
      <c r="B65" s="1512" t="s">
        <v>277</v>
      </c>
      <c r="C65" s="1482"/>
      <c r="D65" s="1502">
        <f t="shared" si="18"/>
        <v>0</v>
      </c>
      <c r="E65" s="1503">
        <f t="shared" si="18"/>
        <v>0</v>
      </c>
      <c r="F65" s="1503">
        <f t="shared" si="18"/>
        <v>0</v>
      </c>
      <c r="G65" s="1503">
        <f t="shared" si="18"/>
        <v>0</v>
      </c>
      <c r="H65" s="1504">
        <f t="shared" si="18"/>
        <v>0</v>
      </c>
      <c r="I65" s="1502">
        <f t="shared" si="18"/>
        <v>0</v>
      </c>
      <c r="J65" s="1505">
        <f t="shared" si="18"/>
        <v>0</v>
      </c>
      <c r="K65" s="1505">
        <f t="shared" si="18"/>
        <v>0</v>
      </c>
      <c r="L65" s="1505">
        <f t="shared" si="18"/>
        <v>0</v>
      </c>
      <c r="M65" s="1504">
        <f t="shared" si="18"/>
        <v>0</v>
      </c>
      <c r="N65" s="561"/>
      <c r="O65" s="561"/>
      <c r="P65" s="561"/>
      <c r="Q65" s="561"/>
      <c r="R65" s="561"/>
      <c r="S65" s="561"/>
      <c r="T65" s="561"/>
    </row>
    <row r="66" spans="1:20">
      <c r="B66" s="589" t="s">
        <v>270</v>
      </c>
      <c r="C66" s="1482"/>
      <c r="D66" s="1513"/>
      <c r="E66" s="1514"/>
      <c r="F66" s="1514"/>
      <c r="G66" s="1514"/>
      <c r="H66" s="1515"/>
      <c r="I66" s="1502">
        <f t="shared" si="18"/>
        <v>0</v>
      </c>
      <c r="J66" s="1505">
        <f t="shared" si="18"/>
        <v>0</v>
      </c>
      <c r="K66" s="1505">
        <f t="shared" si="18"/>
        <v>0</v>
      </c>
      <c r="L66" s="1505">
        <f t="shared" si="18"/>
        <v>0</v>
      </c>
      <c r="M66" s="1504">
        <f t="shared" si="18"/>
        <v>0</v>
      </c>
      <c r="N66" s="561"/>
      <c r="O66" s="561"/>
      <c r="P66" s="561"/>
      <c r="Q66" s="561"/>
      <c r="R66" s="561"/>
      <c r="S66" s="561"/>
      <c r="T66" s="561"/>
    </row>
    <row r="67" spans="1:20">
      <c r="B67" s="589" t="s">
        <v>271</v>
      </c>
      <c r="C67" s="1482" t="s">
        <v>515</v>
      </c>
      <c r="D67" s="1513"/>
      <c r="E67" s="1514"/>
      <c r="F67" s="1514"/>
      <c r="G67" s="1514"/>
      <c r="H67" s="1515"/>
      <c r="I67" s="1502">
        <f t="shared" si="18"/>
        <v>0</v>
      </c>
      <c r="J67" s="1505">
        <f t="shared" si="18"/>
        <v>0</v>
      </c>
      <c r="K67" s="1505">
        <f t="shared" si="18"/>
        <v>0</v>
      </c>
      <c r="L67" s="1505">
        <f t="shared" si="18"/>
        <v>0</v>
      </c>
      <c r="M67" s="1504">
        <f t="shared" si="18"/>
        <v>0</v>
      </c>
      <c r="N67" s="561"/>
      <c r="O67" s="561"/>
      <c r="P67" s="561"/>
      <c r="Q67" s="561"/>
      <c r="R67" s="561"/>
      <c r="S67" s="561"/>
      <c r="T67" s="561"/>
    </row>
    <row r="68" spans="1:20">
      <c r="B68" s="589" t="s">
        <v>284</v>
      </c>
      <c r="C68" s="1482"/>
      <c r="D68" s="1502">
        <f>D99+D130</f>
        <v>0</v>
      </c>
      <c r="E68" s="1505">
        <f>E99+E130</f>
        <v>0</v>
      </c>
      <c r="F68" s="1505">
        <f>F99+F130</f>
        <v>0</v>
      </c>
      <c r="G68" s="1505">
        <f>G99+G130</f>
        <v>0</v>
      </c>
      <c r="H68" s="1504">
        <f>H99+H130</f>
        <v>0</v>
      </c>
      <c r="I68" s="1502">
        <f t="shared" si="18"/>
        <v>0</v>
      </c>
      <c r="J68" s="1505">
        <f t="shared" si="18"/>
        <v>0</v>
      </c>
      <c r="K68" s="1505">
        <f t="shared" si="18"/>
        <v>0</v>
      </c>
      <c r="L68" s="1505">
        <f t="shared" si="18"/>
        <v>0</v>
      </c>
      <c r="M68" s="1504">
        <f t="shared" si="18"/>
        <v>0</v>
      </c>
      <c r="N68" s="561"/>
      <c r="O68" s="561"/>
      <c r="P68" s="561"/>
      <c r="Q68" s="561"/>
      <c r="R68" s="561"/>
      <c r="S68" s="561"/>
      <c r="T68" s="561"/>
    </row>
    <row r="69" spans="1:20">
      <c r="B69" s="1507" t="s">
        <v>285</v>
      </c>
      <c r="C69" s="1482"/>
      <c r="D69" s="1508"/>
      <c r="E69" s="1509"/>
      <c r="F69" s="1509"/>
      <c r="G69" s="1509"/>
      <c r="H69" s="1510"/>
      <c r="I69" s="1516"/>
      <c r="J69" s="1517"/>
      <c r="K69" s="1517"/>
      <c r="L69" s="1517"/>
      <c r="M69" s="1518"/>
      <c r="N69" s="600"/>
      <c r="O69" s="561"/>
      <c r="P69" s="561"/>
      <c r="Q69" s="561"/>
      <c r="R69" s="561"/>
      <c r="S69" s="561"/>
      <c r="T69" s="561"/>
    </row>
    <row r="70" spans="1:20">
      <c r="B70" s="1511" t="s">
        <v>514</v>
      </c>
      <c r="C70" s="1482" t="s">
        <v>515</v>
      </c>
      <c r="D70" s="1519">
        <f t="shared" ref="D70:M74" si="19">D101+D132</f>
        <v>0</v>
      </c>
      <c r="E70" s="1520">
        <f t="shared" si="19"/>
        <v>0</v>
      </c>
      <c r="F70" s="1520">
        <f t="shared" si="19"/>
        <v>0</v>
      </c>
      <c r="G70" s="1520">
        <f t="shared" si="19"/>
        <v>0</v>
      </c>
      <c r="H70" s="1521">
        <f t="shared" si="19"/>
        <v>0</v>
      </c>
      <c r="I70" s="1519">
        <f t="shared" si="19"/>
        <v>0</v>
      </c>
      <c r="J70" s="1522">
        <f t="shared" si="19"/>
        <v>0</v>
      </c>
      <c r="K70" s="1522">
        <f t="shared" si="19"/>
        <v>0</v>
      </c>
      <c r="L70" s="1522">
        <f t="shared" si="19"/>
        <v>0</v>
      </c>
      <c r="M70" s="1521">
        <f t="shared" si="19"/>
        <v>0</v>
      </c>
      <c r="N70" s="561"/>
      <c r="O70" s="561"/>
      <c r="P70" s="561"/>
      <c r="Q70" s="561"/>
      <c r="R70" s="561"/>
      <c r="S70" s="561"/>
      <c r="T70" s="561"/>
    </row>
    <row r="71" spans="1:20">
      <c r="B71" s="1512" t="s">
        <v>277</v>
      </c>
      <c r="C71" s="1482"/>
      <c r="D71" s="1519">
        <f t="shared" si="19"/>
        <v>0</v>
      </c>
      <c r="E71" s="1520">
        <f t="shared" si="19"/>
        <v>0</v>
      </c>
      <c r="F71" s="1520">
        <f t="shared" si="19"/>
        <v>0</v>
      </c>
      <c r="G71" s="1520">
        <f t="shared" si="19"/>
        <v>0</v>
      </c>
      <c r="H71" s="1521">
        <f t="shared" si="19"/>
        <v>0</v>
      </c>
      <c r="I71" s="1519">
        <f t="shared" si="19"/>
        <v>0</v>
      </c>
      <c r="J71" s="1522">
        <f t="shared" si="19"/>
        <v>0</v>
      </c>
      <c r="K71" s="1522">
        <f t="shared" si="19"/>
        <v>0</v>
      </c>
      <c r="L71" s="1522">
        <f t="shared" si="19"/>
        <v>0</v>
      </c>
      <c r="M71" s="1521">
        <f t="shared" si="19"/>
        <v>0</v>
      </c>
      <c r="N71" s="561"/>
      <c r="O71" s="561"/>
      <c r="P71" s="561"/>
      <c r="Q71" s="561"/>
      <c r="R71" s="561"/>
      <c r="S71" s="561"/>
      <c r="T71" s="561"/>
    </row>
    <row r="72" spans="1:20">
      <c r="B72" s="589" t="s">
        <v>272</v>
      </c>
      <c r="C72" s="1482"/>
      <c r="D72" s="1523"/>
      <c r="E72" s="1524"/>
      <c r="F72" s="1524"/>
      <c r="G72" s="1524"/>
      <c r="H72" s="1525"/>
      <c r="I72" s="1519">
        <f t="shared" si="19"/>
        <v>0</v>
      </c>
      <c r="J72" s="1522">
        <f t="shared" si="19"/>
        <v>0</v>
      </c>
      <c r="K72" s="1522">
        <f t="shared" si="19"/>
        <v>0</v>
      </c>
      <c r="L72" s="1522">
        <f t="shared" si="19"/>
        <v>0</v>
      </c>
      <c r="M72" s="1521">
        <f t="shared" si="19"/>
        <v>0</v>
      </c>
      <c r="N72" s="561"/>
      <c r="O72" s="561"/>
      <c r="P72" s="561"/>
      <c r="Q72" s="561"/>
      <c r="R72" s="561"/>
      <c r="S72" s="561"/>
      <c r="T72" s="561"/>
    </row>
    <row r="73" spans="1:20">
      <c r="B73" s="589" t="s">
        <v>273</v>
      </c>
      <c r="C73" s="1482" t="s">
        <v>515</v>
      </c>
      <c r="D73" s="1523"/>
      <c r="E73" s="1524"/>
      <c r="F73" s="1524"/>
      <c r="G73" s="1524"/>
      <c r="H73" s="1525"/>
      <c r="I73" s="1519">
        <f t="shared" si="19"/>
        <v>0</v>
      </c>
      <c r="J73" s="1522">
        <f t="shared" si="19"/>
        <v>0</v>
      </c>
      <c r="K73" s="1522">
        <f t="shared" si="19"/>
        <v>0</v>
      </c>
      <c r="L73" s="1522">
        <f t="shared" si="19"/>
        <v>0</v>
      </c>
      <c r="M73" s="1521">
        <f t="shared" si="19"/>
        <v>0</v>
      </c>
      <c r="N73" s="561"/>
      <c r="O73" s="561"/>
      <c r="P73" s="561"/>
      <c r="Q73" s="561"/>
      <c r="R73" s="561"/>
      <c r="S73" s="561"/>
      <c r="T73" s="561"/>
    </row>
    <row r="74" spans="1:20">
      <c r="B74" s="589" t="s">
        <v>286</v>
      </c>
      <c r="C74" s="1482"/>
      <c r="D74" s="1519">
        <f>D105+D136</f>
        <v>0</v>
      </c>
      <c r="E74" s="1520">
        <f>E105+E136</f>
        <v>0</v>
      </c>
      <c r="F74" s="1520">
        <f>F105+F136</f>
        <v>0</v>
      </c>
      <c r="G74" s="1520">
        <f>G105+G136</f>
        <v>0</v>
      </c>
      <c r="H74" s="1521">
        <f>H105+H136</f>
        <v>0</v>
      </c>
      <c r="I74" s="1519">
        <f t="shared" si="19"/>
        <v>0</v>
      </c>
      <c r="J74" s="1522">
        <f t="shared" si="19"/>
        <v>0</v>
      </c>
      <c r="K74" s="1522">
        <f t="shared" si="19"/>
        <v>0</v>
      </c>
      <c r="L74" s="1522">
        <f t="shared" si="19"/>
        <v>0</v>
      </c>
      <c r="M74" s="1521">
        <f t="shared" si="19"/>
        <v>0</v>
      </c>
      <c r="N74" s="561"/>
      <c r="O74" s="561"/>
      <c r="P74" s="561"/>
      <c r="Q74" s="561"/>
      <c r="R74" s="561"/>
      <c r="S74" s="561"/>
      <c r="T74" s="561"/>
    </row>
    <row r="75" spans="1:20" ht="13.5" thickBot="1">
      <c r="B75" s="1526" t="s">
        <v>847</v>
      </c>
      <c r="C75" s="1491" t="s">
        <v>515</v>
      </c>
      <c r="D75" s="1527">
        <f t="shared" ref="D75:M75" si="20">SUM(D52:D55,D58:D61,D64:D67,D70:D73)</f>
        <v>0</v>
      </c>
      <c r="E75" s="1528">
        <f t="shared" si="20"/>
        <v>0</v>
      </c>
      <c r="F75" s="1528">
        <f t="shared" si="20"/>
        <v>0</v>
      </c>
      <c r="G75" s="1528">
        <f t="shared" si="20"/>
        <v>0</v>
      </c>
      <c r="H75" s="1529">
        <f t="shared" si="20"/>
        <v>0</v>
      </c>
      <c r="I75" s="1527">
        <f t="shared" si="20"/>
        <v>0</v>
      </c>
      <c r="J75" s="1528">
        <f t="shared" si="20"/>
        <v>0</v>
      </c>
      <c r="K75" s="1528">
        <f t="shared" si="20"/>
        <v>0</v>
      </c>
      <c r="L75" s="1528">
        <f t="shared" si="20"/>
        <v>0</v>
      </c>
      <c r="M75" s="1529">
        <f t="shared" si="20"/>
        <v>0</v>
      </c>
      <c r="N75" s="610"/>
      <c r="O75" s="561"/>
      <c r="P75" s="561"/>
      <c r="Q75" s="561"/>
      <c r="R75" s="561"/>
      <c r="S75" s="561"/>
      <c r="T75" s="561"/>
    </row>
    <row r="76" spans="1:20">
      <c r="B76" s="1530"/>
      <c r="C76" s="611"/>
      <c r="D76" s="561"/>
      <c r="E76" s="561"/>
      <c r="F76" s="561"/>
      <c r="G76" s="561"/>
      <c r="H76" s="561"/>
      <c r="I76" s="561"/>
      <c r="J76" s="561"/>
      <c r="K76" s="561"/>
      <c r="L76" s="561"/>
      <c r="M76" s="561"/>
      <c r="N76" s="561"/>
      <c r="O76" s="561"/>
      <c r="P76" s="561"/>
      <c r="Q76" s="561"/>
      <c r="R76" s="561"/>
      <c r="S76" s="561"/>
      <c r="T76" s="561"/>
    </row>
    <row r="77" spans="1:20">
      <c r="B77" s="1442" t="s">
        <v>287</v>
      </c>
      <c r="N77" s="561"/>
      <c r="O77" s="561"/>
      <c r="P77" s="561"/>
      <c r="Q77" s="561"/>
      <c r="R77" s="561"/>
      <c r="S77" s="561"/>
      <c r="T77" s="561"/>
    </row>
    <row r="78" spans="1:20" ht="13.5" thickBot="1">
      <c r="B78" s="1442"/>
      <c r="N78" s="561"/>
      <c r="O78" s="561"/>
      <c r="P78" s="561"/>
      <c r="Q78" s="561"/>
      <c r="R78" s="561"/>
      <c r="S78" s="561"/>
      <c r="T78" s="561"/>
    </row>
    <row r="79" spans="1:20">
      <c r="A79" s="612"/>
      <c r="B79" s="1895"/>
      <c r="C79" s="1893" t="s">
        <v>31</v>
      </c>
      <c r="D79" s="1444" t="s">
        <v>116</v>
      </c>
      <c r="E79" s="1445"/>
      <c r="F79" s="1445"/>
      <c r="G79" s="1445"/>
      <c r="H79" s="562"/>
      <c r="I79" s="1444" t="s">
        <v>117</v>
      </c>
      <c r="J79" s="563"/>
      <c r="K79" s="563"/>
      <c r="L79" s="562"/>
      <c r="M79" s="562"/>
      <c r="N79" s="561"/>
      <c r="O79" s="561"/>
      <c r="P79" s="561"/>
      <c r="Q79" s="561"/>
      <c r="R79" s="561"/>
      <c r="S79" s="561"/>
      <c r="T79" s="561"/>
    </row>
    <row r="80" spans="1:20">
      <c r="A80" s="612"/>
      <c r="B80" s="1896"/>
      <c r="C80" s="1894"/>
      <c r="D80" s="1449" t="s">
        <v>32</v>
      </c>
      <c r="E80" s="1450" t="s">
        <v>33</v>
      </c>
      <c r="F80" s="1450" t="s">
        <v>29</v>
      </c>
      <c r="G80" s="1450" t="s">
        <v>34</v>
      </c>
      <c r="H80" s="1451" t="s">
        <v>35</v>
      </c>
      <c r="I80" s="1449" t="s">
        <v>118</v>
      </c>
      <c r="J80" s="1450" t="s">
        <v>136</v>
      </c>
      <c r="K80" s="1450" t="s">
        <v>137</v>
      </c>
      <c r="L80" s="1454" t="s">
        <v>138</v>
      </c>
      <c r="M80" s="1531" t="s">
        <v>139</v>
      </c>
      <c r="N80" s="561"/>
      <c r="O80" s="561"/>
      <c r="P80" s="561"/>
      <c r="Q80" s="561"/>
      <c r="R80" s="561"/>
      <c r="S80" s="561"/>
      <c r="T80" s="561"/>
    </row>
    <row r="81" spans="1:20">
      <c r="A81" s="612"/>
      <c r="B81" s="1492" t="s">
        <v>275</v>
      </c>
      <c r="C81" s="1493"/>
      <c r="D81" s="1494"/>
      <c r="E81" s="1495"/>
      <c r="F81" s="1495"/>
      <c r="G81" s="1495"/>
      <c r="H81" s="1496"/>
      <c r="I81" s="597"/>
      <c r="J81" s="598"/>
      <c r="K81" s="598"/>
      <c r="L81" s="613"/>
      <c r="M81" s="599"/>
      <c r="N81" s="600"/>
      <c r="O81" s="561"/>
      <c r="P81" s="561"/>
      <c r="Q81" s="561"/>
      <c r="R81" s="561"/>
      <c r="S81" s="561"/>
      <c r="T81" s="561"/>
    </row>
    <row r="82" spans="1:20">
      <c r="A82" s="612"/>
      <c r="B82" s="1497" t="s">
        <v>276</v>
      </c>
      <c r="C82" s="1532"/>
      <c r="D82" s="1498"/>
      <c r="E82" s="1499"/>
      <c r="F82" s="1499"/>
      <c r="G82" s="1499"/>
      <c r="H82" s="1500"/>
      <c r="I82" s="601"/>
      <c r="J82" s="602"/>
      <c r="K82" s="602"/>
      <c r="L82" s="614"/>
      <c r="M82" s="603"/>
      <c r="N82" s="600"/>
      <c r="O82" s="561"/>
      <c r="P82" s="561"/>
      <c r="Q82" s="561"/>
      <c r="R82" s="561"/>
      <c r="S82" s="561"/>
      <c r="T82" s="561"/>
    </row>
    <row r="83" spans="1:20">
      <c r="A83" s="612"/>
      <c r="B83" s="1501" t="s">
        <v>514</v>
      </c>
      <c r="C83" s="1482" t="s">
        <v>515</v>
      </c>
      <c r="D83" s="615"/>
      <c r="E83" s="616"/>
      <c r="F83" s="616"/>
      <c r="G83" s="616"/>
      <c r="H83" s="617"/>
      <c r="I83" s="615"/>
      <c r="J83" s="618"/>
      <c r="K83" s="618"/>
      <c r="L83" s="618"/>
      <c r="M83" s="619"/>
      <c r="N83" s="561"/>
      <c r="O83" s="561"/>
      <c r="P83" s="561"/>
      <c r="Q83" s="561"/>
      <c r="R83" s="561"/>
      <c r="S83" s="561"/>
      <c r="T83" s="561"/>
    </row>
    <row r="84" spans="1:20">
      <c r="A84" s="612"/>
      <c r="B84" s="1506" t="s">
        <v>277</v>
      </c>
      <c r="C84" s="1482"/>
      <c r="D84" s="615"/>
      <c r="E84" s="616"/>
      <c r="F84" s="616"/>
      <c r="G84" s="616"/>
      <c r="H84" s="617"/>
      <c r="I84" s="615"/>
      <c r="J84" s="618"/>
      <c r="K84" s="618"/>
      <c r="L84" s="618"/>
      <c r="M84" s="619"/>
      <c r="N84" s="561"/>
      <c r="O84" s="561"/>
      <c r="P84" s="561"/>
      <c r="Q84" s="561"/>
      <c r="R84" s="561"/>
      <c r="S84" s="561"/>
      <c r="T84" s="561"/>
    </row>
    <row r="85" spans="1:20">
      <c r="A85" s="612"/>
      <c r="B85" s="589" t="s">
        <v>278</v>
      </c>
      <c r="C85" s="1482"/>
      <c r="D85" s="1513"/>
      <c r="E85" s="1514"/>
      <c r="F85" s="1514"/>
      <c r="G85" s="1514"/>
      <c r="H85" s="1515"/>
      <c r="I85" s="615"/>
      <c r="J85" s="618"/>
      <c r="K85" s="618"/>
      <c r="L85" s="618"/>
      <c r="M85" s="619"/>
      <c r="N85" s="561"/>
      <c r="O85" s="561"/>
      <c r="P85" s="561"/>
      <c r="Q85" s="561"/>
      <c r="R85" s="561"/>
      <c r="S85" s="561"/>
      <c r="T85" s="561"/>
    </row>
    <row r="86" spans="1:20">
      <c r="A86" s="612"/>
      <c r="B86" s="589" t="s">
        <v>279</v>
      </c>
      <c r="C86" s="1482" t="s">
        <v>515</v>
      </c>
      <c r="D86" s="1513"/>
      <c r="E86" s="1514"/>
      <c r="F86" s="1514"/>
      <c r="G86" s="1514"/>
      <c r="H86" s="1515"/>
      <c r="I86" s="615"/>
      <c r="J86" s="618"/>
      <c r="K86" s="618"/>
      <c r="L86" s="618"/>
      <c r="M86" s="619"/>
      <c r="N86" s="561"/>
      <c r="O86" s="561"/>
      <c r="P86" s="561"/>
      <c r="Q86" s="561"/>
      <c r="R86" s="561"/>
      <c r="S86" s="561"/>
      <c r="T86" s="561"/>
    </row>
    <row r="87" spans="1:20">
      <c r="A87" s="612"/>
      <c r="B87" s="589" t="s">
        <v>280</v>
      </c>
      <c r="C87" s="1482"/>
      <c r="D87" s="615"/>
      <c r="E87" s="618"/>
      <c r="F87" s="618"/>
      <c r="G87" s="618"/>
      <c r="H87" s="617"/>
      <c r="I87" s="1533">
        <f>SUM(I85:I86)</f>
        <v>0</v>
      </c>
      <c r="J87" s="1534">
        <f>SUM(J85:J86)</f>
        <v>0</v>
      </c>
      <c r="K87" s="1534">
        <f>SUM(K85:K86)</f>
        <v>0</v>
      </c>
      <c r="L87" s="1534">
        <f>SUM(L85:L86)</f>
        <v>0</v>
      </c>
      <c r="M87" s="1535">
        <f>SUM(M85:M86)</f>
        <v>0</v>
      </c>
      <c r="N87" s="561"/>
      <c r="O87" s="561"/>
      <c r="P87" s="561"/>
      <c r="Q87" s="561"/>
      <c r="R87" s="561"/>
      <c r="S87" s="561"/>
      <c r="T87" s="561"/>
    </row>
    <row r="88" spans="1:20">
      <c r="A88" s="612"/>
      <c r="B88" s="1507" t="s">
        <v>288</v>
      </c>
      <c r="C88" s="1482"/>
      <c r="D88" s="1508"/>
      <c r="E88" s="1509"/>
      <c r="F88" s="1509"/>
      <c r="G88" s="1509"/>
      <c r="H88" s="1510"/>
      <c r="I88" s="607"/>
      <c r="J88" s="608"/>
      <c r="K88" s="608"/>
      <c r="L88" s="620"/>
      <c r="M88" s="609"/>
      <c r="N88" s="600"/>
      <c r="O88" s="561"/>
      <c r="P88" s="561"/>
      <c r="Q88" s="561"/>
      <c r="R88" s="561"/>
      <c r="S88" s="561"/>
      <c r="T88" s="561"/>
    </row>
    <row r="89" spans="1:20">
      <c r="A89" s="612"/>
      <c r="B89" s="1511" t="s">
        <v>514</v>
      </c>
      <c r="C89" s="1482" t="s">
        <v>515</v>
      </c>
      <c r="D89" s="615"/>
      <c r="E89" s="616"/>
      <c r="F89" s="616"/>
      <c r="G89" s="616"/>
      <c r="H89" s="617"/>
      <c r="I89" s="615"/>
      <c r="J89" s="618"/>
      <c r="K89" s="618"/>
      <c r="L89" s="618"/>
      <c r="M89" s="619"/>
      <c r="N89" s="561"/>
      <c r="O89" s="561"/>
      <c r="P89" s="561"/>
      <c r="Q89" s="561"/>
      <c r="R89" s="561"/>
      <c r="S89" s="561"/>
      <c r="T89" s="561"/>
    </row>
    <row r="90" spans="1:20">
      <c r="A90" s="612"/>
      <c r="B90" s="1512" t="s">
        <v>277</v>
      </c>
      <c r="C90" s="1482"/>
      <c r="D90" s="615"/>
      <c r="E90" s="616"/>
      <c r="F90" s="616"/>
      <c r="G90" s="616"/>
      <c r="H90" s="617"/>
      <c r="I90" s="615"/>
      <c r="J90" s="618"/>
      <c r="K90" s="618"/>
      <c r="L90" s="618"/>
      <c r="M90" s="619"/>
      <c r="N90" s="561"/>
      <c r="O90" s="561"/>
      <c r="P90" s="561"/>
      <c r="Q90" s="561"/>
      <c r="R90" s="561"/>
      <c r="S90" s="561"/>
      <c r="T90" s="561"/>
    </row>
    <row r="91" spans="1:20">
      <c r="A91" s="612"/>
      <c r="B91" s="589" t="s">
        <v>268</v>
      </c>
      <c r="C91" s="1482"/>
      <c r="D91" s="1513"/>
      <c r="E91" s="1514"/>
      <c r="F91" s="1514"/>
      <c r="G91" s="1514"/>
      <c r="H91" s="1515"/>
      <c r="I91" s="615"/>
      <c r="J91" s="618"/>
      <c r="K91" s="618"/>
      <c r="L91" s="618"/>
      <c r="M91" s="619"/>
      <c r="N91" s="561"/>
      <c r="O91" s="561"/>
      <c r="P91" s="561"/>
      <c r="Q91" s="561"/>
      <c r="R91" s="561"/>
      <c r="S91" s="561"/>
      <c r="T91" s="561"/>
    </row>
    <row r="92" spans="1:20">
      <c r="A92" s="612"/>
      <c r="B92" s="589" t="s">
        <v>269</v>
      </c>
      <c r="C92" s="1482" t="s">
        <v>515</v>
      </c>
      <c r="D92" s="1513"/>
      <c r="E92" s="1514"/>
      <c r="F92" s="1514"/>
      <c r="G92" s="1514"/>
      <c r="H92" s="1515"/>
      <c r="I92" s="615"/>
      <c r="J92" s="618"/>
      <c r="K92" s="618"/>
      <c r="L92" s="618"/>
      <c r="M92" s="619"/>
      <c r="N92" s="561"/>
      <c r="O92" s="561"/>
      <c r="P92" s="561"/>
      <c r="Q92" s="561"/>
      <c r="R92" s="561"/>
      <c r="S92" s="561"/>
      <c r="T92" s="561"/>
    </row>
    <row r="93" spans="1:20">
      <c r="A93" s="612"/>
      <c r="B93" s="589" t="s">
        <v>282</v>
      </c>
      <c r="C93" s="1482"/>
      <c r="D93" s="615"/>
      <c r="E93" s="618"/>
      <c r="F93" s="618"/>
      <c r="G93" s="618"/>
      <c r="H93" s="617"/>
      <c r="I93" s="1533">
        <f>SUM(I91:I92)</f>
        <v>0</v>
      </c>
      <c r="J93" s="1533">
        <f>SUM(J91:J92)</f>
        <v>0</v>
      </c>
      <c r="K93" s="1533">
        <f>SUM(K91:K92)</f>
        <v>0</v>
      </c>
      <c r="L93" s="1533">
        <f>SUM(L91:L92)</f>
        <v>0</v>
      </c>
      <c r="M93" s="1533">
        <f>SUM(M91:M92)</f>
        <v>0</v>
      </c>
      <c r="N93" s="561"/>
      <c r="O93" s="561"/>
      <c r="P93" s="561"/>
      <c r="Q93" s="561"/>
      <c r="R93" s="561"/>
      <c r="S93" s="561"/>
      <c r="T93" s="561"/>
    </row>
    <row r="94" spans="1:20">
      <c r="A94" s="612"/>
      <c r="B94" s="1507" t="s">
        <v>289</v>
      </c>
      <c r="C94" s="1482"/>
      <c r="D94" s="1508"/>
      <c r="E94" s="1509"/>
      <c r="F94" s="1509"/>
      <c r="G94" s="1509"/>
      <c r="H94" s="1510"/>
      <c r="I94" s="607"/>
      <c r="J94" s="608"/>
      <c r="K94" s="608"/>
      <c r="L94" s="620"/>
      <c r="M94" s="609"/>
      <c r="N94" s="600"/>
      <c r="O94" s="561"/>
      <c r="P94" s="561"/>
      <c r="Q94" s="561"/>
      <c r="R94" s="561"/>
      <c r="S94" s="561"/>
      <c r="T94" s="561"/>
    </row>
    <row r="95" spans="1:20">
      <c r="A95" s="612"/>
      <c r="B95" s="1511" t="s">
        <v>514</v>
      </c>
      <c r="C95" s="1482" t="s">
        <v>515</v>
      </c>
      <c r="D95" s="615"/>
      <c r="E95" s="616"/>
      <c r="F95" s="616"/>
      <c r="G95" s="616"/>
      <c r="H95" s="617"/>
      <c r="I95" s="615"/>
      <c r="J95" s="618"/>
      <c r="K95" s="618"/>
      <c r="L95" s="618"/>
      <c r="M95" s="619"/>
      <c r="N95" s="561"/>
      <c r="O95" s="561"/>
      <c r="P95" s="561"/>
      <c r="Q95" s="561"/>
      <c r="R95" s="561"/>
      <c r="S95" s="561"/>
      <c r="T95" s="561"/>
    </row>
    <row r="96" spans="1:20">
      <c r="A96" s="612"/>
      <c r="B96" s="1512" t="s">
        <v>277</v>
      </c>
      <c r="C96" s="1482"/>
      <c r="D96" s="615"/>
      <c r="E96" s="616"/>
      <c r="F96" s="616"/>
      <c r="G96" s="616"/>
      <c r="H96" s="617"/>
      <c r="I96" s="615"/>
      <c r="J96" s="618"/>
      <c r="K96" s="618"/>
      <c r="L96" s="618"/>
      <c r="M96" s="619"/>
      <c r="N96" s="561"/>
      <c r="O96" s="561"/>
      <c r="P96" s="561"/>
      <c r="Q96" s="561"/>
      <c r="R96" s="561"/>
      <c r="S96" s="561"/>
      <c r="T96" s="561"/>
    </row>
    <row r="97" spans="1:20">
      <c r="A97" s="612"/>
      <c r="B97" s="589" t="s">
        <v>270</v>
      </c>
      <c r="C97" s="1482"/>
      <c r="D97" s="604"/>
      <c r="E97" s="605"/>
      <c r="F97" s="605"/>
      <c r="G97" s="605"/>
      <c r="H97" s="606"/>
      <c r="I97" s="615"/>
      <c r="J97" s="618"/>
      <c r="K97" s="618"/>
      <c r="L97" s="618"/>
      <c r="M97" s="619"/>
      <c r="N97" s="561"/>
      <c r="O97" s="561"/>
      <c r="P97" s="561"/>
      <c r="Q97" s="561"/>
      <c r="R97" s="561"/>
      <c r="S97" s="561"/>
      <c r="T97" s="561"/>
    </row>
    <row r="98" spans="1:20">
      <c r="A98" s="612"/>
      <c r="B98" s="589" t="s">
        <v>271</v>
      </c>
      <c r="C98" s="1482" t="s">
        <v>515</v>
      </c>
      <c r="D98" s="604"/>
      <c r="E98" s="605"/>
      <c r="F98" s="605"/>
      <c r="G98" s="605"/>
      <c r="H98" s="606"/>
      <c r="I98" s="615"/>
      <c r="J98" s="618"/>
      <c r="K98" s="618"/>
      <c r="L98" s="618"/>
      <c r="M98" s="619"/>
      <c r="N98" s="561"/>
      <c r="O98" s="561"/>
      <c r="P98" s="561"/>
      <c r="Q98" s="561"/>
      <c r="R98" s="561"/>
      <c r="S98" s="561"/>
      <c r="T98" s="561"/>
    </row>
    <row r="99" spans="1:20">
      <c r="A99" s="612"/>
      <c r="B99" s="589" t="s">
        <v>284</v>
      </c>
      <c r="C99" s="1482"/>
      <c r="D99" s="615"/>
      <c r="E99" s="618"/>
      <c r="F99" s="618"/>
      <c r="G99" s="618"/>
      <c r="H99" s="617"/>
      <c r="I99" s="1533">
        <f>SUM(I97:I98)</f>
        <v>0</v>
      </c>
      <c r="J99" s="1533">
        <f>SUM(J97:J98)</f>
        <v>0</v>
      </c>
      <c r="K99" s="1533">
        <f>SUM(K97:K98)</f>
        <v>0</v>
      </c>
      <c r="L99" s="1533">
        <f>SUM(L97:L98)</f>
        <v>0</v>
      </c>
      <c r="M99" s="1533">
        <f>SUM(M97:M98)</f>
        <v>0</v>
      </c>
      <c r="N99" s="561"/>
      <c r="O99" s="561"/>
      <c r="P99" s="561"/>
      <c r="Q99" s="561"/>
      <c r="R99" s="561"/>
      <c r="S99" s="561"/>
      <c r="T99" s="561"/>
    </row>
    <row r="100" spans="1:20">
      <c r="A100" s="612"/>
      <c r="B100" s="1507" t="s">
        <v>290</v>
      </c>
      <c r="C100" s="1482"/>
      <c r="D100" s="1508"/>
      <c r="E100" s="1509"/>
      <c r="F100" s="1509"/>
      <c r="G100" s="1509"/>
      <c r="H100" s="1510"/>
      <c r="I100" s="607"/>
      <c r="J100" s="608"/>
      <c r="K100" s="608"/>
      <c r="L100" s="620"/>
      <c r="M100" s="609"/>
      <c r="N100" s="600"/>
      <c r="O100" s="561"/>
      <c r="P100" s="561"/>
      <c r="Q100" s="561"/>
      <c r="R100" s="561"/>
      <c r="S100" s="561"/>
      <c r="T100" s="561"/>
    </row>
    <row r="101" spans="1:20">
      <c r="A101" s="612"/>
      <c r="B101" s="1511" t="s">
        <v>514</v>
      </c>
      <c r="C101" s="1482" t="s">
        <v>515</v>
      </c>
      <c r="D101" s="621"/>
      <c r="E101" s="622"/>
      <c r="F101" s="622"/>
      <c r="G101" s="622"/>
      <c r="H101" s="623"/>
      <c r="I101" s="621"/>
      <c r="J101" s="624"/>
      <c r="K101" s="624"/>
      <c r="L101" s="624"/>
      <c r="M101" s="625"/>
      <c r="N101" s="561"/>
      <c r="O101" s="561"/>
      <c r="P101" s="561"/>
      <c r="Q101" s="561"/>
      <c r="R101" s="561"/>
      <c r="S101" s="561"/>
      <c r="T101" s="561"/>
    </row>
    <row r="102" spans="1:20">
      <c r="A102" s="612"/>
      <c r="B102" s="1512" t="s">
        <v>277</v>
      </c>
      <c r="C102" s="1482"/>
      <c r="D102" s="621"/>
      <c r="E102" s="622"/>
      <c r="F102" s="622"/>
      <c r="G102" s="622"/>
      <c r="H102" s="623"/>
      <c r="I102" s="621"/>
      <c r="J102" s="624"/>
      <c r="K102" s="624"/>
      <c r="L102" s="624"/>
      <c r="M102" s="625"/>
      <c r="N102" s="561"/>
      <c r="O102" s="561"/>
      <c r="P102" s="561"/>
      <c r="Q102" s="561"/>
      <c r="R102" s="561"/>
      <c r="S102" s="561"/>
      <c r="T102" s="561"/>
    </row>
    <row r="103" spans="1:20">
      <c r="A103" s="612"/>
      <c r="B103" s="589" t="s">
        <v>272</v>
      </c>
      <c r="C103" s="1482"/>
      <c r="D103" s="626"/>
      <c r="E103" s="627"/>
      <c r="F103" s="627"/>
      <c r="G103" s="627"/>
      <c r="H103" s="628"/>
      <c r="I103" s="621"/>
      <c r="J103" s="624"/>
      <c r="K103" s="624"/>
      <c r="L103" s="624"/>
      <c r="M103" s="625"/>
      <c r="N103" s="561"/>
      <c r="O103" s="561"/>
      <c r="P103" s="561"/>
      <c r="Q103" s="561"/>
      <c r="R103" s="561"/>
      <c r="S103" s="561"/>
      <c r="T103" s="561"/>
    </row>
    <row r="104" spans="1:20">
      <c r="A104" s="612"/>
      <c r="B104" s="589" t="s">
        <v>273</v>
      </c>
      <c r="C104" s="1482" t="s">
        <v>515</v>
      </c>
      <c r="D104" s="626"/>
      <c r="E104" s="627"/>
      <c r="F104" s="627"/>
      <c r="G104" s="627"/>
      <c r="H104" s="628"/>
      <c r="I104" s="621"/>
      <c r="J104" s="624"/>
      <c r="K104" s="624"/>
      <c r="L104" s="624"/>
      <c r="M104" s="625"/>
      <c r="N104" s="561"/>
      <c r="O104" s="561"/>
      <c r="P104" s="561"/>
      <c r="Q104" s="561"/>
      <c r="R104" s="561"/>
      <c r="S104" s="561"/>
      <c r="T104" s="561"/>
    </row>
    <row r="105" spans="1:20">
      <c r="A105" s="612"/>
      <c r="B105" s="589" t="s">
        <v>286</v>
      </c>
      <c r="C105" s="1482"/>
      <c r="D105" s="621"/>
      <c r="E105" s="622"/>
      <c r="F105" s="622"/>
      <c r="G105" s="622"/>
      <c r="H105" s="623"/>
      <c r="I105" s="1536">
        <f>SUM(I103:I104)</f>
        <v>0</v>
      </c>
      <c r="J105" s="1536">
        <f>SUM(J103:J104)</f>
        <v>0</v>
      </c>
      <c r="K105" s="1536">
        <f>SUM(K103:K104)</f>
        <v>0</v>
      </c>
      <c r="L105" s="1536">
        <f>SUM(L103:L104)</f>
        <v>0</v>
      </c>
      <c r="M105" s="1536">
        <f>SUM(M103:M104)</f>
        <v>0</v>
      </c>
      <c r="N105" s="561"/>
      <c r="O105" s="561"/>
      <c r="P105" s="561"/>
      <c r="Q105" s="561"/>
      <c r="R105" s="561"/>
      <c r="S105" s="561"/>
      <c r="T105" s="561"/>
    </row>
    <row r="106" spans="1:20" ht="13.5" thickBot="1">
      <c r="A106" s="612"/>
      <c r="B106" s="1526" t="s">
        <v>847</v>
      </c>
      <c r="C106" s="1491" t="s">
        <v>515</v>
      </c>
      <c r="D106" s="1527">
        <f t="shared" ref="D106:M106" si="21">SUM(D83:D84,D87,D89:D90,D93,D95:D96,D99,D101:D102,D105)</f>
        <v>0</v>
      </c>
      <c r="E106" s="1528">
        <f t="shared" si="21"/>
        <v>0</v>
      </c>
      <c r="F106" s="1528">
        <f t="shared" si="21"/>
        <v>0</v>
      </c>
      <c r="G106" s="1528">
        <f t="shared" si="21"/>
        <v>0</v>
      </c>
      <c r="H106" s="1529">
        <f t="shared" si="21"/>
        <v>0</v>
      </c>
      <c r="I106" s="1527">
        <f t="shared" si="21"/>
        <v>0</v>
      </c>
      <c r="J106" s="1528">
        <f t="shared" si="21"/>
        <v>0</v>
      </c>
      <c r="K106" s="1528">
        <f t="shared" si="21"/>
        <v>0</v>
      </c>
      <c r="L106" s="1528">
        <f t="shared" si="21"/>
        <v>0</v>
      </c>
      <c r="M106" s="1537">
        <f t="shared" si="21"/>
        <v>0</v>
      </c>
      <c r="N106" s="610"/>
      <c r="O106" s="561"/>
      <c r="P106" s="561"/>
      <c r="Q106" s="561"/>
      <c r="R106" s="561"/>
      <c r="S106" s="561"/>
      <c r="T106" s="561"/>
    </row>
    <row r="107" spans="1:20">
      <c r="B107" s="1538"/>
      <c r="C107" s="1480"/>
      <c r="D107" s="581"/>
      <c r="E107" s="581"/>
      <c r="F107" s="581"/>
      <c r="G107" s="581"/>
      <c r="H107" s="581"/>
      <c r="I107" s="581"/>
      <c r="J107" s="581"/>
      <c r="K107" s="581"/>
      <c r="L107" s="581"/>
      <c r="M107" s="581"/>
      <c r="N107" s="561"/>
      <c r="O107" s="581"/>
      <c r="P107" s="581"/>
      <c r="Q107" s="581"/>
      <c r="R107" s="561"/>
      <c r="S107" s="581"/>
      <c r="T107" s="581"/>
    </row>
    <row r="108" spans="1:20">
      <c r="B108" s="1442" t="s">
        <v>291</v>
      </c>
      <c r="N108" s="561"/>
      <c r="O108" s="561"/>
      <c r="P108" s="561"/>
      <c r="Q108" s="561"/>
      <c r="R108" s="561"/>
      <c r="S108" s="561"/>
      <c r="T108" s="561"/>
    </row>
    <row r="109" spans="1:20" ht="13.5" thickBot="1">
      <c r="B109" s="1442"/>
      <c r="F109" s="602"/>
      <c r="N109" s="561"/>
      <c r="O109" s="561"/>
      <c r="P109" s="561"/>
      <c r="Q109" s="561"/>
      <c r="R109" s="561"/>
      <c r="S109" s="561"/>
      <c r="T109" s="561"/>
    </row>
    <row r="110" spans="1:20">
      <c r="B110" s="1895"/>
      <c r="C110" s="1893" t="s">
        <v>31</v>
      </c>
      <c r="D110" s="1444" t="s">
        <v>116</v>
      </c>
      <c r="E110" s="1445"/>
      <c r="F110" s="1445"/>
      <c r="G110" s="1445"/>
      <c r="H110" s="562"/>
      <c r="I110" s="1445" t="s">
        <v>117</v>
      </c>
      <c r="J110" s="563"/>
      <c r="K110" s="563"/>
      <c r="L110" s="563"/>
      <c r="M110" s="562"/>
      <c r="N110" s="561"/>
      <c r="O110" s="561"/>
      <c r="P110" s="561"/>
      <c r="Q110" s="561"/>
      <c r="R110" s="561"/>
      <c r="S110" s="561"/>
      <c r="T110" s="561"/>
    </row>
    <row r="111" spans="1:20">
      <c r="B111" s="1896"/>
      <c r="C111" s="1894"/>
      <c r="D111" s="1449" t="s">
        <v>32</v>
      </c>
      <c r="E111" s="1450" t="s">
        <v>33</v>
      </c>
      <c r="F111" s="1450" t="s">
        <v>29</v>
      </c>
      <c r="G111" s="1450" t="s">
        <v>34</v>
      </c>
      <c r="H111" s="1451" t="s">
        <v>35</v>
      </c>
      <c r="I111" s="1452" t="s">
        <v>118</v>
      </c>
      <c r="J111" s="1450" t="s">
        <v>136</v>
      </c>
      <c r="K111" s="1450" t="s">
        <v>137</v>
      </c>
      <c r="L111" s="1450" t="s">
        <v>138</v>
      </c>
      <c r="M111" s="1451" t="s">
        <v>139</v>
      </c>
      <c r="N111" s="561"/>
      <c r="O111" s="561"/>
      <c r="P111" s="561"/>
      <c r="Q111" s="561"/>
      <c r="R111" s="561"/>
      <c r="S111" s="561"/>
      <c r="T111" s="561"/>
    </row>
    <row r="112" spans="1:20">
      <c r="B112" s="1492" t="s">
        <v>275</v>
      </c>
      <c r="C112" s="1493"/>
      <c r="D112" s="1494"/>
      <c r="E112" s="1495"/>
      <c r="F112" s="1495"/>
      <c r="G112" s="1495"/>
      <c r="H112" s="1496"/>
      <c r="I112" s="598"/>
      <c r="J112" s="598"/>
      <c r="K112" s="598"/>
      <c r="L112" s="598"/>
      <c r="M112" s="599"/>
      <c r="N112" s="600"/>
      <c r="O112" s="561"/>
      <c r="P112" s="561"/>
      <c r="Q112" s="561"/>
      <c r="R112" s="561"/>
      <c r="S112" s="561"/>
      <c r="T112" s="561"/>
    </row>
    <row r="113" spans="2:20">
      <c r="B113" s="1497" t="s">
        <v>276</v>
      </c>
      <c r="C113" s="1482"/>
      <c r="D113" s="1498"/>
      <c r="E113" s="1499"/>
      <c r="F113" s="1499"/>
      <c r="G113" s="1499"/>
      <c r="H113" s="1500"/>
      <c r="I113" s="602"/>
      <c r="J113" s="602"/>
      <c r="K113" s="602"/>
      <c r="L113" s="602"/>
      <c r="M113" s="603"/>
      <c r="N113" s="600"/>
      <c r="O113" s="561"/>
      <c r="P113" s="561"/>
      <c r="Q113" s="561"/>
      <c r="R113" s="561"/>
      <c r="S113" s="561"/>
      <c r="T113" s="561"/>
    </row>
    <row r="114" spans="2:20">
      <c r="B114" s="1501" t="s">
        <v>514</v>
      </c>
      <c r="C114" s="1482" t="s">
        <v>515</v>
      </c>
      <c r="D114" s="615"/>
      <c r="E114" s="616"/>
      <c r="F114" s="616"/>
      <c r="G114" s="616"/>
      <c r="H114" s="617"/>
      <c r="I114" s="615"/>
      <c r="J114" s="618"/>
      <c r="K114" s="618"/>
      <c r="L114" s="618"/>
      <c r="M114" s="619"/>
      <c r="N114" s="561"/>
      <c r="O114" s="561"/>
      <c r="P114" s="561"/>
      <c r="Q114" s="561"/>
      <c r="R114" s="561"/>
      <c r="S114" s="561"/>
      <c r="T114" s="561"/>
    </row>
    <row r="115" spans="2:20">
      <c r="B115" s="1506" t="s">
        <v>277</v>
      </c>
      <c r="C115" s="1482"/>
      <c r="D115" s="615"/>
      <c r="E115" s="616"/>
      <c r="F115" s="616"/>
      <c r="G115" s="616"/>
      <c r="H115" s="617"/>
      <c r="I115" s="615"/>
      <c r="J115" s="618"/>
      <c r="K115" s="618"/>
      <c r="L115" s="618"/>
      <c r="M115" s="619"/>
      <c r="N115" s="561"/>
      <c r="O115" s="561"/>
      <c r="P115" s="561"/>
      <c r="Q115" s="561"/>
      <c r="R115" s="561"/>
      <c r="S115" s="561"/>
      <c r="T115" s="561"/>
    </row>
    <row r="116" spans="2:20">
      <c r="B116" s="589" t="s">
        <v>278</v>
      </c>
      <c r="C116" s="1482"/>
      <c r="D116" s="1513"/>
      <c r="E116" s="1514"/>
      <c r="F116" s="1514"/>
      <c r="G116" s="1514"/>
      <c r="H116" s="1515"/>
      <c r="I116" s="615"/>
      <c r="J116" s="618"/>
      <c r="K116" s="618"/>
      <c r="L116" s="618"/>
      <c r="M116" s="619"/>
      <c r="N116" s="561"/>
      <c r="O116" s="561"/>
      <c r="P116" s="561"/>
      <c r="Q116" s="561"/>
      <c r="R116" s="561"/>
      <c r="S116" s="561"/>
      <c r="T116" s="561"/>
    </row>
    <row r="117" spans="2:20">
      <c r="B117" s="589" t="s">
        <v>279</v>
      </c>
      <c r="C117" s="1482" t="s">
        <v>515</v>
      </c>
      <c r="D117" s="1513"/>
      <c r="E117" s="1514"/>
      <c r="F117" s="1514"/>
      <c r="G117" s="1514"/>
      <c r="H117" s="1515"/>
      <c r="I117" s="615"/>
      <c r="J117" s="618"/>
      <c r="K117" s="618"/>
      <c r="L117" s="618"/>
      <c r="M117" s="619"/>
      <c r="N117" s="561"/>
      <c r="O117" s="561"/>
      <c r="P117" s="561"/>
      <c r="Q117" s="561"/>
      <c r="R117" s="561"/>
      <c r="S117" s="561"/>
      <c r="T117" s="561"/>
    </row>
    <row r="118" spans="2:20">
      <c r="B118" s="589" t="s">
        <v>280</v>
      </c>
      <c r="C118" s="1482"/>
      <c r="D118" s="615"/>
      <c r="E118" s="618"/>
      <c r="F118" s="618"/>
      <c r="G118" s="618"/>
      <c r="H118" s="617"/>
      <c r="I118" s="1533">
        <f>SUM(I116:I117)</f>
        <v>0</v>
      </c>
      <c r="J118" s="1534">
        <f>SUM(J116:J117)</f>
        <v>0</v>
      </c>
      <c r="K118" s="1534">
        <f>SUM(K116:K117)</f>
        <v>0</v>
      </c>
      <c r="L118" s="1534">
        <f>SUM(L116:L117)</f>
        <v>0</v>
      </c>
      <c r="M118" s="1535">
        <f>SUM(M116:M117)</f>
        <v>0</v>
      </c>
      <c r="N118" s="561"/>
      <c r="O118" s="561"/>
      <c r="P118" s="561"/>
      <c r="Q118" s="561"/>
      <c r="R118" s="561"/>
      <c r="S118" s="561"/>
      <c r="T118" s="561"/>
    </row>
    <row r="119" spans="2:20">
      <c r="B119" s="1507" t="s">
        <v>288</v>
      </c>
      <c r="C119" s="1482"/>
      <c r="D119" s="1508"/>
      <c r="E119" s="1509"/>
      <c r="F119" s="1509"/>
      <c r="G119" s="1509"/>
      <c r="H119" s="1510"/>
      <c r="I119" s="607"/>
      <c r="J119" s="608"/>
      <c r="K119" s="608"/>
      <c r="L119" s="620"/>
      <c r="M119" s="609"/>
      <c r="N119" s="600"/>
      <c r="O119" s="561"/>
      <c r="P119" s="561"/>
      <c r="Q119" s="561"/>
      <c r="R119" s="561"/>
      <c r="S119" s="561"/>
      <c r="T119" s="561"/>
    </row>
    <row r="120" spans="2:20">
      <c r="B120" s="1511" t="s">
        <v>514</v>
      </c>
      <c r="C120" s="1482" t="s">
        <v>515</v>
      </c>
      <c r="D120" s="615"/>
      <c r="E120" s="616"/>
      <c r="F120" s="616"/>
      <c r="G120" s="616"/>
      <c r="H120" s="617"/>
      <c r="I120" s="615"/>
      <c r="J120" s="618"/>
      <c r="K120" s="618"/>
      <c r="L120" s="618"/>
      <c r="M120" s="619"/>
      <c r="N120" s="561"/>
      <c r="O120" s="561"/>
      <c r="P120" s="561"/>
      <c r="Q120" s="561"/>
      <c r="R120" s="561"/>
      <c r="S120" s="561"/>
      <c r="T120" s="561"/>
    </row>
    <row r="121" spans="2:20">
      <c r="B121" s="1512" t="s">
        <v>277</v>
      </c>
      <c r="C121" s="1482"/>
      <c r="D121" s="615"/>
      <c r="E121" s="616"/>
      <c r="F121" s="616"/>
      <c r="G121" s="616"/>
      <c r="H121" s="617"/>
      <c r="I121" s="615"/>
      <c r="J121" s="618"/>
      <c r="K121" s="618"/>
      <c r="L121" s="618"/>
      <c r="M121" s="619"/>
      <c r="N121" s="561"/>
      <c r="O121" s="561"/>
      <c r="P121" s="561"/>
      <c r="Q121" s="561"/>
      <c r="R121" s="561"/>
      <c r="S121" s="561"/>
      <c r="T121" s="561"/>
    </row>
    <row r="122" spans="2:20">
      <c r="B122" s="589" t="s">
        <v>268</v>
      </c>
      <c r="C122" s="1482"/>
      <c r="D122" s="1513"/>
      <c r="E122" s="1514"/>
      <c r="F122" s="1514"/>
      <c r="G122" s="1514"/>
      <c r="H122" s="1515"/>
      <c r="I122" s="615"/>
      <c r="J122" s="618"/>
      <c r="K122" s="618"/>
      <c r="L122" s="618"/>
      <c r="M122" s="619"/>
      <c r="N122" s="561"/>
      <c r="O122" s="561"/>
      <c r="P122" s="561"/>
      <c r="Q122" s="561"/>
      <c r="R122" s="561"/>
      <c r="S122" s="561"/>
      <c r="T122" s="561"/>
    </row>
    <row r="123" spans="2:20">
      <c r="B123" s="589" t="s">
        <v>269</v>
      </c>
      <c r="C123" s="1482" t="s">
        <v>515</v>
      </c>
      <c r="D123" s="1513"/>
      <c r="E123" s="1514"/>
      <c r="F123" s="1514"/>
      <c r="G123" s="1514"/>
      <c r="H123" s="1515"/>
      <c r="I123" s="615"/>
      <c r="J123" s="618"/>
      <c r="K123" s="618"/>
      <c r="L123" s="618"/>
      <c r="M123" s="619"/>
      <c r="N123" s="561"/>
      <c r="O123" s="561"/>
      <c r="P123" s="561"/>
      <c r="Q123" s="561"/>
      <c r="R123" s="561"/>
      <c r="S123" s="561"/>
      <c r="T123" s="561"/>
    </row>
    <row r="124" spans="2:20">
      <c r="B124" s="589" t="s">
        <v>282</v>
      </c>
      <c r="C124" s="1482"/>
      <c r="D124" s="615"/>
      <c r="E124" s="618"/>
      <c r="F124" s="618"/>
      <c r="G124" s="618"/>
      <c r="H124" s="617"/>
      <c r="I124" s="1533">
        <f>SUM(I122:I123)</f>
        <v>0</v>
      </c>
      <c r="J124" s="1533">
        <f>SUM(J122:J123)</f>
        <v>0</v>
      </c>
      <c r="K124" s="1533">
        <f>SUM(K122:K123)</f>
        <v>0</v>
      </c>
      <c r="L124" s="1533">
        <f>SUM(L122:L123)</f>
        <v>0</v>
      </c>
      <c r="M124" s="1539">
        <f>SUM(M122:M123)</f>
        <v>0</v>
      </c>
      <c r="N124" s="561"/>
      <c r="O124" s="561"/>
      <c r="P124" s="561"/>
      <c r="Q124" s="561"/>
      <c r="R124" s="561"/>
      <c r="S124" s="561"/>
      <c r="T124" s="561"/>
    </row>
    <row r="125" spans="2:20">
      <c r="B125" s="1507" t="s">
        <v>289</v>
      </c>
      <c r="C125" s="1482"/>
      <c r="D125" s="1508"/>
      <c r="E125" s="1509"/>
      <c r="F125" s="1509"/>
      <c r="G125" s="1509"/>
      <c r="H125" s="1510"/>
      <c r="I125" s="607"/>
      <c r="J125" s="608"/>
      <c r="K125" s="608"/>
      <c r="L125" s="620"/>
      <c r="M125" s="609"/>
      <c r="N125" s="600"/>
      <c r="O125" s="561"/>
      <c r="P125" s="561"/>
      <c r="Q125" s="561"/>
      <c r="R125" s="561"/>
      <c r="S125" s="561"/>
      <c r="T125" s="561"/>
    </row>
    <row r="126" spans="2:20">
      <c r="B126" s="1511" t="s">
        <v>514</v>
      </c>
      <c r="C126" s="1482" t="s">
        <v>515</v>
      </c>
      <c r="D126" s="615"/>
      <c r="E126" s="616"/>
      <c r="F126" s="616"/>
      <c r="G126" s="616"/>
      <c r="H126" s="617"/>
      <c r="I126" s="615"/>
      <c r="J126" s="618"/>
      <c r="K126" s="618"/>
      <c r="L126" s="618"/>
      <c r="M126" s="619"/>
      <c r="N126" s="561"/>
      <c r="O126" s="561"/>
      <c r="P126" s="561"/>
      <c r="Q126" s="561"/>
      <c r="R126" s="561"/>
      <c r="S126" s="561"/>
      <c r="T126" s="561"/>
    </row>
    <row r="127" spans="2:20">
      <c r="B127" s="1512" t="s">
        <v>277</v>
      </c>
      <c r="C127" s="1482"/>
      <c r="D127" s="615"/>
      <c r="E127" s="616"/>
      <c r="F127" s="616"/>
      <c r="G127" s="616"/>
      <c r="H127" s="617"/>
      <c r="I127" s="615"/>
      <c r="J127" s="618"/>
      <c r="K127" s="618"/>
      <c r="L127" s="618"/>
      <c r="M127" s="619"/>
      <c r="N127" s="561"/>
      <c r="O127" s="561"/>
      <c r="P127" s="561"/>
      <c r="Q127" s="561"/>
      <c r="R127" s="561"/>
      <c r="S127" s="561"/>
      <c r="T127" s="561"/>
    </row>
    <row r="128" spans="2:20">
      <c r="B128" s="589" t="s">
        <v>270</v>
      </c>
      <c r="C128" s="1482"/>
      <c r="D128" s="604"/>
      <c r="E128" s="605"/>
      <c r="F128" s="605"/>
      <c r="G128" s="605"/>
      <c r="H128" s="606"/>
      <c r="I128" s="615"/>
      <c r="J128" s="618"/>
      <c r="K128" s="618"/>
      <c r="L128" s="618"/>
      <c r="M128" s="619"/>
      <c r="N128" s="561"/>
      <c r="O128" s="561"/>
      <c r="P128" s="561"/>
      <c r="Q128" s="561"/>
      <c r="R128" s="561"/>
      <c r="S128" s="561"/>
      <c r="T128" s="561"/>
    </row>
    <row r="129" spans="2:20">
      <c r="B129" s="589" t="s">
        <v>271</v>
      </c>
      <c r="C129" s="1482" t="s">
        <v>515</v>
      </c>
      <c r="D129" s="604"/>
      <c r="E129" s="605"/>
      <c r="F129" s="605"/>
      <c r="G129" s="605"/>
      <c r="H129" s="606"/>
      <c r="I129" s="615"/>
      <c r="J129" s="618"/>
      <c r="K129" s="618"/>
      <c r="L129" s="618"/>
      <c r="M129" s="619"/>
      <c r="N129" s="561"/>
      <c r="O129" s="561"/>
      <c r="P129" s="561"/>
      <c r="Q129" s="561"/>
      <c r="R129" s="561"/>
      <c r="S129" s="561"/>
      <c r="T129" s="561"/>
    </row>
    <row r="130" spans="2:20">
      <c r="B130" s="589" t="s">
        <v>284</v>
      </c>
      <c r="C130" s="1482"/>
      <c r="D130" s="615"/>
      <c r="E130" s="618"/>
      <c r="F130" s="618"/>
      <c r="G130" s="618"/>
      <c r="H130" s="617"/>
      <c r="I130" s="1533">
        <f>SUM(I128:I129)</f>
        <v>0</v>
      </c>
      <c r="J130" s="1533">
        <f>SUM(J128:J129)</f>
        <v>0</v>
      </c>
      <c r="K130" s="1533">
        <f>SUM(K128:K129)</f>
        <v>0</v>
      </c>
      <c r="L130" s="1533">
        <f>SUM(L128:L129)</f>
        <v>0</v>
      </c>
      <c r="M130" s="1539">
        <f>SUM(M128:M129)</f>
        <v>0</v>
      </c>
      <c r="N130" s="561"/>
      <c r="O130" s="561"/>
      <c r="P130" s="561"/>
      <c r="Q130" s="561"/>
      <c r="R130" s="561"/>
      <c r="S130" s="561"/>
      <c r="T130" s="561"/>
    </row>
    <row r="131" spans="2:20">
      <c r="B131" s="1507" t="s">
        <v>290</v>
      </c>
      <c r="C131" s="1482"/>
      <c r="D131" s="1508"/>
      <c r="E131" s="1509"/>
      <c r="F131" s="1509"/>
      <c r="G131" s="1509"/>
      <c r="H131" s="1510"/>
      <c r="I131" s="607"/>
      <c r="J131" s="608"/>
      <c r="K131" s="608"/>
      <c r="L131" s="620"/>
      <c r="M131" s="609"/>
      <c r="N131" s="600"/>
      <c r="O131" s="561"/>
      <c r="P131" s="561"/>
      <c r="Q131" s="561"/>
      <c r="R131" s="561"/>
      <c r="S131" s="561"/>
      <c r="T131" s="561"/>
    </row>
    <row r="132" spans="2:20">
      <c r="B132" s="1511" t="s">
        <v>514</v>
      </c>
      <c r="C132" s="1482" t="s">
        <v>515</v>
      </c>
      <c r="D132" s="621"/>
      <c r="E132" s="622"/>
      <c r="F132" s="622"/>
      <c r="G132" s="622"/>
      <c r="H132" s="623"/>
      <c r="I132" s="621"/>
      <c r="J132" s="624"/>
      <c r="K132" s="624"/>
      <c r="L132" s="624"/>
      <c r="M132" s="625"/>
      <c r="N132" s="561"/>
      <c r="O132" s="561"/>
      <c r="P132" s="561"/>
      <c r="Q132" s="561"/>
      <c r="R132" s="561"/>
      <c r="S132" s="561"/>
      <c r="T132" s="561"/>
    </row>
    <row r="133" spans="2:20">
      <c r="B133" s="1512" t="s">
        <v>277</v>
      </c>
      <c r="C133" s="1482"/>
      <c r="D133" s="621"/>
      <c r="E133" s="622"/>
      <c r="F133" s="622"/>
      <c r="G133" s="622"/>
      <c r="H133" s="623"/>
      <c r="I133" s="621"/>
      <c r="J133" s="624"/>
      <c r="K133" s="624"/>
      <c r="L133" s="624"/>
      <c r="M133" s="625"/>
      <c r="N133" s="561"/>
      <c r="O133" s="561"/>
      <c r="P133" s="561"/>
      <c r="Q133" s="561"/>
      <c r="R133" s="561"/>
      <c r="S133" s="561"/>
      <c r="T133" s="561"/>
    </row>
    <row r="134" spans="2:20">
      <c r="B134" s="589" t="s">
        <v>272</v>
      </c>
      <c r="C134" s="1482"/>
      <c r="D134" s="626"/>
      <c r="E134" s="627"/>
      <c r="F134" s="627"/>
      <c r="G134" s="627"/>
      <c r="H134" s="628"/>
      <c r="I134" s="621"/>
      <c r="J134" s="624"/>
      <c r="K134" s="624"/>
      <c r="L134" s="624"/>
      <c r="M134" s="625"/>
      <c r="N134" s="561"/>
      <c r="O134" s="561"/>
      <c r="P134" s="561"/>
      <c r="Q134" s="561"/>
      <c r="R134" s="561"/>
      <c r="S134" s="561"/>
      <c r="T134" s="561"/>
    </row>
    <row r="135" spans="2:20">
      <c r="B135" s="589" t="s">
        <v>273</v>
      </c>
      <c r="C135" s="1482" t="s">
        <v>515</v>
      </c>
      <c r="D135" s="626"/>
      <c r="E135" s="627"/>
      <c r="F135" s="627"/>
      <c r="G135" s="627"/>
      <c r="H135" s="628"/>
      <c r="I135" s="621"/>
      <c r="J135" s="624"/>
      <c r="K135" s="624"/>
      <c r="L135" s="624"/>
      <c r="M135" s="625"/>
      <c r="N135" s="561"/>
      <c r="O135" s="561"/>
      <c r="P135" s="561"/>
      <c r="Q135" s="561"/>
      <c r="R135" s="561"/>
      <c r="S135" s="561"/>
      <c r="T135" s="561"/>
    </row>
    <row r="136" spans="2:20">
      <c r="B136" s="589" t="s">
        <v>286</v>
      </c>
      <c r="C136" s="1482"/>
      <c r="D136" s="621"/>
      <c r="E136" s="622"/>
      <c r="F136" s="622"/>
      <c r="G136" s="622"/>
      <c r="H136" s="623"/>
      <c r="I136" s="1536">
        <f>SUM(I134:I135)</f>
        <v>0</v>
      </c>
      <c r="J136" s="1536">
        <f>SUM(J134:J135)</f>
        <v>0</v>
      </c>
      <c r="K136" s="1536">
        <f>SUM(K134:K135)</f>
        <v>0</v>
      </c>
      <c r="L136" s="1536">
        <f>SUM(L134:L135)</f>
        <v>0</v>
      </c>
      <c r="M136" s="1540">
        <f>SUM(M134:M135)</f>
        <v>0</v>
      </c>
      <c r="N136" s="561"/>
      <c r="O136" s="561"/>
      <c r="P136" s="561"/>
      <c r="Q136" s="561"/>
      <c r="R136" s="561"/>
      <c r="S136" s="561"/>
      <c r="T136" s="561"/>
    </row>
    <row r="137" spans="2:20" ht="13.5" thickBot="1">
      <c r="B137" s="1526" t="s">
        <v>847</v>
      </c>
      <c r="C137" s="1491" t="s">
        <v>515</v>
      </c>
      <c r="D137" s="1527">
        <f t="shared" ref="D137:M137" si="22">SUM(D114:D115,D118,D120:D121,D124,D126:D127,D130,D132:D133,D136)</f>
        <v>0</v>
      </c>
      <c r="E137" s="1528">
        <f t="shared" si="22"/>
        <v>0</v>
      </c>
      <c r="F137" s="1528">
        <f t="shared" si="22"/>
        <v>0</v>
      </c>
      <c r="G137" s="1528">
        <f t="shared" si="22"/>
        <v>0</v>
      </c>
      <c r="H137" s="1529">
        <f t="shared" si="22"/>
        <v>0</v>
      </c>
      <c r="I137" s="1527">
        <f t="shared" si="22"/>
        <v>0</v>
      </c>
      <c r="J137" s="1528">
        <f t="shared" si="22"/>
        <v>0</v>
      </c>
      <c r="K137" s="1528">
        <f t="shared" si="22"/>
        <v>0</v>
      </c>
      <c r="L137" s="1528">
        <f t="shared" si="22"/>
        <v>0</v>
      </c>
      <c r="M137" s="1537">
        <f t="shared" si="22"/>
        <v>0</v>
      </c>
      <c r="N137" s="610"/>
      <c r="O137" s="561"/>
      <c r="P137" s="561"/>
      <c r="Q137" s="561"/>
      <c r="R137" s="561"/>
      <c r="S137" s="561"/>
      <c r="T137" s="561"/>
    </row>
    <row r="138" spans="2:20">
      <c r="B138" s="1538"/>
      <c r="C138" s="1480"/>
      <c r="D138" s="581"/>
      <c r="E138" s="581"/>
      <c r="F138" s="581"/>
      <c r="G138" s="581"/>
      <c r="H138" s="581"/>
      <c r="I138" s="581"/>
      <c r="J138" s="581"/>
      <c r="K138" s="581"/>
      <c r="L138" s="581"/>
      <c r="M138" s="581"/>
      <c r="N138" s="561"/>
      <c r="O138" s="581"/>
      <c r="P138" s="581"/>
      <c r="Q138" s="581"/>
      <c r="R138" s="561"/>
      <c r="S138" s="581"/>
      <c r="T138" s="581"/>
    </row>
    <row r="139" spans="2:20">
      <c r="B139" s="1538"/>
      <c r="C139" s="1480"/>
      <c r="D139" s="581"/>
      <c r="E139" s="581"/>
      <c r="F139" s="581"/>
      <c r="G139" s="581"/>
      <c r="H139" s="581"/>
      <c r="I139" s="581"/>
      <c r="J139" s="581"/>
      <c r="K139" s="581"/>
      <c r="L139" s="581"/>
      <c r="M139" s="581"/>
      <c r="N139" s="561"/>
      <c r="O139" s="581"/>
      <c r="P139" s="581"/>
      <c r="Q139" s="581"/>
      <c r="R139" s="561"/>
      <c r="S139" s="581"/>
      <c r="T139" s="581"/>
    </row>
    <row r="140" spans="2:20">
      <c r="B140" s="1538"/>
      <c r="C140" s="1480"/>
      <c r="D140" s="581"/>
      <c r="E140" s="581"/>
      <c r="F140" s="581"/>
      <c r="G140" s="581"/>
      <c r="H140" s="581"/>
      <c r="I140" s="581"/>
      <c r="J140" s="581"/>
      <c r="K140" s="581"/>
      <c r="L140" s="581"/>
      <c r="M140" s="581"/>
      <c r="N140" s="561"/>
      <c r="O140" s="581"/>
      <c r="P140" s="581"/>
      <c r="Q140" s="581"/>
      <c r="R140" s="561"/>
      <c r="S140" s="581"/>
      <c r="T140" s="581"/>
    </row>
    <row r="141" spans="2:20">
      <c r="B141" s="1479" t="s">
        <v>292</v>
      </c>
      <c r="C141" s="1480"/>
      <c r="D141" s="581"/>
      <c r="E141" s="581"/>
      <c r="F141" s="581"/>
      <c r="G141" s="581"/>
      <c r="H141" s="581"/>
      <c r="I141" s="581"/>
      <c r="J141" s="581"/>
      <c r="K141" s="581"/>
      <c r="L141" s="581"/>
      <c r="M141" s="581"/>
      <c r="N141" s="561"/>
      <c r="O141" s="581"/>
      <c r="P141" s="581"/>
      <c r="Q141" s="581"/>
      <c r="R141" s="561"/>
      <c r="S141" s="581"/>
      <c r="T141" s="581"/>
    </row>
    <row r="142" spans="2:20" ht="13.5" thickBot="1">
      <c r="B142" s="1479"/>
      <c r="C142" s="1480"/>
      <c r="D142" s="581"/>
      <c r="E142" s="581"/>
      <c r="F142" s="581"/>
      <c r="G142" s="581"/>
      <c r="H142" s="581"/>
      <c r="I142" s="581"/>
      <c r="J142" s="581"/>
      <c r="K142" s="581"/>
      <c r="L142" s="581"/>
      <c r="M142" s="581"/>
      <c r="N142" s="561"/>
      <c r="O142" s="581"/>
      <c r="P142" s="581"/>
      <c r="Q142" s="581"/>
      <c r="R142" s="561"/>
      <c r="S142" s="581"/>
      <c r="T142" s="581"/>
    </row>
    <row r="143" spans="2:20">
      <c r="B143" s="1891" t="s">
        <v>851</v>
      </c>
      <c r="C143" s="1893" t="s">
        <v>31</v>
      </c>
      <c r="D143" s="1444" t="s">
        <v>116</v>
      </c>
      <c r="E143" s="1445"/>
      <c r="F143" s="1445"/>
      <c r="G143" s="1445"/>
      <c r="H143" s="562"/>
      <c r="I143" s="1445" t="s">
        <v>117</v>
      </c>
      <c r="J143" s="563"/>
      <c r="K143" s="563"/>
      <c r="L143" s="563"/>
      <c r="M143" s="562"/>
      <c r="N143" s="561"/>
      <c r="O143" s="1446" t="s">
        <v>116</v>
      </c>
      <c r="P143" s="1447"/>
      <c r="Q143" s="1448"/>
      <c r="R143" s="561"/>
      <c r="S143" s="1446" t="s">
        <v>117</v>
      </c>
      <c r="T143" s="1448"/>
    </row>
    <row r="144" spans="2:20">
      <c r="B144" s="1892"/>
      <c r="C144" s="1894"/>
      <c r="D144" s="1449" t="s">
        <v>32</v>
      </c>
      <c r="E144" s="1450" t="s">
        <v>33</v>
      </c>
      <c r="F144" s="1450" t="s">
        <v>29</v>
      </c>
      <c r="G144" s="1450" t="s">
        <v>34</v>
      </c>
      <c r="H144" s="1451" t="s">
        <v>35</v>
      </c>
      <c r="I144" s="1452" t="s">
        <v>118</v>
      </c>
      <c r="J144" s="1450" t="s">
        <v>136</v>
      </c>
      <c r="K144" s="1450" t="s">
        <v>137</v>
      </c>
      <c r="L144" s="1450" t="s">
        <v>138</v>
      </c>
      <c r="M144" s="1451" t="s">
        <v>139</v>
      </c>
      <c r="N144" s="561"/>
      <c r="O144" s="1453" t="s">
        <v>126</v>
      </c>
      <c r="P144" s="1454" t="s">
        <v>127</v>
      </c>
      <c r="Q144" s="1455" t="s">
        <v>245</v>
      </c>
      <c r="R144" s="561"/>
      <c r="S144" s="1453" t="s">
        <v>127</v>
      </c>
      <c r="T144" s="1455" t="s">
        <v>128</v>
      </c>
    </row>
    <row r="145" spans="2:20">
      <c r="B145" s="1541" t="s">
        <v>856</v>
      </c>
      <c r="C145" s="1542"/>
      <c r="D145" s="1494"/>
      <c r="E145" s="1495"/>
      <c r="F145" s="1495"/>
      <c r="G145" s="1495"/>
      <c r="H145" s="1496"/>
      <c r="I145" s="598"/>
      <c r="J145" s="598"/>
      <c r="K145" s="598"/>
      <c r="L145" s="598"/>
      <c r="M145" s="599"/>
      <c r="N145" s="561"/>
      <c r="O145" s="597"/>
      <c r="P145" s="598"/>
      <c r="Q145" s="599"/>
      <c r="R145" s="561"/>
      <c r="S145" s="597"/>
      <c r="T145" s="599"/>
    </row>
    <row r="146" spans="2:20">
      <c r="B146" s="1481" t="s">
        <v>665</v>
      </c>
      <c r="C146" s="582"/>
      <c r="D146" s="583"/>
      <c r="E146" s="584"/>
      <c r="F146" s="584"/>
      <c r="G146" s="584"/>
      <c r="H146" s="585"/>
      <c r="I146" s="584"/>
      <c r="J146" s="584"/>
      <c r="K146" s="584"/>
      <c r="L146" s="584"/>
      <c r="M146" s="585"/>
      <c r="N146" s="561"/>
      <c r="O146" s="586"/>
      <c r="P146" s="587"/>
      <c r="Q146" s="588"/>
      <c r="R146" s="561"/>
      <c r="S146" s="583"/>
      <c r="T146" s="585"/>
    </row>
    <row r="147" spans="2:20">
      <c r="B147" s="589" t="s">
        <v>266</v>
      </c>
      <c r="C147" s="1482" t="s">
        <v>14</v>
      </c>
      <c r="D147" s="629"/>
      <c r="E147" s="630"/>
      <c r="F147" s="630"/>
      <c r="G147" s="630"/>
      <c r="H147" s="631"/>
      <c r="I147" s="575"/>
      <c r="J147" s="577"/>
      <c r="K147" s="577"/>
      <c r="L147" s="577"/>
      <c r="M147" s="576"/>
      <c r="N147" s="561"/>
      <c r="O147" s="572"/>
      <c r="P147" s="573"/>
      <c r="Q147" s="574"/>
      <c r="R147" s="561"/>
      <c r="S147" s="572"/>
      <c r="T147" s="1474"/>
    </row>
    <row r="148" spans="2:20">
      <c r="B148" s="589" t="s">
        <v>293</v>
      </c>
      <c r="C148" s="1482" t="s">
        <v>294</v>
      </c>
      <c r="D148" s="632"/>
      <c r="E148" s="633"/>
      <c r="F148" s="633"/>
      <c r="G148" s="633"/>
      <c r="H148" s="634"/>
      <c r="I148" s="635"/>
      <c r="J148" s="636"/>
      <c r="K148" s="636"/>
      <c r="L148" s="636"/>
      <c r="M148" s="637"/>
      <c r="N148" s="561"/>
      <c r="O148" s="572"/>
      <c r="P148" s="573"/>
      <c r="Q148" s="574"/>
      <c r="R148" s="561"/>
      <c r="S148" s="572"/>
      <c r="T148" s="1474"/>
    </row>
    <row r="149" spans="2:20">
      <c r="B149" s="589" t="s">
        <v>295</v>
      </c>
      <c r="C149" s="1482" t="s">
        <v>294</v>
      </c>
      <c r="D149" s="632"/>
      <c r="E149" s="633"/>
      <c r="F149" s="633"/>
      <c r="G149" s="633"/>
      <c r="H149" s="634"/>
      <c r="I149" s="638">
        <f>1-I148</f>
        <v>1</v>
      </c>
      <c r="J149" s="639">
        <f>1-J148</f>
        <v>1</v>
      </c>
      <c r="K149" s="639">
        <f>1-K148</f>
        <v>1</v>
      </c>
      <c r="L149" s="639">
        <f>1-L148</f>
        <v>1</v>
      </c>
      <c r="M149" s="640">
        <f>1-M148</f>
        <v>1</v>
      </c>
      <c r="N149" s="561"/>
      <c r="O149" s="572"/>
      <c r="P149" s="573"/>
      <c r="Q149" s="574"/>
      <c r="R149" s="561"/>
      <c r="S149" s="572"/>
      <c r="T149" s="1474"/>
    </row>
    <row r="150" spans="2:20">
      <c r="B150" s="589" t="s">
        <v>267</v>
      </c>
      <c r="C150" s="1482" t="s">
        <v>14</v>
      </c>
      <c r="D150" s="629"/>
      <c r="E150" s="630"/>
      <c r="F150" s="630"/>
      <c r="G150" s="630"/>
      <c r="H150" s="631"/>
      <c r="I150" s="575"/>
      <c r="J150" s="577"/>
      <c r="K150" s="577"/>
      <c r="L150" s="577"/>
      <c r="M150" s="576"/>
      <c r="N150" s="561"/>
      <c r="O150" s="572"/>
      <c r="P150" s="573"/>
      <c r="Q150" s="574"/>
      <c r="R150" s="561"/>
      <c r="S150" s="572"/>
      <c r="T150" s="1474"/>
    </row>
    <row r="151" spans="2:20">
      <c r="B151" s="589" t="s">
        <v>296</v>
      </c>
      <c r="C151" s="1482" t="s">
        <v>294</v>
      </c>
      <c r="D151" s="629"/>
      <c r="E151" s="630"/>
      <c r="F151" s="630"/>
      <c r="G151" s="630"/>
      <c r="H151" s="631"/>
      <c r="I151" s="575"/>
      <c r="J151" s="577"/>
      <c r="K151" s="577"/>
      <c r="L151" s="577"/>
      <c r="M151" s="576"/>
      <c r="N151" s="561"/>
      <c r="O151" s="572"/>
      <c r="P151" s="573"/>
      <c r="Q151" s="574"/>
      <c r="R151" s="561"/>
      <c r="S151" s="572"/>
      <c r="T151" s="1474"/>
    </row>
    <row r="152" spans="2:20">
      <c r="B152" s="589" t="s">
        <v>297</v>
      </c>
      <c r="C152" s="1482" t="s">
        <v>294</v>
      </c>
      <c r="D152" s="632"/>
      <c r="E152" s="633"/>
      <c r="F152" s="633"/>
      <c r="G152" s="633"/>
      <c r="H152" s="634"/>
      <c r="I152" s="638">
        <f>1-I151</f>
        <v>1</v>
      </c>
      <c r="J152" s="639">
        <f>1-J151</f>
        <v>1</v>
      </c>
      <c r="K152" s="639">
        <f>1-K151</f>
        <v>1</v>
      </c>
      <c r="L152" s="639">
        <f>1-L151</f>
        <v>1</v>
      </c>
      <c r="M152" s="640">
        <f>1-M151</f>
        <v>1</v>
      </c>
      <c r="N152" s="561"/>
      <c r="O152" s="572"/>
      <c r="P152" s="573"/>
      <c r="Q152" s="574"/>
      <c r="R152" s="561"/>
      <c r="S152" s="572"/>
      <c r="T152" s="1474"/>
    </row>
    <row r="153" spans="2:20">
      <c r="B153" s="1489" t="s">
        <v>859</v>
      </c>
      <c r="C153" s="1482" t="s">
        <v>14</v>
      </c>
      <c r="D153" s="570"/>
      <c r="E153" s="575"/>
      <c r="F153" s="575"/>
      <c r="G153" s="575"/>
      <c r="H153" s="576"/>
      <c r="I153" s="590">
        <f>SUM(I147,I150)</f>
        <v>0</v>
      </c>
      <c r="J153" s="567">
        <f>SUM(J147,J150)</f>
        <v>0</v>
      </c>
      <c r="K153" s="567">
        <f>SUM(K147,K150)</f>
        <v>0</v>
      </c>
      <c r="L153" s="567">
        <f>SUM(L147,L150)</f>
        <v>0</v>
      </c>
      <c r="M153" s="568">
        <f>SUM(M147,M150)</f>
        <v>0</v>
      </c>
      <c r="N153" s="561"/>
      <c r="O153" s="566">
        <f>SUM(D153:G153)</f>
        <v>0</v>
      </c>
      <c r="P153" s="567">
        <f>SUM(H153)</f>
        <v>0</v>
      </c>
      <c r="Q153" s="568">
        <f>SUM(D153:H153)</f>
        <v>0</v>
      </c>
      <c r="R153" s="561"/>
      <c r="S153" s="566">
        <f>SUM(I153:M153)</f>
        <v>0</v>
      </c>
      <c r="T153" s="1367" t="str">
        <f>IF(Q153&lt;&gt;0,(S153-Q153)/Q153,"0")</f>
        <v>0</v>
      </c>
    </row>
    <row r="154" spans="2:20">
      <c r="B154" s="1481" t="s">
        <v>298</v>
      </c>
      <c r="C154" s="591"/>
      <c r="D154" s="592"/>
      <c r="E154" s="593"/>
      <c r="F154" s="593"/>
      <c r="G154" s="593"/>
      <c r="H154" s="594"/>
      <c r="I154" s="593"/>
      <c r="J154" s="593"/>
      <c r="K154" s="593"/>
      <c r="L154" s="593"/>
      <c r="M154" s="594"/>
      <c r="N154" s="561"/>
      <c r="O154" s="595"/>
      <c r="P154" s="593"/>
      <c r="Q154" s="594"/>
      <c r="R154" s="561"/>
      <c r="S154" s="592"/>
      <c r="T154" s="594"/>
    </row>
    <row r="155" spans="2:20">
      <c r="B155" s="589" t="s">
        <v>268</v>
      </c>
      <c r="C155" s="1482" t="s">
        <v>14</v>
      </c>
      <c r="D155" s="629"/>
      <c r="E155" s="630"/>
      <c r="F155" s="630"/>
      <c r="G155" s="630"/>
      <c r="H155" s="631"/>
      <c r="I155" s="575"/>
      <c r="J155" s="577"/>
      <c r="K155" s="577"/>
      <c r="L155" s="577"/>
      <c r="M155" s="576"/>
      <c r="N155" s="561"/>
      <c r="O155" s="572"/>
      <c r="P155" s="573"/>
      <c r="Q155" s="574"/>
      <c r="R155" s="561"/>
      <c r="S155" s="572"/>
      <c r="T155" s="1474"/>
    </row>
    <row r="156" spans="2:20">
      <c r="B156" s="589" t="s">
        <v>299</v>
      </c>
      <c r="C156" s="1482" t="s">
        <v>294</v>
      </c>
      <c r="D156" s="632"/>
      <c r="E156" s="633"/>
      <c r="F156" s="633"/>
      <c r="G156" s="633"/>
      <c r="H156" s="634"/>
      <c r="I156" s="635"/>
      <c r="J156" s="636"/>
      <c r="K156" s="636"/>
      <c r="L156" s="636"/>
      <c r="M156" s="637"/>
      <c r="N156" s="561"/>
      <c r="O156" s="572"/>
      <c r="P156" s="573"/>
      <c r="Q156" s="574"/>
      <c r="R156" s="561"/>
      <c r="S156" s="572"/>
      <c r="T156" s="1474"/>
    </row>
    <row r="157" spans="2:20">
      <c r="B157" s="589" t="s">
        <v>300</v>
      </c>
      <c r="C157" s="1482" t="s">
        <v>294</v>
      </c>
      <c r="D157" s="632"/>
      <c r="E157" s="633"/>
      <c r="F157" s="633"/>
      <c r="G157" s="633"/>
      <c r="H157" s="634"/>
      <c r="I157" s="638">
        <f>1-I156</f>
        <v>1</v>
      </c>
      <c r="J157" s="639">
        <f>1-J156</f>
        <v>1</v>
      </c>
      <c r="K157" s="639">
        <f>1-K156</f>
        <v>1</v>
      </c>
      <c r="L157" s="639">
        <f>1-L156</f>
        <v>1</v>
      </c>
      <c r="M157" s="640">
        <f>1-M156</f>
        <v>1</v>
      </c>
      <c r="N157" s="561"/>
      <c r="O157" s="572"/>
      <c r="P157" s="573"/>
      <c r="Q157" s="574"/>
      <c r="R157" s="561"/>
      <c r="S157" s="572"/>
      <c r="T157" s="1474"/>
    </row>
    <row r="158" spans="2:20">
      <c r="B158" s="589" t="s">
        <v>269</v>
      </c>
      <c r="C158" s="1482" t="s">
        <v>14</v>
      </c>
      <c r="D158" s="629"/>
      <c r="E158" s="630"/>
      <c r="F158" s="630"/>
      <c r="G158" s="630"/>
      <c r="H158" s="631"/>
      <c r="I158" s="575"/>
      <c r="J158" s="577"/>
      <c r="K158" s="577"/>
      <c r="L158" s="577"/>
      <c r="M158" s="576"/>
      <c r="N158" s="561"/>
      <c r="O158" s="572"/>
      <c r="P158" s="573"/>
      <c r="Q158" s="574"/>
      <c r="R158" s="561"/>
      <c r="S158" s="572"/>
      <c r="T158" s="1474"/>
    </row>
    <row r="159" spans="2:20">
      <c r="B159" s="589" t="s">
        <v>301</v>
      </c>
      <c r="C159" s="1482" t="s">
        <v>294</v>
      </c>
      <c r="D159" s="629"/>
      <c r="E159" s="630"/>
      <c r="F159" s="630"/>
      <c r="G159" s="630"/>
      <c r="H159" s="631"/>
      <c r="I159" s="575"/>
      <c r="J159" s="577"/>
      <c r="K159" s="577"/>
      <c r="L159" s="577"/>
      <c r="M159" s="576"/>
      <c r="N159" s="561"/>
      <c r="O159" s="572"/>
      <c r="P159" s="573"/>
      <c r="Q159" s="574"/>
      <c r="R159" s="561"/>
      <c r="S159" s="572"/>
      <c r="T159" s="1474"/>
    </row>
    <row r="160" spans="2:20">
      <c r="B160" s="589" t="s">
        <v>302</v>
      </c>
      <c r="C160" s="1482" t="s">
        <v>294</v>
      </c>
      <c r="D160" s="632"/>
      <c r="E160" s="633"/>
      <c r="F160" s="633"/>
      <c r="G160" s="633"/>
      <c r="H160" s="634"/>
      <c r="I160" s="638">
        <f>1-I159</f>
        <v>1</v>
      </c>
      <c r="J160" s="639">
        <f>1-J159</f>
        <v>1</v>
      </c>
      <c r="K160" s="639">
        <f>1-K159</f>
        <v>1</v>
      </c>
      <c r="L160" s="639">
        <f>1-L159</f>
        <v>1</v>
      </c>
      <c r="M160" s="640">
        <f>1-M159</f>
        <v>1</v>
      </c>
      <c r="N160" s="561"/>
      <c r="O160" s="572"/>
      <c r="P160" s="573"/>
      <c r="Q160" s="574"/>
      <c r="R160" s="561"/>
      <c r="S160" s="572"/>
      <c r="T160" s="1474"/>
    </row>
    <row r="161" spans="2:20">
      <c r="B161" s="1489" t="s">
        <v>860</v>
      </c>
      <c r="C161" s="1482" t="s">
        <v>14</v>
      </c>
      <c r="D161" s="570"/>
      <c r="E161" s="575"/>
      <c r="F161" s="575"/>
      <c r="G161" s="575"/>
      <c r="H161" s="576"/>
      <c r="I161" s="590">
        <f>SUM(I155,I158)</f>
        <v>0</v>
      </c>
      <c r="J161" s="567">
        <f>SUM(J155,J158)</f>
        <v>0</v>
      </c>
      <c r="K161" s="567">
        <f>SUM(K155,K158)</f>
        <v>0</v>
      </c>
      <c r="L161" s="567">
        <f>SUM(L155,L158)</f>
        <v>0</v>
      </c>
      <c r="M161" s="568">
        <f>SUM(M155,M158)</f>
        <v>0</v>
      </c>
      <c r="N161" s="561"/>
      <c r="O161" s="566">
        <f>SUM(D161:G161)</f>
        <v>0</v>
      </c>
      <c r="P161" s="567">
        <f>SUM(H161)</f>
        <v>0</v>
      </c>
      <c r="Q161" s="568">
        <f>SUM(D161:H161)</f>
        <v>0</v>
      </c>
      <c r="R161" s="561"/>
      <c r="S161" s="566">
        <f>SUM(I161:M161)</f>
        <v>0</v>
      </c>
      <c r="T161" s="1367" t="str">
        <f>IF(Q161&lt;&gt;0,(S161-Q161)/Q161,"0")</f>
        <v>0</v>
      </c>
    </row>
    <row r="162" spans="2:20">
      <c r="B162" s="1481" t="s">
        <v>303</v>
      </c>
      <c r="C162" s="591"/>
      <c r="D162" s="592"/>
      <c r="E162" s="593"/>
      <c r="F162" s="593"/>
      <c r="G162" s="593"/>
      <c r="H162" s="594"/>
      <c r="I162" s="593"/>
      <c r="J162" s="593"/>
      <c r="K162" s="593"/>
      <c r="L162" s="593"/>
      <c r="M162" s="594"/>
      <c r="N162" s="561"/>
      <c r="O162" s="592"/>
      <c r="P162" s="593"/>
      <c r="Q162" s="594"/>
      <c r="R162" s="561"/>
      <c r="S162" s="592"/>
      <c r="T162" s="594"/>
    </row>
    <row r="163" spans="2:20">
      <c r="B163" s="589" t="s">
        <v>270</v>
      </c>
      <c r="C163" s="1482" t="s">
        <v>14</v>
      </c>
      <c r="D163" s="629"/>
      <c r="E163" s="630"/>
      <c r="F163" s="630"/>
      <c r="G163" s="630"/>
      <c r="H163" s="631"/>
      <c r="I163" s="575"/>
      <c r="J163" s="577"/>
      <c r="K163" s="577"/>
      <c r="L163" s="577"/>
      <c r="M163" s="576"/>
      <c r="N163" s="561"/>
      <c r="O163" s="572"/>
      <c r="P163" s="573"/>
      <c r="Q163" s="574"/>
      <c r="R163" s="561"/>
      <c r="S163" s="572"/>
      <c r="T163" s="1474"/>
    </row>
    <row r="164" spans="2:20">
      <c r="B164" s="589" t="s">
        <v>304</v>
      </c>
      <c r="C164" s="1482" t="s">
        <v>294</v>
      </c>
      <c r="D164" s="632"/>
      <c r="E164" s="633"/>
      <c r="F164" s="633"/>
      <c r="G164" s="633"/>
      <c r="H164" s="634"/>
      <c r="I164" s="635"/>
      <c r="J164" s="636"/>
      <c r="K164" s="636"/>
      <c r="L164" s="636"/>
      <c r="M164" s="637"/>
      <c r="N164" s="561"/>
      <c r="O164" s="572"/>
      <c r="P164" s="573"/>
      <c r="Q164" s="574"/>
      <c r="R164" s="561"/>
      <c r="S164" s="572"/>
      <c r="T164" s="1474"/>
    </row>
    <row r="165" spans="2:20">
      <c r="B165" s="589" t="s">
        <v>305</v>
      </c>
      <c r="C165" s="1482" t="s">
        <v>294</v>
      </c>
      <c r="D165" s="632"/>
      <c r="E165" s="633"/>
      <c r="F165" s="633"/>
      <c r="G165" s="633"/>
      <c r="H165" s="634"/>
      <c r="I165" s="638">
        <f>1-I164</f>
        <v>1</v>
      </c>
      <c r="J165" s="639">
        <f>1-J164</f>
        <v>1</v>
      </c>
      <c r="K165" s="639">
        <f>1-K164</f>
        <v>1</v>
      </c>
      <c r="L165" s="639">
        <f>1-L164</f>
        <v>1</v>
      </c>
      <c r="M165" s="640">
        <f>1-M164</f>
        <v>1</v>
      </c>
      <c r="N165" s="561"/>
      <c r="O165" s="572"/>
      <c r="P165" s="573"/>
      <c r="Q165" s="574"/>
      <c r="R165" s="561"/>
      <c r="S165" s="572"/>
      <c r="T165" s="1474"/>
    </row>
    <row r="166" spans="2:20">
      <c r="B166" s="589" t="s">
        <v>271</v>
      </c>
      <c r="C166" s="1482" t="s">
        <v>14</v>
      </c>
      <c r="D166" s="629"/>
      <c r="E166" s="630"/>
      <c r="F166" s="630"/>
      <c r="G166" s="630"/>
      <c r="H166" s="631"/>
      <c r="I166" s="575"/>
      <c r="J166" s="577"/>
      <c r="K166" s="577"/>
      <c r="L166" s="577"/>
      <c r="M166" s="576"/>
      <c r="N166" s="561"/>
      <c r="O166" s="572"/>
      <c r="P166" s="573"/>
      <c r="Q166" s="574"/>
      <c r="R166" s="561"/>
      <c r="S166" s="572"/>
      <c r="T166" s="1474"/>
    </row>
    <row r="167" spans="2:20">
      <c r="B167" s="589" t="s">
        <v>306</v>
      </c>
      <c r="C167" s="1482" t="s">
        <v>294</v>
      </c>
      <c r="D167" s="641"/>
      <c r="E167" s="642"/>
      <c r="F167" s="642"/>
      <c r="G167" s="642"/>
      <c r="H167" s="643"/>
      <c r="I167" s="644"/>
      <c r="J167" s="645"/>
      <c r="K167" s="645"/>
      <c r="L167" s="645"/>
      <c r="M167" s="646"/>
      <c r="N167" s="561"/>
      <c r="O167" s="572"/>
      <c r="P167" s="573"/>
      <c r="Q167" s="574"/>
      <c r="R167" s="561"/>
      <c r="S167" s="572"/>
      <c r="T167" s="1474"/>
    </row>
    <row r="168" spans="2:20">
      <c r="B168" s="589" t="s">
        <v>307</v>
      </c>
      <c r="C168" s="1482" t="s">
        <v>294</v>
      </c>
      <c r="D168" s="632"/>
      <c r="E168" s="633"/>
      <c r="F168" s="633"/>
      <c r="G168" s="633"/>
      <c r="H168" s="634"/>
      <c r="I168" s="638">
        <f>1-I167</f>
        <v>1</v>
      </c>
      <c r="J168" s="639">
        <f>1-J167</f>
        <v>1</v>
      </c>
      <c r="K168" s="639">
        <f>1-K167</f>
        <v>1</v>
      </c>
      <c r="L168" s="639">
        <f>1-L167</f>
        <v>1</v>
      </c>
      <c r="M168" s="640">
        <f>1-M167</f>
        <v>1</v>
      </c>
      <c r="N168" s="561"/>
      <c r="O168" s="572"/>
      <c r="P168" s="573"/>
      <c r="Q168" s="574"/>
      <c r="R168" s="561"/>
      <c r="S168" s="572"/>
      <c r="T168" s="1474"/>
    </row>
    <row r="169" spans="2:20">
      <c r="B169" s="1489" t="s">
        <v>861</v>
      </c>
      <c r="C169" s="1482" t="s">
        <v>14</v>
      </c>
      <c r="D169" s="570"/>
      <c r="E169" s="575"/>
      <c r="F169" s="575"/>
      <c r="G169" s="575"/>
      <c r="H169" s="576"/>
      <c r="I169" s="590">
        <f>SUM(I163,I166)</f>
        <v>0</v>
      </c>
      <c r="J169" s="567">
        <f>SUM(J163,J166)</f>
        <v>0</v>
      </c>
      <c r="K169" s="567">
        <f>SUM(K163,K166)</f>
        <v>0</v>
      </c>
      <c r="L169" s="567">
        <f>SUM(L163,L166)</f>
        <v>0</v>
      </c>
      <c r="M169" s="568">
        <f>SUM(M163,M166)</f>
        <v>0</v>
      </c>
      <c r="N169" s="561"/>
      <c r="O169" s="566">
        <f>SUM(D169:G169)</f>
        <v>0</v>
      </c>
      <c r="P169" s="567">
        <f>SUM(H169)</f>
        <v>0</v>
      </c>
      <c r="Q169" s="568">
        <f>SUM(D169:H169)</f>
        <v>0</v>
      </c>
      <c r="R169" s="561"/>
      <c r="S169" s="566">
        <f>SUM(I169:M169)</f>
        <v>0</v>
      </c>
      <c r="T169" s="1367" t="str">
        <f>IF(Q169&lt;&gt;0,(S169-Q169)/Q169,"0")</f>
        <v>0</v>
      </c>
    </row>
    <row r="170" spans="2:20">
      <c r="B170" s="1481" t="s">
        <v>308</v>
      </c>
      <c r="C170" s="591"/>
      <c r="D170" s="592"/>
      <c r="E170" s="593"/>
      <c r="F170" s="593"/>
      <c r="G170" s="593"/>
      <c r="H170" s="594"/>
      <c r="I170" s="593"/>
      <c r="J170" s="593"/>
      <c r="K170" s="593"/>
      <c r="L170" s="593"/>
      <c r="M170" s="594"/>
      <c r="N170" s="561"/>
      <c r="O170" s="592"/>
      <c r="P170" s="593"/>
      <c r="Q170" s="594"/>
      <c r="R170" s="561"/>
      <c r="S170" s="592"/>
      <c r="T170" s="594"/>
    </row>
    <row r="171" spans="2:20">
      <c r="B171" s="589" t="s">
        <v>272</v>
      </c>
      <c r="C171" s="1482" t="s">
        <v>14</v>
      </c>
      <c r="D171" s="629"/>
      <c r="E171" s="630"/>
      <c r="F171" s="630"/>
      <c r="G171" s="630"/>
      <c r="H171" s="631"/>
      <c r="I171" s="575"/>
      <c r="J171" s="577"/>
      <c r="K171" s="577"/>
      <c r="L171" s="577"/>
      <c r="M171" s="576"/>
      <c r="N171" s="561"/>
      <c r="O171" s="572"/>
      <c r="P171" s="573"/>
      <c r="Q171" s="574"/>
      <c r="R171" s="561"/>
      <c r="S171" s="572"/>
      <c r="T171" s="1474"/>
    </row>
    <row r="172" spans="2:20">
      <c r="B172" s="589" t="s">
        <v>309</v>
      </c>
      <c r="C172" s="1482" t="s">
        <v>294</v>
      </c>
      <c r="D172" s="632"/>
      <c r="E172" s="633"/>
      <c r="F172" s="633"/>
      <c r="G172" s="633"/>
      <c r="H172" s="634"/>
      <c r="I172" s="635"/>
      <c r="J172" s="636"/>
      <c r="K172" s="636"/>
      <c r="L172" s="636"/>
      <c r="M172" s="637"/>
      <c r="N172" s="561"/>
      <c r="O172" s="572"/>
      <c r="P172" s="573"/>
      <c r="Q172" s="574"/>
      <c r="R172" s="561"/>
      <c r="S172" s="572"/>
      <c r="T172" s="1474"/>
    </row>
    <row r="173" spans="2:20">
      <c r="B173" s="589" t="s">
        <v>310</v>
      </c>
      <c r="C173" s="1482" t="s">
        <v>294</v>
      </c>
      <c r="D173" s="632"/>
      <c r="E173" s="633"/>
      <c r="F173" s="633"/>
      <c r="G173" s="633"/>
      <c r="H173" s="634"/>
      <c r="I173" s="638">
        <f>1-I172</f>
        <v>1</v>
      </c>
      <c r="J173" s="639">
        <f>1-J172</f>
        <v>1</v>
      </c>
      <c r="K173" s="639">
        <f>1-K172</f>
        <v>1</v>
      </c>
      <c r="L173" s="639">
        <f>1-L172</f>
        <v>1</v>
      </c>
      <c r="M173" s="640">
        <f>1-M172</f>
        <v>1</v>
      </c>
      <c r="N173" s="561"/>
      <c r="O173" s="572"/>
      <c r="P173" s="573"/>
      <c r="Q173" s="574"/>
      <c r="R173" s="561"/>
      <c r="S173" s="572"/>
      <c r="T173" s="1474"/>
    </row>
    <row r="174" spans="2:20">
      <c r="B174" s="589" t="s">
        <v>273</v>
      </c>
      <c r="C174" s="1482" t="s">
        <v>14</v>
      </c>
      <c r="D174" s="629"/>
      <c r="E174" s="630"/>
      <c r="F174" s="630"/>
      <c r="G174" s="630"/>
      <c r="H174" s="631"/>
      <c r="I174" s="575"/>
      <c r="J174" s="577"/>
      <c r="K174" s="577"/>
      <c r="L174" s="577"/>
      <c r="M174" s="576"/>
      <c r="N174" s="561"/>
      <c r="O174" s="572"/>
      <c r="P174" s="573"/>
      <c r="Q174" s="574"/>
      <c r="R174" s="561"/>
      <c r="S174" s="572"/>
      <c r="T174" s="1474"/>
    </row>
    <row r="175" spans="2:20">
      <c r="B175" s="589" t="s">
        <v>311</v>
      </c>
      <c r="C175" s="1482" t="s">
        <v>294</v>
      </c>
      <c r="D175" s="641"/>
      <c r="E175" s="642"/>
      <c r="F175" s="642"/>
      <c r="G175" s="642"/>
      <c r="H175" s="643"/>
      <c r="I175" s="644"/>
      <c r="J175" s="645"/>
      <c r="K175" s="645"/>
      <c r="L175" s="645"/>
      <c r="M175" s="646"/>
      <c r="N175" s="561"/>
      <c r="O175" s="572"/>
      <c r="P175" s="573"/>
      <c r="Q175" s="574"/>
      <c r="R175" s="561"/>
      <c r="S175" s="572"/>
      <c r="T175" s="1474"/>
    </row>
    <row r="176" spans="2:20">
      <c r="B176" s="589" t="s">
        <v>312</v>
      </c>
      <c r="C176" s="1482" t="s">
        <v>294</v>
      </c>
      <c r="D176" s="632"/>
      <c r="E176" s="633"/>
      <c r="F176" s="633"/>
      <c r="G176" s="633"/>
      <c r="H176" s="634"/>
      <c r="I176" s="638">
        <f>1-I175</f>
        <v>1</v>
      </c>
      <c r="J176" s="639">
        <f>1-J175</f>
        <v>1</v>
      </c>
      <c r="K176" s="639">
        <f>1-K175</f>
        <v>1</v>
      </c>
      <c r="L176" s="639">
        <f>1-L175</f>
        <v>1</v>
      </c>
      <c r="M176" s="640">
        <f>1-M175</f>
        <v>1</v>
      </c>
      <c r="N176" s="561"/>
      <c r="O176" s="572"/>
      <c r="P176" s="573"/>
      <c r="Q176" s="574"/>
      <c r="R176" s="561"/>
      <c r="S176" s="572"/>
      <c r="T176" s="1474"/>
    </row>
    <row r="177" spans="2:20">
      <c r="B177" s="1543" t="s">
        <v>694</v>
      </c>
      <c r="C177" s="1482" t="s">
        <v>14</v>
      </c>
      <c r="D177" s="647"/>
      <c r="E177" s="648"/>
      <c r="F177" s="648"/>
      <c r="G177" s="648"/>
      <c r="H177" s="649"/>
      <c r="I177" s="650">
        <f>SUM(I171,I174)</f>
        <v>0</v>
      </c>
      <c r="J177" s="651">
        <f>SUM(J171,J174)</f>
        <v>0</v>
      </c>
      <c r="K177" s="651">
        <f>SUM(K171,K174)</f>
        <v>0</v>
      </c>
      <c r="L177" s="651">
        <f>SUM(L171,L174)</f>
        <v>0</v>
      </c>
      <c r="M177" s="652">
        <f>SUM(M171,M174)</f>
        <v>0</v>
      </c>
      <c r="N177" s="561"/>
      <c r="O177" s="566">
        <f>SUM(D177:G177)</f>
        <v>0</v>
      </c>
      <c r="P177" s="567">
        <f>SUM(H177)</f>
        <v>0</v>
      </c>
      <c r="Q177" s="568">
        <f>SUM(D177:H177)</f>
        <v>0</v>
      </c>
      <c r="R177" s="561"/>
      <c r="S177" s="566">
        <f>SUM(I177:M177)</f>
        <v>0</v>
      </c>
      <c r="T177" s="1367" t="str">
        <f>IF(Q177&lt;&gt;0,(S177-Q177)/Q177,"0")</f>
        <v>0</v>
      </c>
    </row>
    <row r="178" spans="2:20" ht="13.5" thickBot="1">
      <c r="B178" s="1544" t="s">
        <v>313</v>
      </c>
      <c r="C178" s="1545"/>
      <c r="D178" s="1546">
        <f t="shared" ref="D178:M178" si="23">SUM(D153,D161,D169,D177)</f>
        <v>0</v>
      </c>
      <c r="E178" s="1546">
        <f t="shared" si="23"/>
        <v>0</v>
      </c>
      <c r="F178" s="1546">
        <f t="shared" si="23"/>
        <v>0</v>
      </c>
      <c r="G178" s="1546">
        <f t="shared" si="23"/>
        <v>0</v>
      </c>
      <c r="H178" s="1546">
        <f t="shared" si="23"/>
        <v>0</v>
      </c>
      <c r="I178" s="1547">
        <f t="shared" si="23"/>
        <v>0</v>
      </c>
      <c r="J178" s="1547">
        <f t="shared" si="23"/>
        <v>0</v>
      </c>
      <c r="K178" s="1547">
        <f t="shared" si="23"/>
        <v>0</v>
      </c>
      <c r="L178" s="1547">
        <f t="shared" si="23"/>
        <v>0</v>
      </c>
      <c r="M178" s="1548">
        <f t="shared" si="23"/>
        <v>0</v>
      </c>
      <c r="N178" s="561"/>
      <c r="O178" s="578">
        <f>SUM(O153,O161,O169,O177)</f>
        <v>0</v>
      </c>
      <c r="P178" s="579">
        <f>SUM(P153,P161,P169,P177)</f>
        <v>0</v>
      </c>
      <c r="Q178" s="580">
        <f>SUM(Q153,Q161,Q169,Q177)</f>
        <v>0</v>
      </c>
      <c r="R178" s="561"/>
      <c r="S178" s="578">
        <f>SUM(S153,S161,S169,S177)</f>
        <v>0</v>
      </c>
      <c r="T178" s="1376" t="str">
        <f>IF(Q178&lt;&gt;0,(S178-Q178)/Q178,"0")</f>
        <v>0</v>
      </c>
    </row>
    <row r="179" spans="2:20">
      <c r="C179" s="558"/>
      <c r="D179" s="558"/>
      <c r="E179" s="558"/>
      <c r="F179" s="558"/>
      <c r="G179" s="558"/>
      <c r="H179" s="558"/>
      <c r="I179" s="558"/>
      <c r="J179" s="558"/>
      <c r="K179" s="558"/>
      <c r="L179" s="558"/>
      <c r="M179" s="558"/>
      <c r="N179" s="558"/>
      <c r="O179" s="558"/>
      <c r="P179" s="558"/>
      <c r="Q179" s="558"/>
      <c r="R179" s="558"/>
      <c r="S179" s="558"/>
      <c r="T179" s="558"/>
    </row>
    <row r="180" spans="2:20">
      <c r="B180" s="1479" t="s">
        <v>314</v>
      </c>
      <c r="C180" s="1480"/>
      <c r="D180" s="581"/>
      <c r="E180" s="581"/>
      <c r="F180" s="581"/>
      <c r="G180" s="581"/>
      <c r="H180" s="581"/>
      <c r="I180" s="581"/>
      <c r="J180" s="581"/>
      <c r="K180" s="581"/>
      <c r="L180" s="581"/>
      <c r="M180" s="581"/>
      <c r="N180" s="561"/>
      <c r="O180" s="581"/>
      <c r="P180" s="581"/>
      <c r="Q180" s="581"/>
      <c r="R180" s="561"/>
      <c r="S180" s="581"/>
      <c r="T180" s="581"/>
    </row>
    <row r="181" spans="2:20" ht="13.5" thickBot="1">
      <c r="B181" s="1479"/>
      <c r="C181" s="1480"/>
      <c r="D181" s="581"/>
      <c r="E181" s="581"/>
      <c r="F181" s="581"/>
      <c r="G181" s="581"/>
      <c r="H181" s="581"/>
      <c r="I181" s="581"/>
      <c r="J181" s="581"/>
      <c r="K181" s="581"/>
      <c r="L181" s="581"/>
      <c r="M181" s="581"/>
      <c r="N181" s="561"/>
      <c r="O181" s="581"/>
      <c r="P181" s="581"/>
      <c r="Q181" s="581"/>
      <c r="R181" s="561"/>
      <c r="S181" s="581"/>
      <c r="T181" s="581"/>
    </row>
    <row r="182" spans="2:20">
      <c r="B182" s="1891" t="s">
        <v>851</v>
      </c>
      <c r="C182" s="1893" t="s">
        <v>31</v>
      </c>
      <c r="D182" s="1444" t="s">
        <v>116</v>
      </c>
      <c r="E182" s="1445"/>
      <c r="F182" s="1445"/>
      <c r="G182" s="1445"/>
      <c r="H182" s="562"/>
      <c r="I182" s="1445" t="s">
        <v>117</v>
      </c>
      <c r="J182" s="563"/>
      <c r="K182" s="563"/>
      <c r="L182" s="563"/>
      <c r="M182" s="562"/>
      <c r="N182" s="561"/>
      <c r="O182" s="1446" t="s">
        <v>116</v>
      </c>
      <c r="P182" s="1447"/>
      <c r="Q182" s="1448"/>
      <c r="R182" s="561"/>
      <c r="S182" s="1446" t="s">
        <v>117</v>
      </c>
      <c r="T182" s="1448"/>
    </row>
    <row r="183" spans="2:20">
      <c r="B183" s="1892"/>
      <c r="C183" s="1894"/>
      <c r="D183" s="1449" t="s">
        <v>32</v>
      </c>
      <c r="E183" s="1450" t="s">
        <v>33</v>
      </c>
      <c r="F183" s="1450" t="s">
        <v>29</v>
      </c>
      <c r="G183" s="1450" t="s">
        <v>34</v>
      </c>
      <c r="H183" s="1451" t="s">
        <v>35</v>
      </c>
      <c r="I183" s="1452" t="s">
        <v>118</v>
      </c>
      <c r="J183" s="1450" t="s">
        <v>136</v>
      </c>
      <c r="K183" s="1450" t="s">
        <v>137</v>
      </c>
      <c r="L183" s="1450" t="s">
        <v>138</v>
      </c>
      <c r="M183" s="1451" t="s">
        <v>139</v>
      </c>
      <c r="N183" s="561"/>
      <c r="O183" s="1453" t="s">
        <v>126</v>
      </c>
      <c r="P183" s="1454" t="s">
        <v>127</v>
      </c>
      <c r="Q183" s="1455" t="s">
        <v>245</v>
      </c>
      <c r="R183" s="561"/>
      <c r="S183" s="1453" t="s">
        <v>127</v>
      </c>
      <c r="T183" s="1455" t="s">
        <v>128</v>
      </c>
    </row>
    <row r="184" spans="2:20">
      <c r="B184" s="1541" t="s">
        <v>856</v>
      </c>
      <c r="C184" s="1542"/>
      <c r="D184" s="1494"/>
      <c r="E184" s="1495"/>
      <c r="F184" s="1495"/>
      <c r="G184" s="1495"/>
      <c r="H184" s="1496"/>
      <c r="I184" s="598"/>
      <c r="J184" s="598"/>
      <c r="K184" s="598"/>
      <c r="L184" s="598"/>
      <c r="M184" s="599"/>
      <c r="N184" s="561"/>
      <c r="O184" s="597"/>
      <c r="P184" s="598"/>
      <c r="Q184" s="599"/>
      <c r="R184" s="561"/>
      <c r="S184" s="597"/>
      <c r="T184" s="599"/>
    </row>
    <row r="185" spans="2:20">
      <c r="B185" s="1481" t="s">
        <v>665</v>
      </c>
      <c r="C185" s="582"/>
      <c r="D185" s="583"/>
      <c r="E185" s="584"/>
      <c r="F185" s="584"/>
      <c r="G185" s="584"/>
      <c r="H185" s="585"/>
      <c r="I185" s="584"/>
      <c r="J185" s="584"/>
      <c r="K185" s="584"/>
      <c r="L185" s="584"/>
      <c r="M185" s="585"/>
      <c r="N185" s="561"/>
      <c r="O185" s="586"/>
      <c r="P185" s="587"/>
      <c r="Q185" s="588"/>
      <c r="R185" s="561"/>
      <c r="S185" s="583"/>
      <c r="T185" s="585"/>
    </row>
    <row r="186" spans="2:20">
      <c r="B186" s="589" t="s">
        <v>266</v>
      </c>
      <c r="C186" s="1482" t="s">
        <v>14</v>
      </c>
      <c r="D186" s="629"/>
      <c r="E186" s="630"/>
      <c r="F186" s="630"/>
      <c r="G186" s="630"/>
      <c r="H186" s="631"/>
      <c r="I186" s="575"/>
      <c r="J186" s="577"/>
      <c r="K186" s="577"/>
      <c r="L186" s="577"/>
      <c r="M186" s="576"/>
      <c r="N186" s="561"/>
      <c r="O186" s="572"/>
      <c r="P186" s="573"/>
      <c r="Q186" s="574"/>
      <c r="R186" s="561"/>
      <c r="S186" s="572"/>
      <c r="T186" s="1474"/>
    </row>
    <row r="187" spans="2:20">
      <c r="B187" s="589" t="s">
        <v>293</v>
      </c>
      <c r="C187" s="1482" t="s">
        <v>294</v>
      </c>
      <c r="D187" s="632"/>
      <c r="E187" s="633"/>
      <c r="F187" s="633"/>
      <c r="G187" s="633"/>
      <c r="H187" s="634"/>
      <c r="I187" s="635"/>
      <c r="J187" s="636"/>
      <c r="K187" s="636"/>
      <c r="L187" s="636"/>
      <c r="M187" s="637"/>
      <c r="N187" s="561"/>
      <c r="O187" s="572"/>
      <c r="P187" s="573"/>
      <c r="Q187" s="574"/>
      <c r="R187" s="561"/>
      <c r="S187" s="572"/>
      <c r="T187" s="1474"/>
    </row>
    <row r="188" spans="2:20">
      <c r="B188" s="589" t="s">
        <v>295</v>
      </c>
      <c r="C188" s="1482" t="s">
        <v>294</v>
      </c>
      <c r="D188" s="632"/>
      <c r="E188" s="633"/>
      <c r="F188" s="633"/>
      <c r="G188" s="633"/>
      <c r="H188" s="634"/>
      <c r="I188" s="638">
        <f>1-I187</f>
        <v>1</v>
      </c>
      <c r="J188" s="639">
        <f>1-J187</f>
        <v>1</v>
      </c>
      <c r="K188" s="639">
        <f>1-K187</f>
        <v>1</v>
      </c>
      <c r="L188" s="639">
        <f>1-L187</f>
        <v>1</v>
      </c>
      <c r="M188" s="640">
        <f>1-M187</f>
        <v>1</v>
      </c>
      <c r="N188" s="561"/>
      <c r="O188" s="572"/>
      <c r="P188" s="573"/>
      <c r="Q188" s="574"/>
      <c r="R188" s="561"/>
      <c r="S188" s="572"/>
      <c r="T188" s="1474"/>
    </row>
    <row r="189" spans="2:20">
      <c r="B189" s="589" t="s">
        <v>267</v>
      </c>
      <c r="C189" s="1482" t="s">
        <v>14</v>
      </c>
      <c r="D189" s="629"/>
      <c r="E189" s="630"/>
      <c r="F189" s="630"/>
      <c r="G189" s="630"/>
      <c r="H189" s="631"/>
      <c r="I189" s="575"/>
      <c r="J189" s="577"/>
      <c r="K189" s="577"/>
      <c r="L189" s="577"/>
      <c r="M189" s="576"/>
      <c r="N189" s="561"/>
      <c r="O189" s="572"/>
      <c r="P189" s="573"/>
      <c r="Q189" s="574"/>
      <c r="R189" s="561"/>
      <c r="S189" s="572"/>
      <c r="T189" s="1474"/>
    </row>
    <row r="190" spans="2:20">
      <c r="B190" s="589" t="s">
        <v>296</v>
      </c>
      <c r="C190" s="1482" t="s">
        <v>294</v>
      </c>
      <c r="D190" s="629"/>
      <c r="E190" s="630"/>
      <c r="F190" s="630"/>
      <c r="G190" s="630"/>
      <c r="H190" s="631"/>
      <c r="I190" s="575"/>
      <c r="J190" s="577"/>
      <c r="K190" s="577"/>
      <c r="L190" s="577"/>
      <c r="M190" s="576"/>
      <c r="N190" s="561"/>
      <c r="O190" s="572"/>
      <c r="P190" s="573"/>
      <c r="Q190" s="574"/>
      <c r="R190" s="561"/>
      <c r="S190" s="572"/>
      <c r="T190" s="1474"/>
    </row>
    <row r="191" spans="2:20">
      <c r="B191" s="589" t="s">
        <v>297</v>
      </c>
      <c r="C191" s="1482" t="s">
        <v>294</v>
      </c>
      <c r="D191" s="632"/>
      <c r="E191" s="633"/>
      <c r="F191" s="633"/>
      <c r="G191" s="633"/>
      <c r="H191" s="634"/>
      <c r="I191" s="638">
        <f>1-I190</f>
        <v>1</v>
      </c>
      <c r="J191" s="639">
        <f>1-J190</f>
        <v>1</v>
      </c>
      <c r="K191" s="639">
        <f>1-K190</f>
        <v>1</v>
      </c>
      <c r="L191" s="639">
        <f>1-L190</f>
        <v>1</v>
      </c>
      <c r="M191" s="640">
        <f>1-M190</f>
        <v>1</v>
      </c>
      <c r="N191" s="561"/>
      <c r="O191" s="572"/>
      <c r="P191" s="573"/>
      <c r="Q191" s="574"/>
      <c r="R191" s="561"/>
      <c r="S191" s="572"/>
      <c r="T191" s="1474"/>
    </row>
    <row r="192" spans="2:20">
      <c r="B192" s="1489" t="s">
        <v>859</v>
      </c>
      <c r="C192" s="1482" t="s">
        <v>14</v>
      </c>
      <c r="D192" s="570"/>
      <c r="E192" s="575"/>
      <c r="F192" s="575"/>
      <c r="G192" s="575"/>
      <c r="H192" s="576"/>
      <c r="I192" s="590">
        <f>SUM(I186,I189)</f>
        <v>0</v>
      </c>
      <c r="J192" s="567">
        <f>SUM(J186,J189)</f>
        <v>0</v>
      </c>
      <c r="K192" s="567">
        <f>SUM(K186,K189)</f>
        <v>0</v>
      </c>
      <c r="L192" s="567">
        <f>SUM(L186,L189)</f>
        <v>0</v>
      </c>
      <c r="M192" s="568">
        <f>SUM(M186,M189)</f>
        <v>0</v>
      </c>
      <c r="N192" s="561"/>
      <c r="O192" s="566">
        <f>SUM(D192:G192)</f>
        <v>0</v>
      </c>
      <c r="P192" s="567">
        <f>SUM(H192)</f>
        <v>0</v>
      </c>
      <c r="Q192" s="568">
        <f>SUM(D192:H192)</f>
        <v>0</v>
      </c>
      <c r="R192" s="561"/>
      <c r="S192" s="566">
        <f>SUM(I192:M192)</f>
        <v>0</v>
      </c>
      <c r="T192" s="1367" t="str">
        <f>IF(Q192&lt;&gt;0,(S192-Q192)/Q192,"0")</f>
        <v>0</v>
      </c>
    </row>
    <row r="193" spans="2:20">
      <c r="B193" s="1481" t="s">
        <v>298</v>
      </c>
      <c r="C193" s="591"/>
      <c r="D193" s="592"/>
      <c r="E193" s="593"/>
      <c r="F193" s="593"/>
      <c r="G193" s="593"/>
      <c r="H193" s="594"/>
      <c r="I193" s="593"/>
      <c r="J193" s="593"/>
      <c r="K193" s="593"/>
      <c r="L193" s="593"/>
      <c r="M193" s="594"/>
      <c r="N193" s="561"/>
      <c r="O193" s="595"/>
      <c r="P193" s="593"/>
      <c r="Q193" s="594"/>
      <c r="R193" s="561"/>
      <c r="S193" s="592"/>
      <c r="T193" s="594"/>
    </row>
    <row r="194" spans="2:20">
      <c r="B194" s="589" t="s">
        <v>268</v>
      </c>
      <c r="C194" s="1482" t="s">
        <v>14</v>
      </c>
      <c r="D194" s="629"/>
      <c r="E194" s="630"/>
      <c r="F194" s="630"/>
      <c r="G194" s="630"/>
      <c r="H194" s="631"/>
      <c r="I194" s="575"/>
      <c r="J194" s="577"/>
      <c r="K194" s="577"/>
      <c r="L194" s="577"/>
      <c r="M194" s="576"/>
      <c r="N194" s="561"/>
      <c r="O194" s="572"/>
      <c r="P194" s="573"/>
      <c r="Q194" s="574"/>
      <c r="R194" s="561"/>
      <c r="S194" s="572"/>
      <c r="T194" s="1474"/>
    </row>
    <row r="195" spans="2:20">
      <c r="B195" s="589" t="s">
        <v>299</v>
      </c>
      <c r="C195" s="1482" t="s">
        <v>294</v>
      </c>
      <c r="D195" s="632"/>
      <c r="E195" s="633"/>
      <c r="F195" s="633"/>
      <c r="G195" s="633"/>
      <c r="H195" s="634"/>
      <c r="I195" s="635"/>
      <c r="J195" s="636"/>
      <c r="K195" s="636"/>
      <c r="L195" s="636"/>
      <c r="M195" s="637"/>
      <c r="N195" s="561"/>
      <c r="O195" s="572"/>
      <c r="P195" s="573"/>
      <c r="Q195" s="574"/>
      <c r="R195" s="561"/>
      <c r="S195" s="572"/>
      <c r="T195" s="1474"/>
    </row>
    <row r="196" spans="2:20">
      <c r="B196" s="589" t="s">
        <v>300</v>
      </c>
      <c r="C196" s="1482" t="s">
        <v>294</v>
      </c>
      <c r="D196" s="632"/>
      <c r="E196" s="633"/>
      <c r="F196" s="633"/>
      <c r="G196" s="633"/>
      <c r="H196" s="634"/>
      <c r="I196" s="638">
        <f>1-I195</f>
        <v>1</v>
      </c>
      <c r="J196" s="639">
        <f>1-J195</f>
        <v>1</v>
      </c>
      <c r="K196" s="639">
        <f>1-K195</f>
        <v>1</v>
      </c>
      <c r="L196" s="639">
        <f>1-L195</f>
        <v>1</v>
      </c>
      <c r="M196" s="640">
        <f>1-M195</f>
        <v>1</v>
      </c>
      <c r="N196" s="561"/>
      <c r="O196" s="572"/>
      <c r="P196" s="573"/>
      <c r="Q196" s="574"/>
      <c r="R196" s="561"/>
      <c r="S196" s="572"/>
      <c r="T196" s="1474"/>
    </row>
    <row r="197" spans="2:20">
      <c r="B197" s="589" t="s">
        <v>269</v>
      </c>
      <c r="C197" s="1482" t="s">
        <v>14</v>
      </c>
      <c r="D197" s="629"/>
      <c r="E197" s="630"/>
      <c r="F197" s="630"/>
      <c r="G197" s="630"/>
      <c r="H197" s="631"/>
      <c r="I197" s="575"/>
      <c r="J197" s="577"/>
      <c r="K197" s="577"/>
      <c r="L197" s="577"/>
      <c r="M197" s="576"/>
      <c r="N197" s="561"/>
      <c r="O197" s="572"/>
      <c r="P197" s="573"/>
      <c r="Q197" s="574"/>
      <c r="R197" s="561"/>
      <c r="S197" s="572"/>
      <c r="T197" s="1474"/>
    </row>
    <row r="198" spans="2:20">
      <c r="B198" s="589" t="s">
        <v>301</v>
      </c>
      <c r="C198" s="1482" t="s">
        <v>294</v>
      </c>
      <c r="D198" s="629"/>
      <c r="E198" s="630"/>
      <c r="F198" s="630"/>
      <c r="G198" s="630"/>
      <c r="H198" s="631"/>
      <c r="I198" s="575"/>
      <c r="J198" s="577"/>
      <c r="K198" s="577"/>
      <c r="L198" s="577"/>
      <c r="M198" s="576"/>
      <c r="N198" s="561"/>
      <c r="O198" s="572"/>
      <c r="P198" s="573"/>
      <c r="Q198" s="574"/>
      <c r="R198" s="561"/>
      <c r="S198" s="572"/>
      <c r="T198" s="1474"/>
    </row>
    <row r="199" spans="2:20">
      <c r="B199" s="589" t="s">
        <v>302</v>
      </c>
      <c r="C199" s="1482" t="s">
        <v>294</v>
      </c>
      <c r="D199" s="632"/>
      <c r="E199" s="633"/>
      <c r="F199" s="633"/>
      <c r="G199" s="633"/>
      <c r="H199" s="634"/>
      <c r="I199" s="638">
        <f>1-I198</f>
        <v>1</v>
      </c>
      <c r="J199" s="639">
        <f>1-J198</f>
        <v>1</v>
      </c>
      <c r="K199" s="639">
        <f>1-K198</f>
        <v>1</v>
      </c>
      <c r="L199" s="639">
        <f>1-L198</f>
        <v>1</v>
      </c>
      <c r="M199" s="640">
        <f>1-M198</f>
        <v>1</v>
      </c>
      <c r="N199" s="561"/>
      <c r="O199" s="572"/>
      <c r="P199" s="573"/>
      <c r="Q199" s="574"/>
      <c r="R199" s="561"/>
      <c r="S199" s="572"/>
      <c r="T199" s="1474"/>
    </row>
    <row r="200" spans="2:20">
      <c r="B200" s="1489" t="s">
        <v>860</v>
      </c>
      <c r="C200" s="1482" t="s">
        <v>14</v>
      </c>
      <c r="D200" s="570"/>
      <c r="E200" s="575"/>
      <c r="F200" s="575"/>
      <c r="G200" s="575"/>
      <c r="H200" s="576"/>
      <c r="I200" s="590">
        <f>SUM(I194,I197)</f>
        <v>0</v>
      </c>
      <c r="J200" s="567">
        <f>SUM(J194,J197)</f>
        <v>0</v>
      </c>
      <c r="K200" s="567">
        <f>SUM(K194,K197)</f>
        <v>0</v>
      </c>
      <c r="L200" s="567">
        <f>SUM(L194,L197)</f>
        <v>0</v>
      </c>
      <c r="M200" s="568">
        <f>SUM(M194,M197)</f>
        <v>0</v>
      </c>
      <c r="N200" s="561"/>
      <c r="O200" s="566">
        <f>SUM(D200:G200)</f>
        <v>0</v>
      </c>
      <c r="P200" s="567">
        <f>SUM(H200)</f>
        <v>0</v>
      </c>
      <c r="Q200" s="568">
        <f>SUM(D200:H200)</f>
        <v>0</v>
      </c>
      <c r="R200" s="561"/>
      <c r="S200" s="566">
        <f>SUM(I200:M200)</f>
        <v>0</v>
      </c>
      <c r="T200" s="1367" t="str">
        <f>IF(Q200&lt;&gt;0,(S200-Q200)/Q200,"0")</f>
        <v>0</v>
      </c>
    </row>
    <row r="201" spans="2:20">
      <c r="B201" s="1481" t="s">
        <v>303</v>
      </c>
      <c r="C201" s="591"/>
      <c r="D201" s="592"/>
      <c r="E201" s="593"/>
      <c r="F201" s="593"/>
      <c r="G201" s="593"/>
      <c r="H201" s="594"/>
      <c r="I201" s="593"/>
      <c r="J201" s="593"/>
      <c r="K201" s="593"/>
      <c r="L201" s="593"/>
      <c r="M201" s="594"/>
      <c r="N201" s="561"/>
      <c r="O201" s="592"/>
      <c r="P201" s="593"/>
      <c r="Q201" s="594"/>
      <c r="R201" s="561"/>
      <c r="S201" s="592"/>
      <c r="T201" s="594"/>
    </row>
    <row r="202" spans="2:20">
      <c r="B202" s="589" t="s">
        <v>270</v>
      </c>
      <c r="C202" s="1482" t="s">
        <v>14</v>
      </c>
      <c r="D202" s="629"/>
      <c r="E202" s="630"/>
      <c r="F202" s="630"/>
      <c r="G202" s="630"/>
      <c r="H202" s="631"/>
      <c r="I202" s="575"/>
      <c r="J202" s="577"/>
      <c r="K202" s="577"/>
      <c r="L202" s="577"/>
      <c r="M202" s="576"/>
      <c r="N202" s="561"/>
      <c r="O202" s="572"/>
      <c r="P202" s="573"/>
      <c r="Q202" s="574"/>
      <c r="R202" s="561"/>
      <c r="S202" s="572"/>
      <c r="T202" s="1474"/>
    </row>
    <row r="203" spans="2:20">
      <c r="B203" s="589" t="s">
        <v>304</v>
      </c>
      <c r="C203" s="1482" t="s">
        <v>294</v>
      </c>
      <c r="D203" s="632"/>
      <c r="E203" s="633"/>
      <c r="F203" s="633"/>
      <c r="G203" s="633"/>
      <c r="H203" s="634"/>
      <c r="I203" s="635"/>
      <c r="J203" s="636"/>
      <c r="K203" s="636"/>
      <c r="L203" s="636"/>
      <c r="M203" s="637"/>
      <c r="N203" s="561"/>
      <c r="O203" s="572"/>
      <c r="P203" s="573"/>
      <c r="Q203" s="574"/>
      <c r="R203" s="561"/>
      <c r="S203" s="572"/>
      <c r="T203" s="1474"/>
    </row>
    <row r="204" spans="2:20">
      <c r="B204" s="589" t="s">
        <v>305</v>
      </c>
      <c r="C204" s="1482" t="s">
        <v>294</v>
      </c>
      <c r="D204" s="632"/>
      <c r="E204" s="633"/>
      <c r="F204" s="633"/>
      <c r="G204" s="633"/>
      <c r="H204" s="634"/>
      <c r="I204" s="638">
        <f>1-I203</f>
        <v>1</v>
      </c>
      <c r="J204" s="639">
        <f>1-J203</f>
        <v>1</v>
      </c>
      <c r="K204" s="639">
        <f>1-K203</f>
        <v>1</v>
      </c>
      <c r="L204" s="639">
        <f>1-L203</f>
        <v>1</v>
      </c>
      <c r="M204" s="640">
        <f>1-M203</f>
        <v>1</v>
      </c>
      <c r="N204" s="561"/>
      <c r="O204" s="572"/>
      <c r="P204" s="573"/>
      <c r="Q204" s="574"/>
      <c r="R204" s="561"/>
      <c r="S204" s="572"/>
      <c r="T204" s="1474"/>
    </row>
    <row r="205" spans="2:20">
      <c r="B205" s="589" t="s">
        <v>271</v>
      </c>
      <c r="C205" s="1482" t="s">
        <v>14</v>
      </c>
      <c r="D205" s="629"/>
      <c r="E205" s="630"/>
      <c r="F205" s="630"/>
      <c r="G205" s="630"/>
      <c r="H205" s="631"/>
      <c r="I205" s="575"/>
      <c r="J205" s="577"/>
      <c r="K205" s="577"/>
      <c r="L205" s="577"/>
      <c r="M205" s="576"/>
      <c r="N205" s="561"/>
      <c r="O205" s="572"/>
      <c r="P205" s="573"/>
      <c r="Q205" s="574"/>
      <c r="R205" s="561"/>
      <c r="S205" s="572"/>
      <c r="T205" s="1474"/>
    </row>
    <row r="206" spans="2:20">
      <c r="B206" s="589" t="s">
        <v>306</v>
      </c>
      <c r="C206" s="1482" t="s">
        <v>294</v>
      </c>
      <c r="D206" s="641"/>
      <c r="E206" s="642"/>
      <c r="F206" s="642"/>
      <c r="G206" s="642"/>
      <c r="H206" s="643"/>
      <c r="I206" s="644"/>
      <c r="J206" s="645"/>
      <c r="K206" s="645"/>
      <c r="L206" s="645"/>
      <c r="M206" s="646"/>
      <c r="N206" s="561"/>
      <c r="O206" s="572"/>
      <c r="P206" s="573"/>
      <c r="Q206" s="574"/>
      <c r="R206" s="561"/>
      <c r="S206" s="572"/>
      <c r="T206" s="1474"/>
    </row>
    <row r="207" spans="2:20">
      <c r="B207" s="589" t="s">
        <v>307</v>
      </c>
      <c r="C207" s="1482" t="s">
        <v>294</v>
      </c>
      <c r="D207" s="632"/>
      <c r="E207" s="633"/>
      <c r="F207" s="633"/>
      <c r="G207" s="633"/>
      <c r="H207" s="634"/>
      <c r="I207" s="638">
        <f>1-I206</f>
        <v>1</v>
      </c>
      <c r="J207" s="639">
        <f>1-J206</f>
        <v>1</v>
      </c>
      <c r="K207" s="639">
        <f>1-K206</f>
        <v>1</v>
      </c>
      <c r="L207" s="639">
        <f>1-L206</f>
        <v>1</v>
      </c>
      <c r="M207" s="640">
        <f>1-M206</f>
        <v>1</v>
      </c>
      <c r="N207" s="561"/>
      <c r="O207" s="572"/>
      <c r="P207" s="573"/>
      <c r="Q207" s="574"/>
      <c r="R207" s="561"/>
      <c r="S207" s="572"/>
      <c r="T207" s="1474"/>
    </row>
    <row r="208" spans="2:20">
      <c r="B208" s="1489" t="s">
        <v>861</v>
      </c>
      <c r="C208" s="1482" t="s">
        <v>14</v>
      </c>
      <c r="D208" s="570"/>
      <c r="E208" s="575"/>
      <c r="F208" s="575"/>
      <c r="G208" s="575"/>
      <c r="H208" s="576"/>
      <c r="I208" s="590">
        <f>SUM(I202,I205)</f>
        <v>0</v>
      </c>
      <c r="J208" s="567">
        <f>SUM(J202,J205)</f>
        <v>0</v>
      </c>
      <c r="K208" s="567">
        <f>SUM(K202,K205)</f>
        <v>0</v>
      </c>
      <c r="L208" s="567">
        <f>SUM(L202,L205)</f>
        <v>0</v>
      </c>
      <c r="M208" s="568">
        <f>SUM(M202,M205)</f>
        <v>0</v>
      </c>
      <c r="N208" s="561"/>
      <c r="O208" s="566">
        <f>SUM(D208:G208)</f>
        <v>0</v>
      </c>
      <c r="P208" s="567">
        <f>SUM(H208)</f>
        <v>0</v>
      </c>
      <c r="Q208" s="568">
        <f>SUM(D208:H208)</f>
        <v>0</v>
      </c>
      <c r="R208" s="561"/>
      <c r="S208" s="566">
        <f>SUM(I208:M208)</f>
        <v>0</v>
      </c>
      <c r="T208" s="1367" t="str">
        <f>IF(Q208&lt;&gt;0,(S208-Q208)/Q208,"0")</f>
        <v>0</v>
      </c>
    </row>
    <row r="209" spans="2:20">
      <c r="B209" s="1481" t="s">
        <v>308</v>
      </c>
      <c r="C209" s="591"/>
      <c r="D209" s="592"/>
      <c r="E209" s="593"/>
      <c r="F209" s="593"/>
      <c r="G209" s="593"/>
      <c r="H209" s="594"/>
      <c r="I209" s="593"/>
      <c r="J209" s="593"/>
      <c r="K209" s="593"/>
      <c r="L209" s="593"/>
      <c r="M209" s="594"/>
      <c r="N209" s="561"/>
      <c r="O209" s="592"/>
      <c r="P209" s="593"/>
      <c r="Q209" s="594"/>
      <c r="R209" s="561"/>
      <c r="S209" s="592"/>
      <c r="T209" s="594"/>
    </row>
    <row r="210" spans="2:20">
      <c r="B210" s="589" t="s">
        <v>272</v>
      </c>
      <c r="C210" s="1482" t="s">
        <v>14</v>
      </c>
      <c r="D210" s="629"/>
      <c r="E210" s="630"/>
      <c r="F210" s="630"/>
      <c r="G210" s="630"/>
      <c r="H210" s="631"/>
      <c r="I210" s="575"/>
      <c r="J210" s="577"/>
      <c r="K210" s="577"/>
      <c r="L210" s="577"/>
      <c r="M210" s="576"/>
      <c r="N210" s="561"/>
      <c r="O210" s="572"/>
      <c r="P210" s="573"/>
      <c r="Q210" s="574"/>
      <c r="R210" s="561"/>
      <c r="S210" s="572"/>
      <c r="T210" s="1474"/>
    </row>
    <row r="211" spans="2:20">
      <c r="B211" s="589" t="s">
        <v>309</v>
      </c>
      <c r="C211" s="1482" t="s">
        <v>294</v>
      </c>
      <c r="D211" s="632"/>
      <c r="E211" s="633"/>
      <c r="F211" s="633"/>
      <c r="G211" s="633"/>
      <c r="H211" s="634"/>
      <c r="I211" s="635"/>
      <c r="J211" s="636"/>
      <c r="K211" s="636"/>
      <c r="L211" s="636"/>
      <c r="M211" s="637"/>
      <c r="N211" s="561"/>
      <c r="O211" s="572"/>
      <c r="P211" s="573"/>
      <c r="Q211" s="574"/>
      <c r="R211" s="561"/>
      <c r="S211" s="572"/>
      <c r="T211" s="1474"/>
    </row>
    <row r="212" spans="2:20">
      <c r="B212" s="589" t="s">
        <v>310</v>
      </c>
      <c r="C212" s="1482" t="s">
        <v>294</v>
      </c>
      <c r="D212" s="632"/>
      <c r="E212" s="633"/>
      <c r="F212" s="633"/>
      <c r="G212" s="633"/>
      <c r="H212" s="634"/>
      <c r="I212" s="638">
        <f>1-I211</f>
        <v>1</v>
      </c>
      <c r="J212" s="639">
        <f>1-J211</f>
        <v>1</v>
      </c>
      <c r="K212" s="639">
        <f>1-K211</f>
        <v>1</v>
      </c>
      <c r="L212" s="639">
        <f>1-L211</f>
        <v>1</v>
      </c>
      <c r="M212" s="640">
        <f>1-M211</f>
        <v>1</v>
      </c>
      <c r="N212" s="561"/>
      <c r="O212" s="572"/>
      <c r="P212" s="573"/>
      <c r="Q212" s="574"/>
      <c r="R212" s="561"/>
      <c r="S212" s="572"/>
      <c r="T212" s="1474"/>
    </row>
    <row r="213" spans="2:20">
      <c r="B213" s="589" t="s">
        <v>273</v>
      </c>
      <c r="C213" s="1482" t="s">
        <v>14</v>
      </c>
      <c r="D213" s="629"/>
      <c r="E213" s="630"/>
      <c r="F213" s="630"/>
      <c r="G213" s="630"/>
      <c r="H213" s="631"/>
      <c r="I213" s="575"/>
      <c r="J213" s="577"/>
      <c r="K213" s="577"/>
      <c r="L213" s="577"/>
      <c r="M213" s="576"/>
      <c r="N213" s="561"/>
      <c r="O213" s="572"/>
      <c r="P213" s="573"/>
      <c r="Q213" s="574"/>
      <c r="R213" s="561"/>
      <c r="S213" s="572"/>
      <c r="T213" s="1474"/>
    </row>
    <row r="214" spans="2:20">
      <c r="B214" s="589" t="s">
        <v>311</v>
      </c>
      <c r="C214" s="1482" t="s">
        <v>294</v>
      </c>
      <c r="D214" s="641"/>
      <c r="E214" s="642"/>
      <c r="F214" s="642"/>
      <c r="G214" s="642"/>
      <c r="H214" s="643"/>
      <c r="I214" s="644"/>
      <c r="J214" s="645"/>
      <c r="K214" s="645"/>
      <c r="L214" s="645"/>
      <c r="M214" s="646"/>
      <c r="N214" s="561"/>
      <c r="O214" s="572"/>
      <c r="P214" s="573"/>
      <c r="Q214" s="574"/>
      <c r="R214" s="561"/>
      <c r="S214" s="572"/>
      <c r="T214" s="1474"/>
    </row>
    <row r="215" spans="2:20">
      <c r="B215" s="589" t="s">
        <v>312</v>
      </c>
      <c r="C215" s="1482" t="s">
        <v>294</v>
      </c>
      <c r="D215" s="632"/>
      <c r="E215" s="633"/>
      <c r="F215" s="633"/>
      <c r="G215" s="633"/>
      <c r="H215" s="634"/>
      <c r="I215" s="638">
        <f>1-I214</f>
        <v>1</v>
      </c>
      <c r="J215" s="639">
        <f>1-J214</f>
        <v>1</v>
      </c>
      <c r="K215" s="639">
        <f>1-K214</f>
        <v>1</v>
      </c>
      <c r="L215" s="639">
        <f>1-L214</f>
        <v>1</v>
      </c>
      <c r="M215" s="640">
        <f>1-M214</f>
        <v>1</v>
      </c>
      <c r="N215" s="561"/>
      <c r="O215" s="572"/>
      <c r="P215" s="573"/>
      <c r="Q215" s="574"/>
      <c r="R215" s="561"/>
      <c r="S215" s="572"/>
      <c r="T215" s="1474"/>
    </row>
    <row r="216" spans="2:20">
      <c r="B216" s="1543" t="s">
        <v>694</v>
      </c>
      <c r="C216" s="1482" t="s">
        <v>14</v>
      </c>
      <c r="D216" s="647"/>
      <c r="E216" s="648"/>
      <c r="F216" s="648"/>
      <c r="G216" s="648"/>
      <c r="H216" s="649"/>
      <c r="I216" s="650">
        <f>SUM(I210,I213)</f>
        <v>0</v>
      </c>
      <c r="J216" s="651">
        <f>SUM(J210,J213)</f>
        <v>0</v>
      </c>
      <c r="K216" s="651">
        <f>SUM(K210,K213)</f>
        <v>0</v>
      </c>
      <c r="L216" s="651">
        <f>SUM(L210,L213)</f>
        <v>0</v>
      </c>
      <c r="M216" s="652">
        <f>SUM(M210,M213)</f>
        <v>0</v>
      </c>
      <c r="N216" s="561"/>
      <c r="O216" s="566">
        <f>SUM(D216:G216)</f>
        <v>0</v>
      </c>
      <c r="P216" s="567">
        <f>SUM(H216)</f>
        <v>0</v>
      </c>
      <c r="Q216" s="568">
        <f>SUM(D216:H216)</f>
        <v>0</v>
      </c>
      <c r="R216" s="561"/>
      <c r="S216" s="566">
        <f>SUM(I216:M216)</f>
        <v>0</v>
      </c>
      <c r="T216" s="1367" t="str">
        <f>IF(Q216&lt;&gt;0,(S216-Q216)/Q216,"0")</f>
        <v>0</v>
      </c>
    </row>
    <row r="217" spans="2:20" ht="13.5" thickBot="1">
      <c r="B217" s="1544" t="s">
        <v>315</v>
      </c>
      <c r="C217" s="1545"/>
      <c r="D217" s="1546">
        <f t="shared" ref="D217:M217" si="24">SUM(D192,D200,D208,D216)</f>
        <v>0</v>
      </c>
      <c r="E217" s="1546">
        <f t="shared" si="24"/>
        <v>0</v>
      </c>
      <c r="F217" s="1546">
        <f t="shared" si="24"/>
        <v>0</v>
      </c>
      <c r="G217" s="1546">
        <f t="shared" si="24"/>
        <v>0</v>
      </c>
      <c r="H217" s="1546">
        <f t="shared" si="24"/>
        <v>0</v>
      </c>
      <c r="I217" s="1549">
        <f t="shared" si="24"/>
        <v>0</v>
      </c>
      <c r="J217" s="1549">
        <f t="shared" si="24"/>
        <v>0</v>
      </c>
      <c r="K217" s="1549">
        <f t="shared" si="24"/>
        <v>0</v>
      </c>
      <c r="L217" s="1549">
        <f t="shared" si="24"/>
        <v>0</v>
      </c>
      <c r="M217" s="1550">
        <f t="shared" si="24"/>
        <v>0</v>
      </c>
      <c r="N217" s="561"/>
      <c r="O217" s="578">
        <f>SUM(O192,O200,O208,O216)</f>
        <v>0</v>
      </c>
      <c r="P217" s="579">
        <f>SUM(P192,P200,P208,P216)</f>
        <v>0</v>
      </c>
      <c r="Q217" s="580">
        <f>SUM(Q192,Q200,Q208,Q216)</f>
        <v>0</v>
      </c>
      <c r="R217" s="561"/>
      <c r="S217" s="653">
        <f>SUM(S192,S200,S208,S216)</f>
        <v>0</v>
      </c>
      <c r="T217" s="1376" t="str">
        <f>IF(Q217&lt;&gt;0,(S217-Q217)/Q217,"0")</f>
        <v>0</v>
      </c>
    </row>
    <row r="218" spans="2:20">
      <c r="C218" s="558"/>
      <c r="D218" s="558"/>
      <c r="E218" s="558"/>
      <c r="F218" s="558"/>
      <c r="G218" s="558"/>
      <c r="H218" s="558"/>
      <c r="I218" s="558"/>
      <c r="J218" s="558"/>
      <c r="K218" s="558"/>
      <c r="L218" s="558"/>
      <c r="M218" s="558"/>
      <c r="N218" s="558"/>
      <c r="O218" s="558"/>
      <c r="P218" s="558"/>
      <c r="Q218" s="558"/>
      <c r="R218" s="558"/>
      <c r="S218" s="558"/>
      <c r="T218" s="558"/>
    </row>
    <row r="219" spans="2:20">
      <c r="B219" s="1479" t="s">
        <v>316</v>
      </c>
      <c r="C219" s="1480"/>
      <c r="D219" s="581"/>
      <c r="E219" s="581"/>
      <c r="F219" s="581"/>
      <c r="G219" s="581"/>
      <c r="H219" s="581"/>
      <c r="I219" s="581"/>
      <c r="J219" s="581"/>
      <c r="K219" s="581"/>
      <c r="L219" s="581"/>
      <c r="M219" s="581"/>
      <c r="N219" s="561"/>
      <c r="O219" s="581"/>
      <c r="P219" s="581"/>
      <c r="Q219" s="581"/>
      <c r="R219" s="561"/>
      <c r="S219" s="581"/>
      <c r="T219" s="581"/>
    </row>
    <row r="220" spans="2:20" ht="13.5" thickBot="1">
      <c r="B220" s="1479"/>
      <c r="C220" s="1480"/>
      <c r="D220" s="581"/>
      <c r="E220" s="581"/>
      <c r="F220" s="581"/>
      <c r="G220" s="581"/>
      <c r="H220" s="581"/>
      <c r="I220" s="581"/>
      <c r="J220" s="581"/>
      <c r="K220" s="581"/>
      <c r="L220" s="581"/>
      <c r="M220" s="581"/>
      <c r="N220" s="561"/>
      <c r="O220" s="581"/>
      <c r="P220" s="581"/>
      <c r="Q220" s="581"/>
      <c r="R220" s="561"/>
      <c r="S220" s="581"/>
      <c r="T220" s="581"/>
    </row>
    <row r="221" spans="2:20">
      <c r="B221" s="1891" t="s">
        <v>851</v>
      </c>
      <c r="C221" s="1893" t="s">
        <v>31</v>
      </c>
      <c r="D221" s="1444" t="s">
        <v>116</v>
      </c>
      <c r="E221" s="1445"/>
      <c r="F221" s="1445"/>
      <c r="G221" s="1445"/>
      <c r="H221" s="562"/>
      <c r="I221" s="1445" t="s">
        <v>117</v>
      </c>
      <c r="J221" s="563"/>
      <c r="K221" s="563"/>
      <c r="L221" s="563"/>
      <c r="M221" s="562"/>
      <c r="N221" s="561"/>
      <c r="O221" s="1446" t="s">
        <v>116</v>
      </c>
      <c r="P221" s="1447"/>
      <c r="Q221" s="1448"/>
      <c r="R221" s="561"/>
      <c r="S221" s="1446" t="s">
        <v>117</v>
      </c>
      <c r="T221" s="1448"/>
    </row>
    <row r="222" spans="2:20">
      <c r="B222" s="1892"/>
      <c r="C222" s="1894"/>
      <c r="D222" s="1449" t="s">
        <v>32</v>
      </c>
      <c r="E222" s="1450" t="s">
        <v>33</v>
      </c>
      <c r="F222" s="1450" t="s">
        <v>29</v>
      </c>
      <c r="G222" s="1450" t="s">
        <v>34</v>
      </c>
      <c r="H222" s="1451" t="s">
        <v>35</v>
      </c>
      <c r="I222" s="1452" t="s">
        <v>118</v>
      </c>
      <c r="J222" s="1450" t="s">
        <v>136</v>
      </c>
      <c r="K222" s="1450" t="s">
        <v>137</v>
      </c>
      <c r="L222" s="1450" t="s">
        <v>138</v>
      </c>
      <c r="M222" s="1451" t="s">
        <v>139</v>
      </c>
      <c r="N222" s="561"/>
      <c r="O222" s="1453" t="s">
        <v>126</v>
      </c>
      <c r="P222" s="1454" t="s">
        <v>127</v>
      </c>
      <c r="Q222" s="1455" t="s">
        <v>245</v>
      </c>
      <c r="R222" s="561"/>
      <c r="S222" s="1453" t="s">
        <v>127</v>
      </c>
      <c r="T222" s="1455" t="s">
        <v>128</v>
      </c>
    </row>
    <row r="223" spans="2:20">
      <c r="B223" s="1541" t="s">
        <v>856</v>
      </c>
      <c r="C223" s="1542"/>
      <c r="D223" s="1494"/>
      <c r="E223" s="1495"/>
      <c r="F223" s="1495"/>
      <c r="G223" s="1495"/>
      <c r="H223" s="1496"/>
      <c r="I223" s="598"/>
      <c r="J223" s="598"/>
      <c r="K223" s="598"/>
      <c r="L223" s="598"/>
      <c r="M223" s="599"/>
      <c r="N223" s="561"/>
      <c r="O223" s="597"/>
      <c r="P223" s="598"/>
      <c r="Q223" s="599"/>
      <c r="R223" s="561"/>
      <c r="S223" s="597"/>
      <c r="T223" s="599"/>
    </row>
    <row r="224" spans="2:20">
      <c r="B224" s="1481" t="s">
        <v>665</v>
      </c>
      <c r="C224" s="582"/>
      <c r="D224" s="583"/>
      <c r="E224" s="584"/>
      <c r="F224" s="584"/>
      <c r="G224" s="584"/>
      <c r="H224" s="585"/>
      <c r="I224" s="584"/>
      <c r="J224" s="584"/>
      <c r="K224" s="584"/>
      <c r="L224" s="584"/>
      <c r="M224" s="585"/>
      <c r="N224" s="561"/>
      <c r="O224" s="586"/>
      <c r="P224" s="587"/>
      <c r="Q224" s="588"/>
      <c r="R224" s="561"/>
      <c r="S224" s="583"/>
      <c r="T224" s="585"/>
    </row>
    <row r="225" spans="2:20">
      <c r="B225" s="589" t="s">
        <v>266</v>
      </c>
      <c r="C225" s="1482" t="s">
        <v>14</v>
      </c>
      <c r="D225" s="629"/>
      <c r="E225" s="630"/>
      <c r="F225" s="630"/>
      <c r="G225" s="630"/>
      <c r="H225" s="631"/>
      <c r="I225" s="575"/>
      <c r="J225" s="577"/>
      <c r="K225" s="577"/>
      <c r="L225" s="577"/>
      <c r="M225" s="576"/>
      <c r="N225" s="561"/>
      <c r="O225" s="572"/>
      <c r="P225" s="573"/>
      <c r="Q225" s="574"/>
      <c r="R225" s="561"/>
      <c r="S225" s="572"/>
      <c r="T225" s="1474"/>
    </row>
    <row r="226" spans="2:20">
      <c r="B226" s="589" t="s">
        <v>267</v>
      </c>
      <c r="C226" s="1482" t="s">
        <v>14</v>
      </c>
      <c r="D226" s="629"/>
      <c r="E226" s="630"/>
      <c r="F226" s="630"/>
      <c r="G226" s="630"/>
      <c r="H226" s="631"/>
      <c r="I226" s="575"/>
      <c r="J226" s="577"/>
      <c r="K226" s="577"/>
      <c r="L226" s="577"/>
      <c r="M226" s="576"/>
      <c r="N226" s="561"/>
      <c r="O226" s="572"/>
      <c r="P226" s="573"/>
      <c r="Q226" s="574"/>
      <c r="R226" s="561"/>
      <c r="S226" s="572"/>
      <c r="T226" s="1474"/>
    </row>
    <row r="227" spans="2:20">
      <c r="B227" s="1489" t="s">
        <v>859</v>
      </c>
      <c r="C227" s="1482" t="s">
        <v>14</v>
      </c>
      <c r="D227" s="570"/>
      <c r="E227" s="575"/>
      <c r="F227" s="575"/>
      <c r="G227" s="575"/>
      <c r="H227" s="576"/>
      <c r="I227" s="590">
        <f>SUM(I225,I226)</f>
        <v>0</v>
      </c>
      <c r="J227" s="567">
        <f>SUM(J225,J226)</f>
        <v>0</v>
      </c>
      <c r="K227" s="567">
        <f>SUM(K225,K226)</f>
        <v>0</v>
      </c>
      <c r="L227" s="567">
        <f>SUM(L225,L226)</f>
        <v>0</v>
      </c>
      <c r="M227" s="568">
        <f>SUM(M225,M226)</f>
        <v>0</v>
      </c>
      <c r="N227" s="561"/>
      <c r="O227" s="566">
        <f>SUM(D227:G227)</f>
        <v>0</v>
      </c>
      <c r="P227" s="567">
        <f>SUM(H227)</f>
        <v>0</v>
      </c>
      <c r="Q227" s="568">
        <f>SUM(D227:H227)</f>
        <v>0</v>
      </c>
      <c r="R227" s="561"/>
      <c r="S227" s="566">
        <f>SUM(I227:M227)</f>
        <v>0</v>
      </c>
      <c r="T227" s="1367" t="str">
        <f>IF(Q227&lt;&gt;0,(S227-Q227)/Q227,"0")</f>
        <v>0</v>
      </c>
    </row>
    <row r="228" spans="2:20">
      <c r="B228" s="1481" t="s">
        <v>298</v>
      </c>
      <c r="C228" s="591"/>
      <c r="D228" s="592"/>
      <c r="E228" s="593"/>
      <c r="F228" s="593"/>
      <c r="G228" s="593"/>
      <c r="H228" s="594"/>
      <c r="I228" s="593"/>
      <c r="J228" s="593"/>
      <c r="K228" s="593"/>
      <c r="L228" s="593"/>
      <c r="M228" s="594"/>
      <c r="N228" s="561"/>
      <c r="O228" s="595"/>
      <c r="P228" s="593"/>
      <c r="Q228" s="594"/>
      <c r="R228" s="561"/>
      <c r="S228" s="592"/>
      <c r="T228" s="594"/>
    </row>
    <row r="229" spans="2:20">
      <c r="B229" s="589" t="s">
        <v>268</v>
      </c>
      <c r="C229" s="1482" t="s">
        <v>14</v>
      </c>
      <c r="D229" s="629"/>
      <c r="E229" s="630"/>
      <c r="F229" s="630"/>
      <c r="G229" s="630"/>
      <c r="H229" s="631"/>
      <c r="I229" s="575"/>
      <c r="J229" s="577"/>
      <c r="K229" s="577"/>
      <c r="L229" s="577"/>
      <c r="M229" s="576"/>
      <c r="N229" s="561"/>
      <c r="O229" s="572"/>
      <c r="P229" s="573"/>
      <c r="Q229" s="574"/>
      <c r="R229" s="561"/>
      <c r="S229" s="572"/>
      <c r="T229" s="1474"/>
    </row>
    <row r="230" spans="2:20">
      <c r="B230" s="589" t="s">
        <v>269</v>
      </c>
      <c r="C230" s="1482" t="s">
        <v>14</v>
      </c>
      <c r="D230" s="629"/>
      <c r="E230" s="630"/>
      <c r="F230" s="630"/>
      <c r="G230" s="630"/>
      <c r="H230" s="631"/>
      <c r="I230" s="575"/>
      <c r="J230" s="577"/>
      <c r="K230" s="577"/>
      <c r="L230" s="577"/>
      <c r="M230" s="576"/>
      <c r="N230" s="561"/>
      <c r="O230" s="572"/>
      <c r="P230" s="573"/>
      <c r="Q230" s="574"/>
      <c r="R230" s="561"/>
      <c r="S230" s="572"/>
      <c r="T230" s="1474"/>
    </row>
    <row r="231" spans="2:20">
      <c r="B231" s="1489" t="s">
        <v>860</v>
      </c>
      <c r="C231" s="1482" t="s">
        <v>14</v>
      </c>
      <c r="D231" s="570"/>
      <c r="E231" s="575"/>
      <c r="F231" s="575"/>
      <c r="G231" s="575"/>
      <c r="H231" s="576"/>
      <c r="I231" s="590">
        <f>SUM(I229,I230)</f>
        <v>0</v>
      </c>
      <c r="J231" s="567">
        <f>SUM(J229,J230)</f>
        <v>0</v>
      </c>
      <c r="K231" s="567">
        <f>SUM(K229,K230)</f>
        <v>0</v>
      </c>
      <c r="L231" s="567">
        <f>SUM(L229,L230)</f>
        <v>0</v>
      </c>
      <c r="M231" s="568">
        <f>SUM(M229,M230)</f>
        <v>0</v>
      </c>
      <c r="N231" s="561"/>
      <c r="O231" s="566">
        <f>SUM(D231:G231)</f>
        <v>0</v>
      </c>
      <c r="P231" s="567">
        <f>SUM(H231)</f>
        <v>0</v>
      </c>
      <c r="Q231" s="568">
        <f>SUM(D231:H231)</f>
        <v>0</v>
      </c>
      <c r="R231" s="561"/>
      <c r="S231" s="566">
        <f>SUM(I231:M231)</f>
        <v>0</v>
      </c>
      <c r="T231" s="1367" t="str">
        <f>IF(Q231&lt;&gt;0,(S231-Q231)/Q231,"0")</f>
        <v>0</v>
      </c>
    </row>
    <row r="232" spans="2:20">
      <c r="B232" s="1481" t="s">
        <v>303</v>
      </c>
      <c r="C232" s="591"/>
      <c r="D232" s="592"/>
      <c r="E232" s="593"/>
      <c r="F232" s="593"/>
      <c r="G232" s="593"/>
      <c r="H232" s="594"/>
      <c r="I232" s="593"/>
      <c r="J232" s="593"/>
      <c r="K232" s="593"/>
      <c r="L232" s="593"/>
      <c r="M232" s="594"/>
      <c r="N232" s="561"/>
      <c r="O232" s="592"/>
      <c r="P232" s="593"/>
      <c r="Q232" s="594"/>
      <c r="R232" s="561"/>
      <c r="S232" s="592"/>
      <c r="T232" s="594"/>
    </row>
    <row r="233" spans="2:20">
      <c r="B233" s="589" t="s">
        <v>270</v>
      </c>
      <c r="C233" s="1482" t="s">
        <v>14</v>
      </c>
      <c r="D233" s="629"/>
      <c r="E233" s="630"/>
      <c r="F233" s="630"/>
      <c r="G233" s="630"/>
      <c r="H233" s="631"/>
      <c r="I233" s="575"/>
      <c r="J233" s="577"/>
      <c r="K233" s="577"/>
      <c r="L233" s="577"/>
      <c r="M233" s="576"/>
      <c r="N233" s="561"/>
      <c r="O233" s="572"/>
      <c r="P233" s="573"/>
      <c r="Q233" s="574"/>
      <c r="R233" s="561"/>
      <c r="S233" s="572"/>
      <c r="T233" s="1474"/>
    </row>
    <row r="234" spans="2:20">
      <c r="B234" s="589" t="s">
        <v>271</v>
      </c>
      <c r="C234" s="1482" t="s">
        <v>14</v>
      </c>
      <c r="D234" s="629"/>
      <c r="E234" s="630"/>
      <c r="F234" s="630"/>
      <c r="G234" s="630"/>
      <c r="H234" s="631"/>
      <c r="I234" s="575"/>
      <c r="J234" s="577"/>
      <c r="K234" s="577"/>
      <c r="L234" s="577"/>
      <c r="M234" s="576"/>
      <c r="N234" s="561"/>
      <c r="O234" s="572"/>
      <c r="P234" s="573"/>
      <c r="Q234" s="574"/>
      <c r="R234" s="561"/>
      <c r="S234" s="572"/>
      <c r="T234" s="1474"/>
    </row>
    <row r="235" spans="2:20">
      <c r="B235" s="1489" t="s">
        <v>861</v>
      </c>
      <c r="C235" s="1482" t="s">
        <v>14</v>
      </c>
      <c r="D235" s="570"/>
      <c r="E235" s="575"/>
      <c r="F235" s="575"/>
      <c r="G235" s="575"/>
      <c r="H235" s="576"/>
      <c r="I235" s="590">
        <f>SUM(I233,I234)</f>
        <v>0</v>
      </c>
      <c r="J235" s="567">
        <f>SUM(J233,J234)</f>
        <v>0</v>
      </c>
      <c r="K235" s="567">
        <f>SUM(K233,K234)</f>
        <v>0</v>
      </c>
      <c r="L235" s="567">
        <f>SUM(L233,L234)</f>
        <v>0</v>
      </c>
      <c r="M235" s="568">
        <f>SUM(M233,M234)</f>
        <v>0</v>
      </c>
      <c r="N235" s="561"/>
      <c r="O235" s="566">
        <f>SUM(D235:G235)</f>
        <v>0</v>
      </c>
      <c r="P235" s="567">
        <f>SUM(H235)</f>
        <v>0</v>
      </c>
      <c r="Q235" s="568">
        <f>SUM(D235:H235)</f>
        <v>0</v>
      </c>
      <c r="R235" s="561"/>
      <c r="S235" s="566">
        <f>SUM(I235:M235)</f>
        <v>0</v>
      </c>
      <c r="T235" s="1367" t="str">
        <f>IF(Q235&lt;&gt;0,(S235-Q235)/Q235,"0")</f>
        <v>0</v>
      </c>
    </row>
    <row r="236" spans="2:20">
      <c r="B236" s="1481" t="s">
        <v>308</v>
      </c>
      <c r="C236" s="591"/>
      <c r="D236" s="592"/>
      <c r="E236" s="593"/>
      <c r="F236" s="593"/>
      <c r="G236" s="593"/>
      <c r="H236" s="594"/>
      <c r="I236" s="593"/>
      <c r="J236" s="593"/>
      <c r="K236" s="593"/>
      <c r="L236" s="593"/>
      <c r="M236" s="594"/>
      <c r="N236" s="561"/>
      <c r="O236" s="592"/>
      <c r="P236" s="593"/>
      <c r="Q236" s="594"/>
      <c r="R236" s="561"/>
      <c r="S236" s="592"/>
      <c r="T236" s="594"/>
    </row>
    <row r="237" spans="2:20">
      <c r="B237" s="589" t="s">
        <v>272</v>
      </c>
      <c r="C237" s="1482" t="s">
        <v>14</v>
      </c>
      <c r="D237" s="629"/>
      <c r="E237" s="630"/>
      <c r="F237" s="630"/>
      <c r="G237" s="630"/>
      <c r="H237" s="631"/>
      <c r="I237" s="575"/>
      <c r="J237" s="577"/>
      <c r="K237" s="577"/>
      <c r="L237" s="577"/>
      <c r="M237" s="576"/>
      <c r="N237" s="561"/>
      <c r="O237" s="572"/>
      <c r="P237" s="573"/>
      <c r="Q237" s="574"/>
      <c r="R237" s="561"/>
      <c r="S237" s="572"/>
      <c r="T237" s="1474"/>
    </row>
    <row r="238" spans="2:20">
      <c r="B238" s="589" t="s">
        <v>273</v>
      </c>
      <c r="C238" s="1482" t="s">
        <v>14</v>
      </c>
      <c r="D238" s="629"/>
      <c r="E238" s="630"/>
      <c r="F238" s="630"/>
      <c r="G238" s="630"/>
      <c r="H238" s="631"/>
      <c r="I238" s="575"/>
      <c r="J238" s="577"/>
      <c r="K238" s="577"/>
      <c r="L238" s="577"/>
      <c r="M238" s="576"/>
      <c r="N238" s="561"/>
      <c r="O238" s="572"/>
      <c r="P238" s="573"/>
      <c r="Q238" s="574"/>
      <c r="R238" s="561"/>
      <c r="S238" s="572"/>
      <c r="T238" s="1474"/>
    </row>
    <row r="239" spans="2:20">
      <c r="B239" s="1543" t="s">
        <v>694</v>
      </c>
      <c r="C239" s="1482" t="s">
        <v>14</v>
      </c>
      <c r="D239" s="647"/>
      <c r="E239" s="648"/>
      <c r="F239" s="648"/>
      <c r="G239" s="648"/>
      <c r="H239" s="649"/>
      <c r="I239" s="650">
        <f>SUM(I237,I238)</f>
        <v>0</v>
      </c>
      <c r="J239" s="651">
        <f>SUM(J237,J238)</f>
        <v>0</v>
      </c>
      <c r="K239" s="651">
        <f>SUM(K237,K238)</f>
        <v>0</v>
      </c>
      <c r="L239" s="651">
        <f>SUM(L237,L238)</f>
        <v>0</v>
      </c>
      <c r="M239" s="652">
        <f>SUM(M237,M238)</f>
        <v>0</v>
      </c>
      <c r="N239" s="561"/>
      <c r="O239" s="566">
        <f>SUM(D239:G239)</f>
        <v>0</v>
      </c>
      <c r="P239" s="567">
        <f>SUM(H239)</f>
        <v>0</v>
      </c>
      <c r="Q239" s="568">
        <f>SUM(D239:H239)</f>
        <v>0</v>
      </c>
      <c r="R239" s="561"/>
      <c r="S239" s="566">
        <f>SUM(I239:M239)</f>
        <v>0</v>
      </c>
      <c r="T239" s="1367" t="str">
        <f>IF(Q239&lt;&gt;0,(S239-Q239)/Q239,"0")</f>
        <v>0</v>
      </c>
    </row>
    <row r="240" spans="2:20" ht="13.5" thickBot="1">
      <c r="B240" s="1544" t="s">
        <v>317</v>
      </c>
      <c r="C240" s="1545"/>
      <c r="D240" s="1546">
        <f t="shared" ref="D240:M240" si="25">SUM(D227,D231,D235,D239)</f>
        <v>0</v>
      </c>
      <c r="E240" s="1546">
        <f t="shared" si="25"/>
        <v>0</v>
      </c>
      <c r="F240" s="1546">
        <f t="shared" si="25"/>
        <v>0</v>
      </c>
      <c r="G240" s="1546">
        <f t="shared" si="25"/>
        <v>0</v>
      </c>
      <c r="H240" s="1546">
        <f t="shared" si="25"/>
        <v>0</v>
      </c>
      <c r="I240" s="1549">
        <f t="shared" si="25"/>
        <v>0</v>
      </c>
      <c r="J240" s="1549">
        <f t="shared" si="25"/>
        <v>0</v>
      </c>
      <c r="K240" s="1549">
        <f t="shared" si="25"/>
        <v>0</v>
      </c>
      <c r="L240" s="1549">
        <f t="shared" si="25"/>
        <v>0</v>
      </c>
      <c r="M240" s="1550">
        <f t="shared" si="25"/>
        <v>0</v>
      </c>
      <c r="N240" s="561"/>
      <c r="O240" s="578">
        <f>SUM(O227,O231,O235,O239)</f>
        <v>0</v>
      </c>
      <c r="P240" s="579">
        <f>SUM(P227,P231,P235,P239)</f>
        <v>0</v>
      </c>
      <c r="Q240" s="580">
        <f>SUM(Q227,Q231,Q235,Q239)</f>
        <v>0</v>
      </c>
      <c r="R240" s="561"/>
      <c r="S240" s="578">
        <f>SUM(S227,S231,S235,S239)</f>
        <v>0</v>
      </c>
      <c r="T240" s="1376" t="str">
        <f>IF(Q240&lt;&gt;0,(S240-Q240)/Q240,"0")</f>
        <v>0</v>
      </c>
    </row>
    <row r="241" spans="2:20">
      <c r="N241" s="561"/>
      <c r="R241" s="561"/>
    </row>
    <row r="243" spans="2:20">
      <c r="B243" s="1479" t="s">
        <v>318</v>
      </c>
      <c r="C243" s="1480"/>
      <c r="D243" s="581"/>
      <c r="E243" s="581"/>
      <c r="F243" s="581"/>
      <c r="G243" s="581"/>
      <c r="H243" s="581"/>
      <c r="I243" s="581"/>
      <c r="J243" s="581"/>
      <c r="K243" s="581"/>
      <c r="L243" s="581"/>
      <c r="M243" s="581"/>
      <c r="N243" s="561"/>
      <c r="O243" s="581"/>
      <c r="P243" s="581"/>
      <c r="Q243" s="581"/>
      <c r="R243" s="561"/>
      <c r="S243" s="581"/>
      <c r="T243" s="581"/>
    </row>
    <row r="244" spans="2:20" ht="13.5" thickBot="1">
      <c r="B244" s="1479"/>
      <c r="C244" s="1480"/>
      <c r="D244" s="581"/>
      <c r="E244" s="581"/>
      <c r="F244" s="581"/>
      <c r="G244" s="581"/>
      <c r="H244" s="581"/>
      <c r="I244" s="581"/>
      <c r="J244" s="581"/>
      <c r="K244" s="581"/>
      <c r="L244" s="581"/>
      <c r="M244" s="581"/>
      <c r="N244" s="561"/>
      <c r="O244" s="581"/>
      <c r="P244" s="581"/>
      <c r="Q244" s="581"/>
      <c r="R244" s="561"/>
      <c r="S244" s="581"/>
      <c r="T244" s="581"/>
    </row>
    <row r="245" spans="2:20">
      <c r="B245" s="1891" t="s">
        <v>140</v>
      </c>
      <c r="C245" s="1893" t="s">
        <v>31</v>
      </c>
      <c r="D245" s="1444" t="s">
        <v>116</v>
      </c>
      <c r="E245" s="1445"/>
      <c r="F245" s="1445"/>
      <c r="G245" s="1445"/>
      <c r="H245" s="562"/>
      <c r="I245" s="1445" t="s">
        <v>117</v>
      </c>
      <c r="J245" s="563"/>
      <c r="K245" s="563"/>
      <c r="L245" s="563"/>
      <c r="M245" s="562"/>
      <c r="N245" s="561"/>
      <c r="O245" s="1446" t="s">
        <v>116</v>
      </c>
      <c r="P245" s="1447"/>
      <c r="Q245" s="1448"/>
      <c r="R245" s="561"/>
      <c r="S245" s="1446" t="s">
        <v>117</v>
      </c>
      <c r="T245" s="1448"/>
    </row>
    <row r="246" spans="2:20">
      <c r="B246" s="1892"/>
      <c r="C246" s="1894"/>
      <c r="D246" s="1449" t="s">
        <v>32</v>
      </c>
      <c r="E246" s="1450" t="s">
        <v>33</v>
      </c>
      <c r="F246" s="1450" t="s">
        <v>29</v>
      </c>
      <c r="G246" s="1450" t="s">
        <v>34</v>
      </c>
      <c r="H246" s="1451" t="s">
        <v>35</v>
      </c>
      <c r="I246" s="1452" t="s">
        <v>118</v>
      </c>
      <c r="J246" s="1450" t="s">
        <v>136</v>
      </c>
      <c r="K246" s="1450" t="s">
        <v>137</v>
      </c>
      <c r="L246" s="1450" t="s">
        <v>138</v>
      </c>
      <c r="M246" s="1451" t="s">
        <v>139</v>
      </c>
      <c r="N246" s="561"/>
      <c r="O246" s="1453" t="s">
        <v>126</v>
      </c>
      <c r="P246" s="1454" t="s">
        <v>127</v>
      </c>
      <c r="Q246" s="1455" t="s">
        <v>245</v>
      </c>
      <c r="R246" s="561"/>
      <c r="S246" s="1453" t="s">
        <v>127</v>
      </c>
      <c r="T246" s="1455" t="s">
        <v>128</v>
      </c>
    </row>
    <row r="247" spans="2:20">
      <c r="B247" s="1481" t="s">
        <v>141</v>
      </c>
      <c r="C247" s="582"/>
      <c r="D247" s="583"/>
      <c r="E247" s="584"/>
      <c r="F247" s="584"/>
      <c r="G247" s="584"/>
      <c r="H247" s="585"/>
      <c r="I247" s="584"/>
      <c r="J247" s="584"/>
      <c r="K247" s="584"/>
      <c r="L247" s="584"/>
      <c r="M247" s="585"/>
      <c r="N247" s="561"/>
      <c r="O247" s="654"/>
      <c r="P247" s="655"/>
      <c r="Q247" s="656"/>
      <c r="R247" s="561"/>
      <c r="S247" s="657"/>
      <c r="T247" s="658"/>
    </row>
    <row r="248" spans="2:20">
      <c r="B248" s="589" t="s">
        <v>266</v>
      </c>
      <c r="C248" s="1482" t="s">
        <v>14</v>
      </c>
      <c r="D248" s="629"/>
      <c r="E248" s="630"/>
      <c r="F248" s="630"/>
      <c r="G248" s="630"/>
      <c r="H248" s="631"/>
      <c r="I248" s="575"/>
      <c r="J248" s="577"/>
      <c r="K248" s="577"/>
      <c r="L248" s="577"/>
      <c r="M248" s="576"/>
      <c r="N248" s="561"/>
      <c r="O248" s="572"/>
      <c r="P248" s="573"/>
      <c r="Q248" s="574"/>
      <c r="R248" s="561"/>
      <c r="S248" s="572"/>
      <c r="T248" s="1474"/>
    </row>
    <row r="249" spans="2:20">
      <c r="B249" s="589" t="s">
        <v>267</v>
      </c>
      <c r="C249" s="1482"/>
      <c r="D249" s="629"/>
      <c r="E249" s="630"/>
      <c r="F249" s="630"/>
      <c r="G249" s="630"/>
      <c r="H249" s="631"/>
      <c r="I249" s="575"/>
      <c r="J249" s="577"/>
      <c r="K249" s="577"/>
      <c r="L249" s="577"/>
      <c r="M249" s="576"/>
      <c r="N249" s="561"/>
      <c r="O249" s="572"/>
      <c r="P249" s="573"/>
      <c r="Q249" s="574"/>
      <c r="R249" s="561"/>
      <c r="S249" s="572"/>
      <c r="T249" s="1474"/>
    </row>
    <row r="250" spans="2:20">
      <c r="B250" s="1489" t="s">
        <v>859</v>
      </c>
      <c r="C250" s="1482" t="s">
        <v>14</v>
      </c>
      <c r="D250" s="570"/>
      <c r="E250" s="575"/>
      <c r="F250" s="575"/>
      <c r="G250" s="575"/>
      <c r="H250" s="576"/>
      <c r="I250" s="590">
        <f>SUM(I248:I249)</f>
        <v>0</v>
      </c>
      <c r="J250" s="567">
        <f>SUM(J248:J249)</f>
        <v>0</v>
      </c>
      <c r="K250" s="567">
        <f>SUM(K248:K249)</f>
        <v>0</v>
      </c>
      <c r="L250" s="567">
        <f>SUM(L248:L249)</f>
        <v>0</v>
      </c>
      <c r="M250" s="568">
        <f>SUM(M248:M249)</f>
        <v>0</v>
      </c>
      <c r="N250" s="561"/>
      <c r="O250" s="566">
        <f>SUM(D250:G250)</f>
        <v>0</v>
      </c>
      <c r="P250" s="567">
        <f>SUM(H250)</f>
        <v>0</v>
      </c>
      <c r="Q250" s="568">
        <f>SUM(D250:H250)</f>
        <v>0</v>
      </c>
      <c r="R250" s="561"/>
      <c r="S250" s="566">
        <f>SUM(I250:M250)</f>
        <v>0</v>
      </c>
      <c r="T250" s="1367" t="str">
        <f>IF(Q250&lt;&gt;0,(S250-Q250)/Q250,"0")</f>
        <v>0</v>
      </c>
    </row>
    <row r="251" spans="2:20">
      <c r="B251" s="1481" t="s">
        <v>319</v>
      </c>
      <c r="C251" s="591"/>
      <c r="D251" s="592"/>
      <c r="E251" s="593"/>
      <c r="F251" s="593"/>
      <c r="G251" s="593"/>
      <c r="H251" s="594"/>
      <c r="I251" s="593"/>
      <c r="J251" s="593"/>
      <c r="K251" s="593"/>
      <c r="L251" s="593"/>
      <c r="M251" s="594"/>
      <c r="N251" s="561"/>
      <c r="O251" s="657"/>
      <c r="P251" s="655"/>
      <c r="Q251" s="656"/>
      <c r="R251" s="561"/>
      <c r="S251" s="654"/>
      <c r="T251" s="656"/>
    </row>
    <row r="252" spans="2:20">
      <c r="B252" s="589" t="s">
        <v>268</v>
      </c>
      <c r="C252" s="1482" t="s">
        <v>14</v>
      </c>
      <c r="D252" s="629"/>
      <c r="E252" s="630"/>
      <c r="F252" s="630"/>
      <c r="G252" s="630"/>
      <c r="H252" s="631"/>
      <c r="I252" s="575"/>
      <c r="J252" s="577"/>
      <c r="K252" s="577"/>
      <c r="L252" s="577"/>
      <c r="M252" s="576"/>
      <c r="N252" s="561"/>
      <c r="O252" s="572"/>
      <c r="P252" s="573"/>
      <c r="Q252" s="574"/>
      <c r="R252" s="561"/>
      <c r="S252" s="572"/>
      <c r="T252" s="1474"/>
    </row>
    <row r="253" spans="2:20">
      <c r="B253" s="589" t="s">
        <v>269</v>
      </c>
      <c r="C253" s="1482" t="s">
        <v>14</v>
      </c>
      <c r="D253" s="629"/>
      <c r="E253" s="630"/>
      <c r="F253" s="630"/>
      <c r="G253" s="630"/>
      <c r="H253" s="631"/>
      <c r="I253" s="575"/>
      <c r="J253" s="577"/>
      <c r="K253" s="577"/>
      <c r="L253" s="577"/>
      <c r="M253" s="576"/>
      <c r="N253" s="561"/>
      <c r="O253" s="572"/>
      <c r="P253" s="573"/>
      <c r="Q253" s="574"/>
      <c r="R253" s="561"/>
      <c r="S253" s="572"/>
      <c r="T253" s="1474"/>
    </row>
    <row r="254" spans="2:20">
      <c r="B254" s="1489" t="s">
        <v>860</v>
      </c>
      <c r="C254" s="1482" t="s">
        <v>14</v>
      </c>
      <c r="D254" s="570"/>
      <c r="E254" s="575"/>
      <c r="F254" s="575"/>
      <c r="G254" s="575"/>
      <c r="H254" s="576"/>
      <c r="I254" s="590">
        <f>SUM(I252:I253)</f>
        <v>0</v>
      </c>
      <c r="J254" s="567">
        <f>SUM(J252:J253)</f>
        <v>0</v>
      </c>
      <c r="K254" s="567">
        <f>SUM(K252:K253)</f>
        <v>0</v>
      </c>
      <c r="L254" s="567">
        <f>SUM(L252:L253)</f>
        <v>0</v>
      </c>
      <c r="M254" s="568">
        <f>SUM(M252:M253)</f>
        <v>0</v>
      </c>
      <c r="N254" s="561"/>
      <c r="O254" s="566">
        <f>SUM(D254:G254)</f>
        <v>0</v>
      </c>
      <c r="P254" s="567">
        <f>SUM(H254)</f>
        <v>0</v>
      </c>
      <c r="Q254" s="568">
        <f>SUM(D254:H254)</f>
        <v>0</v>
      </c>
      <c r="R254" s="561"/>
      <c r="S254" s="566">
        <f>SUM(I254:M254)</f>
        <v>0</v>
      </c>
      <c r="T254" s="1367" t="str">
        <f>IF(Q254&lt;&gt;0,(S254-Q254)/Q254,"0")</f>
        <v>0</v>
      </c>
    </row>
    <row r="255" spans="2:20">
      <c r="B255" s="1481" t="s">
        <v>320</v>
      </c>
      <c r="C255" s="591"/>
      <c r="D255" s="592"/>
      <c r="E255" s="593"/>
      <c r="F255" s="593"/>
      <c r="G255" s="593"/>
      <c r="H255" s="594"/>
      <c r="I255" s="593"/>
      <c r="J255" s="593"/>
      <c r="K255" s="593"/>
      <c r="L255" s="593"/>
      <c r="M255" s="594"/>
      <c r="N255" s="561"/>
      <c r="O255" s="654"/>
      <c r="P255" s="655"/>
      <c r="Q255" s="656"/>
      <c r="R255" s="561"/>
      <c r="S255" s="654"/>
      <c r="T255" s="656"/>
    </row>
    <row r="256" spans="2:20">
      <c r="B256" s="589" t="s">
        <v>270</v>
      </c>
      <c r="C256" s="1482" t="s">
        <v>14</v>
      </c>
      <c r="D256" s="629"/>
      <c r="E256" s="630"/>
      <c r="F256" s="630"/>
      <c r="G256" s="630"/>
      <c r="H256" s="631"/>
      <c r="I256" s="575"/>
      <c r="J256" s="577"/>
      <c r="K256" s="577"/>
      <c r="L256" s="577"/>
      <c r="M256" s="576"/>
      <c r="N256" s="561"/>
      <c r="O256" s="572"/>
      <c r="P256" s="573"/>
      <c r="Q256" s="574"/>
      <c r="R256" s="561"/>
      <c r="S256" s="572"/>
      <c r="T256" s="1474"/>
    </row>
    <row r="257" spans="1:20">
      <c r="B257" s="589" t="s">
        <v>271</v>
      </c>
      <c r="C257" s="1482" t="s">
        <v>14</v>
      </c>
      <c r="D257" s="629"/>
      <c r="E257" s="630"/>
      <c r="F257" s="630"/>
      <c r="G257" s="630"/>
      <c r="H257" s="631"/>
      <c r="I257" s="575"/>
      <c r="J257" s="577"/>
      <c r="K257" s="577"/>
      <c r="L257" s="577"/>
      <c r="M257" s="576"/>
      <c r="N257" s="561"/>
      <c r="O257" s="572"/>
      <c r="P257" s="573"/>
      <c r="Q257" s="574"/>
      <c r="R257" s="561"/>
      <c r="S257" s="572"/>
      <c r="T257" s="1474"/>
    </row>
    <row r="258" spans="1:20">
      <c r="B258" s="1489" t="s">
        <v>861</v>
      </c>
      <c r="C258" s="1482" t="s">
        <v>14</v>
      </c>
      <c r="D258" s="570"/>
      <c r="E258" s="575"/>
      <c r="F258" s="575"/>
      <c r="G258" s="575"/>
      <c r="H258" s="576"/>
      <c r="I258" s="590">
        <f>SUM(I256:I257)</f>
        <v>0</v>
      </c>
      <c r="J258" s="567">
        <f>SUM(J256:J257)</f>
        <v>0</v>
      </c>
      <c r="K258" s="567">
        <f>SUM(K256:K257)</f>
        <v>0</v>
      </c>
      <c r="L258" s="567">
        <f>SUM(L256:L257)</f>
        <v>0</v>
      </c>
      <c r="M258" s="568">
        <f>SUM(M256:M257)</f>
        <v>0</v>
      </c>
      <c r="N258" s="561"/>
      <c r="O258" s="566">
        <f>SUM(D258:G258)</f>
        <v>0</v>
      </c>
      <c r="P258" s="567">
        <f>SUM(H258)</f>
        <v>0</v>
      </c>
      <c r="Q258" s="568">
        <f>SUM(D258:H258)</f>
        <v>0</v>
      </c>
      <c r="R258" s="561"/>
      <c r="S258" s="566">
        <f>SUM(I258:M258)</f>
        <v>0</v>
      </c>
      <c r="T258" s="1367" t="str">
        <f>IF(Q258&lt;&gt;0,(S258-Q258)/Q258,"0")</f>
        <v>0</v>
      </c>
    </row>
    <row r="259" spans="1:20">
      <c r="B259" s="1481" t="s">
        <v>321</v>
      </c>
      <c r="C259" s="591"/>
      <c r="D259" s="592"/>
      <c r="E259" s="593"/>
      <c r="F259" s="593"/>
      <c r="G259" s="593"/>
      <c r="H259" s="594"/>
      <c r="I259" s="593"/>
      <c r="J259" s="593"/>
      <c r="K259" s="593"/>
      <c r="L259" s="593"/>
      <c r="M259" s="594"/>
      <c r="N259" s="561"/>
      <c r="O259" s="654"/>
      <c r="P259" s="655"/>
      <c r="Q259" s="656"/>
      <c r="R259" s="561"/>
      <c r="S259" s="654"/>
      <c r="T259" s="656"/>
    </row>
    <row r="260" spans="1:20">
      <c r="B260" s="589" t="s">
        <v>272</v>
      </c>
      <c r="C260" s="1482" t="s">
        <v>14</v>
      </c>
      <c r="D260" s="629"/>
      <c r="E260" s="630"/>
      <c r="F260" s="630"/>
      <c r="G260" s="630"/>
      <c r="H260" s="631"/>
      <c r="I260" s="575"/>
      <c r="J260" s="577"/>
      <c r="K260" s="577"/>
      <c r="L260" s="577"/>
      <c r="M260" s="576"/>
      <c r="N260" s="561"/>
      <c r="O260" s="572"/>
      <c r="P260" s="573"/>
      <c r="Q260" s="574"/>
      <c r="R260" s="561"/>
      <c r="S260" s="572"/>
      <c r="T260" s="1474"/>
    </row>
    <row r="261" spans="1:20">
      <c r="B261" s="589" t="s">
        <v>273</v>
      </c>
      <c r="C261" s="1482" t="s">
        <v>14</v>
      </c>
      <c r="D261" s="629"/>
      <c r="E261" s="630"/>
      <c r="F261" s="630"/>
      <c r="G261" s="630"/>
      <c r="H261" s="631"/>
      <c r="I261" s="575"/>
      <c r="J261" s="577"/>
      <c r="K261" s="577"/>
      <c r="L261" s="577"/>
      <c r="M261" s="576"/>
      <c r="N261" s="561"/>
      <c r="O261" s="572"/>
      <c r="P261" s="573"/>
      <c r="Q261" s="574"/>
      <c r="R261" s="561"/>
      <c r="S261" s="572"/>
      <c r="T261" s="1474"/>
    </row>
    <row r="262" spans="1:20">
      <c r="B262" s="1543" t="s">
        <v>694</v>
      </c>
      <c r="C262" s="1482" t="s">
        <v>14</v>
      </c>
      <c r="D262" s="647"/>
      <c r="E262" s="648"/>
      <c r="F262" s="648"/>
      <c r="G262" s="648"/>
      <c r="H262" s="649"/>
      <c r="I262" s="650">
        <f>SUM(I260:I261)</f>
        <v>0</v>
      </c>
      <c r="J262" s="651">
        <f>SUM(J260:J261)</f>
        <v>0</v>
      </c>
      <c r="K262" s="651">
        <f>SUM(K260:K261)</f>
        <v>0</v>
      </c>
      <c r="L262" s="651">
        <f>SUM(L260:L261)</f>
        <v>0</v>
      </c>
      <c r="M262" s="652">
        <f>SUM(M260:M261)</f>
        <v>0</v>
      </c>
      <c r="N262" s="561"/>
      <c r="O262" s="566">
        <f>SUM(D262:G262)</f>
        <v>0</v>
      </c>
      <c r="P262" s="567">
        <f>SUM(H262)</f>
        <v>0</v>
      </c>
      <c r="Q262" s="568">
        <f>SUM(D262:H262)</f>
        <v>0</v>
      </c>
      <c r="R262" s="561"/>
      <c r="S262" s="566">
        <f>SUM(I262:M262)</f>
        <v>0</v>
      </c>
      <c r="T262" s="1367" t="str">
        <f>IF(Q262&lt;&gt;0,(S262-Q262)/Q262,"0")</f>
        <v>0</v>
      </c>
    </row>
    <row r="263" spans="1:20" ht="13.5" thickBot="1">
      <c r="B263" s="1551" t="s">
        <v>322</v>
      </c>
      <c r="C263" s="1545"/>
      <c r="D263" s="1546">
        <f t="shared" ref="D263:M263" si="26">SUM(D250,D254,D258,D262)</f>
        <v>0</v>
      </c>
      <c r="E263" s="1546">
        <f t="shared" si="26"/>
        <v>0</v>
      </c>
      <c r="F263" s="1546">
        <f t="shared" si="26"/>
        <v>0</v>
      </c>
      <c r="G263" s="1546">
        <f t="shared" si="26"/>
        <v>0</v>
      </c>
      <c r="H263" s="1546">
        <f t="shared" si="26"/>
        <v>0</v>
      </c>
      <c r="I263" s="1547">
        <f t="shared" si="26"/>
        <v>0</v>
      </c>
      <c r="J263" s="1547">
        <f t="shared" si="26"/>
        <v>0</v>
      </c>
      <c r="K263" s="1547">
        <f t="shared" si="26"/>
        <v>0</v>
      </c>
      <c r="L263" s="1547">
        <f t="shared" si="26"/>
        <v>0</v>
      </c>
      <c r="M263" s="1548">
        <f t="shared" si="26"/>
        <v>0</v>
      </c>
      <c r="N263" s="561"/>
      <c r="O263" s="578">
        <f>SUM(O250,O254,O258,O262)</f>
        <v>0</v>
      </c>
      <c r="P263" s="579">
        <f>SUM(P250,P254,P258,P262)</f>
        <v>0</v>
      </c>
      <c r="Q263" s="580">
        <f>SUM(Q250,Q254,Q258,Q262)</f>
        <v>0</v>
      </c>
      <c r="R263" s="561"/>
      <c r="S263" s="578">
        <f>SUM(S250,S254,S258,S262)</f>
        <v>0</v>
      </c>
      <c r="T263" s="1376" t="str">
        <f>IF(Q263&lt;&gt;0,(S263-Q263)/Q263,"0")</f>
        <v>0</v>
      </c>
    </row>
    <row r="266" spans="1:20">
      <c r="D266" s="661">
        <f>SUM(D240:M240) - SUM(D263:M263)</f>
        <v>0</v>
      </c>
    </row>
    <row r="267" spans="1:20">
      <c r="A267" s="659"/>
      <c r="B267" s="1552"/>
      <c r="C267" s="660"/>
      <c r="D267" s="602"/>
      <c r="E267" s="602"/>
      <c r="F267" s="602"/>
      <c r="G267" s="602"/>
      <c r="H267" s="602"/>
      <c r="I267" s="602"/>
      <c r="J267" s="602"/>
      <c r="K267" s="602"/>
      <c r="L267" s="602"/>
      <c r="M267" s="602"/>
      <c r="N267" s="602"/>
    </row>
  </sheetData>
  <mergeCells count="18">
    <mergeCell ref="B26:B27"/>
    <mergeCell ref="C26:C27"/>
    <mergeCell ref="C18:C19"/>
    <mergeCell ref="C8:C9"/>
    <mergeCell ref="B48:B49"/>
    <mergeCell ref="C48:C49"/>
    <mergeCell ref="C79:C80"/>
    <mergeCell ref="B79:B80"/>
    <mergeCell ref="B110:B111"/>
    <mergeCell ref="C110:C111"/>
    <mergeCell ref="B143:B144"/>
    <mergeCell ref="C143:C144"/>
    <mergeCell ref="B182:B183"/>
    <mergeCell ref="C182:C183"/>
    <mergeCell ref="B221:B222"/>
    <mergeCell ref="C221:C222"/>
    <mergeCell ref="B245:B246"/>
    <mergeCell ref="C245:C246"/>
  </mergeCells>
  <phoneticPr fontId="43" type="noConversion"/>
  <printOptions gridLines="1"/>
  <pageMargins left="0.70866141732283472" right="0.70866141732283472" top="0.74803149606299213" bottom="0.74803149606299213" header="0.31496062992125984" footer="0.31496062992125984"/>
  <pageSetup paperSize="8" scale="32" orientation="portrait"/>
  <headerFooter alignWithMargins="0">
    <oddHeader>&amp;R&amp;A</oddHeader>
    <oddFooter>&amp;L&amp;Z&amp;F&amp;R&amp;D&amp;T</oddFooter>
  </headerFooter>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tabColor rgb="FFC1DFFF"/>
  </sheetPr>
  <dimension ref="A1:AQ126"/>
  <sheetViews>
    <sheetView topLeftCell="A5" workbookViewId="0">
      <selection activeCell="A5" sqref="A1:XFD1048576"/>
    </sheetView>
  </sheetViews>
  <sheetFormatPr defaultRowHeight="12.75"/>
  <cols>
    <col min="1" max="1" width="9.5703125" style="231" customWidth="1"/>
    <col min="2" max="2" width="4.7109375" style="231" customWidth="1"/>
    <col min="3" max="3" width="39" style="231" customWidth="1"/>
    <col min="4" max="13" width="11" style="231" customWidth="1"/>
    <col min="14" max="36" width="15.42578125" style="231" customWidth="1"/>
    <col min="37" max="37" width="109.28515625" style="231" customWidth="1"/>
    <col min="38" max="16384" width="9.140625" style="231"/>
  </cols>
  <sheetData>
    <row r="1" spans="1:36" s="719" customFormat="1" ht="26.25">
      <c r="A1" s="662" t="s">
        <v>167</v>
      </c>
      <c r="D1" s="662"/>
      <c r="E1" s="720"/>
      <c r="F1" s="721"/>
      <c r="G1" s="721"/>
      <c r="I1" s="722"/>
      <c r="J1" s="722"/>
      <c r="L1" s="722"/>
    </row>
    <row r="2" spans="1:36" s="719" customFormat="1" ht="18">
      <c r="A2" s="723" t="s">
        <v>168</v>
      </c>
      <c r="E2" s="724"/>
    </row>
    <row r="3" spans="1:36" s="726" customFormat="1" ht="18.75" thickBot="1">
      <c r="A3" s="725" t="s">
        <v>735</v>
      </c>
      <c r="D3" s="725"/>
      <c r="E3" s="727"/>
    </row>
    <row r="5" spans="1:36" s="980" customFormat="1" ht="15.75" customHeight="1">
      <c r="B5" s="1350" t="s">
        <v>736</v>
      </c>
      <c r="C5" s="1350"/>
    </row>
    <row r="6" spans="1:36" ht="13.5" thickBot="1">
      <c r="B6" s="1377"/>
      <c r="C6" s="1377"/>
    </row>
    <row r="7" spans="1:36" ht="15.75" customHeight="1">
      <c r="B7" s="1377"/>
      <c r="C7" s="1911"/>
      <c r="D7" s="1351" t="s">
        <v>116</v>
      </c>
      <c r="E7" s="1352"/>
      <c r="F7" s="1352"/>
      <c r="G7" s="1352"/>
      <c r="H7" s="292"/>
      <c r="I7" s="1352" t="s">
        <v>117</v>
      </c>
      <c r="J7" s="293"/>
      <c r="K7" s="293"/>
      <c r="L7" s="293"/>
      <c r="M7" s="292"/>
      <c r="N7" s="235"/>
      <c r="O7" s="1901" t="s">
        <v>116</v>
      </c>
      <c r="P7" s="1916"/>
      <c r="Q7" s="1902"/>
      <c r="R7" s="295"/>
      <c r="S7" s="1901" t="s">
        <v>117</v>
      </c>
      <c r="T7" s="1902"/>
      <c r="U7" s="1553"/>
      <c r="W7" s="1554"/>
      <c r="X7" s="1554"/>
      <c r="Y7" s="1554"/>
      <c r="Z7" s="1554"/>
      <c r="AA7" s="1554"/>
      <c r="AB7" s="1554"/>
      <c r="AC7" s="1554"/>
      <c r="AD7" s="1554"/>
      <c r="AE7" s="1554"/>
      <c r="AF7" s="1554"/>
      <c r="AG7" s="1554"/>
      <c r="AH7" s="1554"/>
      <c r="AI7" s="1554"/>
      <c r="AJ7" s="1554"/>
    </row>
    <row r="8" spans="1:36" ht="15.75" customHeight="1">
      <c r="C8" s="1912"/>
      <c r="D8" s="1360" t="s">
        <v>32</v>
      </c>
      <c r="E8" s="1361" t="s">
        <v>33</v>
      </c>
      <c r="F8" s="1361" t="s">
        <v>29</v>
      </c>
      <c r="G8" s="1361" t="s">
        <v>34</v>
      </c>
      <c r="H8" s="1362" t="s">
        <v>35</v>
      </c>
      <c r="I8" s="1555" t="s">
        <v>118</v>
      </c>
      <c r="J8" s="1361" t="s">
        <v>136</v>
      </c>
      <c r="K8" s="1361" t="s">
        <v>137</v>
      </c>
      <c r="L8" s="1361" t="s">
        <v>138</v>
      </c>
      <c r="M8" s="1362" t="s">
        <v>139</v>
      </c>
      <c r="N8" s="235"/>
      <c r="O8" s="1556" t="s">
        <v>126</v>
      </c>
      <c r="P8" s="1557" t="s">
        <v>127</v>
      </c>
      <c r="Q8" s="1558" t="s">
        <v>245</v>
      </c>
      <c r="R8" s="295"/>
      <c r="S8" s="1556" t="s">
        <v>127</v>
      </c>
      <c r="T8" s="1558" t="s">
        <v>128</v>
      </c>
      <c r="U8" s="1553"/>
      <c r="W8" s="1559"/>
      <c r="X8" s="1559"/>
      <c r="Y8" s="1559"/>
      <c r="Z8" s="1559"/>
      <c r="AA8" s="1559"/>
      <c r="AB8" s="1559"/>
      <c r="AC8" s="1559"/>
      <c r="AD8" s="1559"/>
      <c r="AE8" s="1559"/>
      <c r="AF8" s="1559"/>
      <c r="AG8" s="1559"/>
      <c r="AH8" s="1559"/>
      <c r="AI8" s="1559"/>
      <c r="AJ8" s="1559"/>
    </row>
    <row r="9" spans="1:36" ht="15.75" customHeight="1">
      <c r="C9" s="1913"/>
      <c r="D9" s="1560" t="s">
        <v>729</v>
      </c>
      <c r="E9" s="1561" t="s">
        <v>729</v>
      </c>
      <c r="F9" s="1561" t="s">
        <v>729</v>
      </c>
      <c r="G9" s="1561" t="s">
        <v>729</v>
      </c>
      <c r="H9" s="1562" t="s">
        <v>729</v>
      </c>
      <c r="I9" s="1563" t="s">
        <v>729</v>
      </c>
      <c r="J9" s="1561" t="s">
        <v>729</v>
      </c>
      <c r="K9" s="1561" t="s">
        <v>729</v>
      </c>
      <c r="L9" s="1561" t="s">
        <v>729</v>
      </c>
      <c r="M9" s="1562" t="s">
        <v>729</v>
      </c>
      <c r="N9" s="301"/>
      <c r="O9" s="1560" t="s">
        <v>729</v>
      </c>
      <c r="P9" s="1561" t="s">
        <v>729</v>
      </c>
      <c r="Q9" s="1562" t="s">
        <v>729</v>
      </c>
      <c r="R9" s="295"/>
      <c r="S9" s="1560" t="s">
        <v>729</v>
      </c>
      <c r="T9" s="1562" t="s">
        <v>729</v>
      </c>
      <c r="U9" s="1564"/>
      <c r="W9" s="1564"/>
      <c r="X9" s="1564"/>
      <c r="Y9" s="1564"/>
      <c r="Z9" s="1564"/>
      <c r="AA9" s="1564"/>
      <c r="AB9" s="1564"/>
      <c r="AC9" s="1564"/>
      <c r="AD9" s="1564"/>
      <c r="AE9" s="1564"/>
      <c r="AF9" s="1564"/>
      <c r="AG9" s="1564"/>
      <c r="AH9" s="1564"/>
      <c r="AI9" s="1564"/>
      <c r="AJ9" s="1564"/>
    </row>
    <row r="10" spans="1:36" ht="15.75" customHeight="1">
      <c r="C10" s="1418" t="s">
        <v>737</v>
      </c>
      <c r="D10" s="312"/>
      <c r="E10" s="313"/>
      <c r="F10" s="313"/>
      <c r="G10" s="313"/>
      <c r="H10" s="314"/>
      <c r="I10" s="313"/>
      <c r="J10" s="313"/>
      <c r="K10" s="313"/>
      <c r="L10" s="313"/>
      <c r="M10" s="314"/>
      <c r="N10" s="301"/>
      <c r="O10" s="312"/>
      <c r="P10" s="298"/>
      <c r="Q10" s="299"/>
      <c r="R10" s="295"/>
      <c r="S10" s="312"/>
      <c r="T10" s="494"/>
      <c r="U10" s="1565"/>
      <c r="W10" s="1565"/>
      <c r="X10" s="1565"/>
      <c r="Y10" s="1565"/>
      <c r="Z10" s="1565"/>
      <c r="AA10" s="1565"/>
      <c r="AB10" s="1565"/>
      <c r="AC10" s="1565"/>
      <c r="AD10" s="1565"/>
      <c r="AE10" s="1565"/>
      <c r="AF10" s="1565"/>
      <c r="AG10" s="1565"/>
      <c r="AH10" s="1565"/>
      <c r="AI10" s="1565"/>
      <c r="AJ10" s="1565"/>
    </row>
    <row r="11" spans="1:36" ht="15.75" customHeight="1">
      <c r="C11" s="1566" t="s">
        <v>842</v>
      </c>
      <c r="D11" s="280">
        <v>0.1</v>
      </c>
      <c r="E11" s="281">
        <v>0.1</v>
      </c>
      <c r="F11" s="281">
        <v>0.3</v>
      </c>
      <c r="G11" s="281">
        <v>0.2</v>
      </c>
      <c r="H11" s="282">
        <v>0.2</v>
      </c>
      <c r="I11" s="281">
        <v>0.2</v>
      </c>
      <c r="J11" s="283">
        <v>0.2</v>
      </c>
      <c r="K11" s="283">
        <v>0.2</v>
      </c>
      <c r="L11" s="283">
        <v>0.2</v>
      </c>
      <c r="M11" s="282">
        <v>0.2</v>
      </c>
      <c r="N11" s="315"/>
      <c r="O11" s="232">
        <v>0.5</v>
      </c>
      <c r="P11" s="233">
        <v>0.4</v>
      </c>
      <c r="Q11" s="234">
        <v>0.9</v>
      </c>
      <c r="R11" s="316"/>
      <c r="S11" s="232">
        <v>1</v>
      </c>
      <c r="T11" s="1367">
        <v>0.11111111111111122</v>
      </c>
      <c r="U11" s="1567"/>
      <c r="W11" s="1567"/>
      <c r="X11" s="1567"/>
      <c r="Y11" s="1567"/>
      <c r="Z11" s="1567"/>
      <c r="AA11" s="1567"/>
      <c r="AB11" s="1567"/>
      <c r="AC11" s="1567"/>
      <c r="AD11" s="1567"/>
      <c r="AE11" s="1567"/>
      <c r="AF11" s="1567"/>
      <c r="AG11" s="1567"/>
      <c r="AH11" s="1567"/>
      <c r="AI11" s="1567"/>
      <c r="AJ11" s="1567"/>
    </row>
    <row r="12" spans="1:36" ht="15.75" customHeight="1">
      <c r="C12" s="1566" t="s">
        <v>837</v>
      </c>
      <c r="D12" s="280">
        <v>1.3</v>
      </c>
      <c r="E12" s="281">
        <v>2</v>
      </c>
      <c r="F12" s="281">
        <v>0.9</v>
      </c>
      <c r="G12" s="281">
        <v>1</v>
      </c>
      <c r="H12" s="282">
        <v>1.1000000000000001</v>
      </c>
      <c r="I12" s="281">
        <v>1.2</v>
      </c>
      <c r="J12" s="283">
        <v>1.2</v>
      </c>
      <c r="K12" s="283">
        <v>1.3</v>
      </c>
      <c r="L12" s="283">
        <v>1.3</v>
      </c>
      <c r="M12" s="282">
        <v>1.3</v>
      </c>
      <c r="N12" s="315"/>
      <c r="O12" s="232">
        <v>4.2</v>
      </c>
      <c r="P12" s="233">
        <v>2.1</v>
      </c>
      <c r="Q12" s="234">
        <v>6.3</v>
      </c>
      <c r="R12" s="316"/>
      <c r="S12" s="232">
        <v>6.3</v>
      </c>
      <c r="T12" s="1367">
        <v>-1.4098070153970241E-16</v>
      </c>
      <c r="U12" s="1567"/>
      <c r="W12" s="1567"/>
      <c r="X12" s="1567"/>
      <c r="Y12" s="1567"/>
      <c r="Z12" s="1567"/>
      <c r="AA12" s="1567"/>
      <c r="AB12" s="1567"/>
      <c r="AC12" s="1567"/>
      <c r="AD12" s="1567"/>
      <c r="AE12" s="1567"/>
      <c r="AF12" s="1567"/>
      <c r="AG12" s="1567"/>
      <c r="AH12" s="1567"/>
      <c r="AI12" s="1567"/>
      <c r="AJ12" s="1567"/>
    </row>
    <row r="13" spans="1:36" ht="15.75" customHeight="1">
      <c r="C13" s="1566" t="s">
        <v>838</v>
      </c>
      <c r="D13" s="280">
        <v>2.2000000000000002</v>
      </c>
      <c r="E13" s="281">
        <v>1.6</v>
      </c>
      <c r="F13" s="281">
        <v>1.4</v>
      </c>
      <c r="G13" s="281">
        <v>2</v>
      </c>
      <c r="H13" s="282">
        <v>2.7</v>
      </c>
      <c r="I13" s="281">
        <v>2.6</v>
      </c>
      <c r="J13" s="283">
        <v>1.7999999999999998</v>
      </c>
      <c r="K13" s="283">
        <v>1.5</v>
      </c>
      <c r="L13" s="283">
        <v>1.1000000000000001</v>
      </c>
      <c r="M13" s="282">
        <v>0.8</v>
      </c>
      <c r="N13" s="315"/>
      <c r="O13" s="232">
        <v>5.2</v>
      </c>
      <c r="P13" s="233">
        <v>4.7</v>
      </c>
      <c r="Q13" s="234">
        <v>9.9</v>
      </c>
      <c r="R13" s="316"/>
      <c r="S13" s="232">
        <v>14.9</v>
      </c>
      <c r="T13" s="1367">
        <v>0.50505050505050486</v>
      </c>
      <c r="U13" s="1567"/>
      <c r="W13" s="1567"/>
      <c r="X13" s="1567"/>
      <c r="Y13" s="1567"/>
      <c r="Z13" s="1567"/>
      <c r="AA13" s="1567"/>
      <c r="AB13" s="1567"/>
      <c r="AC13" s="1567"/>
      <c r="AD13" s="1567"/>
      <c r="AE13" s="1567"/>
      <c r="AF13" s="1567"/>
      <c r="AG13" s="1567"/>
      <c r="AH13" s="1567"/>
      <c r="AI13" s="1567"/>
      <c r="AJ13" s="1567"/>
    </row>
    <row r="14" spans="1:36" ht="15.75" customHeight="1">
      <c r="C14" s="1566" t="s">
        <v>781</v>
      </c>
      <c r="D14" s="280">
        <v>1.3</v>
      </c>
      <c r="E14" s="281">
        <v>2</v>
      </c>
      <c r="F14" s="281">
        <v>1.1000000000000001</v>
      </c>
      <c r="G14" s="281">
        <v>0.9</v>
      </c>
      <c r="H14" s="282">
        <v>0.8</v>
      </c>
      <c r="I14" s="281">
        <v>1.2</v>
      </c>
      <c r="J14" s="283">
        <v>0.2</v>
      </c>
      <c r="K14" s="283">
        <v>0.6</v>
      </c>
      <c r="L14" s="283">
        <v>0.6</v>
      </c>
      <c r="M14" s="282">
        <v>0.6</v>
      </c>
      <c r="N14" s="315"/>
      <c r="O14" s="232">
        <v>4.4000000000000004</v>
      </c>
      <c r="P14" s="233">
        <v>1.7</v>
      </c>
      <c r="Q14" s="234">
        <v>6.1</v>
      </c>
      <c r="R14" s="316"/>
      <c r="S14" s="232">
        <v>6.8</v>
      </c>
      <c r="T14" s="1367">
        <v>0.11475409836065562</v>
      </c>
      <c r="U14" s="1567"/>
      <c r="W14" s="1567" t="s">
        <v>853</v>
      </c>
      <c r="X14" s="1567"/>
      <c r="Y14" s="1567"/>
      <c r="Z14" s="1567"/>
      <c r="AA14" s="1567"/>
      <c r="AB14" s="1567"/>
      <c r="AC14" s="1567"/>
      <c r="AD14" s="1567"/>
      <c r="AE14" s="1567"/>
      <c r="AF14" s="1567"/>
      <c r="AG14" s="1567"/>
      <c r="AH14" s="1567"/>
      <c r="AI14" s="1567"/>
      <c r="AJ14" s="1567"/>
    </row>
    <row r="15" spans="1:36" ht="15.75" customHeight="1">
      <c r="C15" s="1385" t="s">
        <v>627</v>
      </c>
      <c r="D15" s="284"/>
      <c r="E15" s="285"/>
      <c r="F15" s="285"/>
      <c r="G15" s="281">
        <v>0</v>
      </c>
      <c r="H15" s="282">
        <v>0</v>
      </c>
      <c r="I15" s="281">
        <v>0</v>
      </c>
      <c r="J15" s="283">
        <v>0</v>
      </c>
      <c r="K15" s="283">
        <v>0</v>
      </c>
      <c r="L15" s="283">
        <v>0</v>
      </c>
      <c r="M15" s="282">
        <v>0</v>
      </c>
      <c r="N15" s="316"/>
      <c r="O15" s="232">
        <v>0</v>
      </c>
      <c r="P15" s="233">
        <v>0</v>
      </c>
      <c r="Q15" s="234">
        <v>0</v>
      </c>
      <c r="R15" s="316"/>
      <c r="S15" s="232">
        <v>0</v>
      </c>
      <c r="T15" s="1367" t="s">
        <v>1021</v>
      </c>
      <c r="U15" s="1567"/>
      <c r="W15" s="1567"/>
      <c r="X15" s="1567"/>
      <c r="Y15" s="1567"/>
      <c r="Z15" s="1567"/>
      <c r="AA15" s="1567"/>
      <c r="AB15" s="1567"/>
      <c r="AC15" s="1567"/>
      <c r="AD15" s="1567"/>
      <c r="AE15" s="1567"/>
      <c r="AF15" s="1567"/>
      <c r="AG15" s="1567"/>
      <c r="AH15" s="1567"/>
      <c r="AI15" s="1567"/>
      <c r="AJ15" s="1567"/>
    </row>
    <row r="16" spans="1:36" ht="15.75" customHeight="1">
      <c r="C16" s="1385" t="s">
        <v>245</v>
      </c>
      <c r="D16" s="1372">
        <v>4.9000000000000004</v>
      </c>
      <c r="E16" s="1375">
        <v>5.7</v>
      </c>
      <c r="F16" s="1375">
        <v>3.7</v>
      </c>
      <c r="G16" s="1375">
        <v>4.0999999999999996</v>
      </c>
      <c r="H16" s="1374">
        <v>4.8</v>
      </c>
      <c r="I16" s="1375">
        <f>SUM(I11:I15)</f>
        <v>5.2</v>
      </c>
      <c r="J16" s="1375">
        <f>SUM(J11:J15)</f>
        <v>3.4</v>
      </c>
      <c r="K16" s="1375">
        <f>SUM(K11:K15)</f>
        <v>3.6</v>
      </c>
      <c r="L16" s="1375">
        <f>SUM(L11:L15)</f>
        <v>3.2</v>
      </c>
      <c r="M16" s="1375">
        <f>SUM(M11:M15)</f>
        <v>2.9</v>
      </c>
      <c r="N16" s="317"/>
      <c r="O16" s="1372">
        <v>14.3</v>
      </c>
      <c r="P16" s="1373">
        <v>8.9</v>
      </c>
      <c r="Q16" s="1374">
        <v>23.2</v>
      </c>
      <c r="R16" s="317"/>
      <c r="S16" s="1372">
        <v>29</v>
      </c>
      <c r="T16" s="1568">
        <v>0.25</v>
      </c>
      <c r="U16" s="1569"/>
      <c r="W16" s="1569"/>
      <c r="X16" s="1569"/>
      <c r="Y16" s="1569"/>
      <c r="Z16" s="1569"/>
      <c r="AA16" s="1569"/>
      <c r="AB16" s="1569"/>
      <c r="AC16" s="1569"/>
      <c r="AD16" s="1569"/>
      <c r="AE16" s="1569"/>
      <c r="AF16" s="1569"/>
      <c r="AG16" s="1569"/>
      <c r="AH16" s="1569"/>
      <c r="AI16" s="1569"/>
      <c r="AJ16" s="1569"/>
    </row>
    <row r="17" spans="1:36" ht="15.75" customHeight="1">
      <c r="C17" s="1385"/>
      <c r="D17" s="318"/>
      <c r="E17" s="319"/>
      <c r="F17" s="319"/>
      <c r="G17" s="319"/>
      <c r="H17" s="320"/>
      <c r="I17" s="319"/>
      <c r="J17" s="319"/>
      <c r="K17" s="319"/>
      <c r="L17" s="319"/>
      <c r="M17" s="320"/>
      <c r="N17" s="315"/>
      <c r="O17" s="318"/>
      <c r="P17" s="321"/>
      <c r="Q17" s="322"/>
      <c r="R17" s="315"/>
      <c r="S17" s="318"/>
      <c r="T17" s="1570"/>
      <c r="U17" s="1567"/>
      <c r="W17" s="1567"/>
      <c r="X17" s="1567"/>
      <c r="Y17" s="1567"/>
      <c r="Z17" s="1567"/>
      <c r="AA17" s="1567"/>
      <c r="AB17" s="1567"/>
      <c r="AC17" s="1567"/>
      <c r="AD17" s="1567"/>
      <c r="AE17" s="1567"/>
      <c r="AF17" s="1567"/>
      <c r="AG17" s="1567"/>
      <c r="AH17" s="1567"/>
      <c r="AI17" s="1567"/>
      <c r="AJ17" s="1567"/>
    </row>
    <row r="18" spans="1:36" ht="15.75" customHeight="1">
      <c r="C18" s="1385" t="s">
        <v>745</v>
      </c>
      <c r="D18" s="284"/>
      <c r="E18" s="285"/>
      <c r="F18" s="285"/>
      <c r="G18" s="281">
        <v>0</v>
      </c>
      <c r="H18" s="282">
        <v>0</v>
      </c>
      <c r="I18" s="281">
        <v>0</v>
      </c>
      <c r="J18" s="283">
        <v>0</v>
      </c>
      <c r="K18" s="283">
        <v>0</v>
      </c>
      <c r="L18" s="283">
        <v>0</v>
      </c>
      <c r="M18" s="282">
        <v>0</v>
      </c>
      <c r="N18" s="316"/>
      <c r="O18" s="232">
        <v>0</v>
      </c>
      <c r="P18" s="233">
        <v>0</v>
      </c>
      <c r="Q18" s="234">
        <v>0</v>
      </c>
      <c r="R18" s="316"/>
      <c r="S18" s="232">
        <v>0</v>
      </c>
      <c r="T18" s="1367" t="s">
        <v>1021</v>
      </c>
      <c r="U18" s="1567"/>
      <c r="W18" s="1567"/>
      <c r="X18" s="1567"/>
      <c r="Y18" s="1567"/>
      <c r="Z18" s="1567"/>
      <c r="AA18" s="1567"/>
      <c r="AB18" s="1567"/>
      <c r="AC18" s="1567"/>
      <c r="AD18" s="1567"/>
      <c r="AE18" s="1567"/>
      <c r="AF18" s="1567"/>
      <c r="AG18" s="1567"/>
      <c r="AH18" s="1567"/>
      <c r="AI18" s="1567"/>
      <c r="AJ18" s="1567"/>
    </row>
    <row r="19" spans="1:36" ht="15.75" customHeight="1" thickBot="1">
      <c r="C19" s="1389" t="s">
        <v>746</v>
      </c>
      <c r="D19" s="286"/>
      <c r="E19" s="287"/>
      <c r="F19" s="287"/>
      <c r="G19" s="288">
        <v>0</v>
      </c>
      <c r="H19" s="289">
        <v>0</v>
      </c>
      <c r="I19" s="288">
        <v>0</v>
      </c>
      <c r="J19" s="290">
        <v>0</v>
      </c>
      <c r="K19" s="290">
        <v>0</v>
      </c>
      <c r="L19" s="290">
        <v>0</v>
      </c>
      <c r="M19" s="289">
        <v>0</v>
      </c>
      <c r="N19" s="316"/>
      <c r="O19" s="236">
        <v>0</v>
      </c>
      <c r="P19" s="237">
        <v>0</v>
      </c>
      <c r="Q19" s="238">
        <v>0</v>
      </c>
      <c r="R19" s="316"/>
      <c r="S19" s="236">
        <v>0</v>
      </c>
      <c r="T19" s="1376" t="s">
        <v>1021</v>
      </c>
      <c r="U19" s="1567"/>
      <c r="W19" s="1567"/>
      <c r="X19" s="1567"/>
      <c r="Y19" s="1567"/>
      <c r="Z19" s="1567"/>
      <c r="AA19" s="1567"/>
      <c r="AB19" s="1567"/>
      <c r="AC19" s="1567"/>
      <c r="AD19" s="1567"/>
      <c r="AE19" s="1567"/>
      <c r="AF19" s="1567"/>
      <c r="AG19" s="1567"/>
      <c r="AH19" s="1567"/>
      <c r="AI19" s="1567"/>
      <c r="AJ19" s="1567"/>
    </row>
    <row r="20" spans="1:36">
      <c r="U20" s="728"/>
    </row>
    <row r="21" spans="1:36" s="495" customFormat="1"/>
    <row r="22" spans="1:36" s="495" customFormat="1">
      <c r="B22" s="1377" t="s">
        <v>543</v>
      </c>
    </row>
    <row r="23" spans="1:36" s="495" customFormat="1" ht="13.5" thickBot="1">
      <c r="A23" s="1377"/>
      <c r="B23" s="1377"/>
    </row>
    <row r="24" spans="1:36" s="495" customFormat="1" ht="27" customHeight="1">
      <c r="A24" s="1377"/>
      <c r="B24" s="1377"/>
      <c r="C24" s="1897" t="s">
        <v>544</v>
      </c>
      <c r="D24" s="1351" t="s">
        <v>545</v>
      </c>
      <c r="E24" s="1352"/>
      <c r="F24" s="1352"/>
      <c r="G24" s="1571"/>
      <c r="H24" s="1351" t="s">
        <v>546</v>
      </c>
      <c r="I24" s="1352"/>
      <c r="J24" s="1352"/>
      <c r="K24" s="1571"/>
      <c r="L24" s="1572" t="s">
        <v>545</v>
      </c>
      <c r="M24" s="1573" t="s">
        <v>546</v>
      </c>
    </row>
    <row r="25" spans="1:36" s="495" customFormat="1">
      <c r="A25" s="1377"/>
      <c r="B25" s="1377"/>
      <c r="C25" s="1898"/>
      <c r="D25" s="1574" t="s">
        <v>547</v>
      </c>
      <c r="E25" s="1575" t="s">
        <v>548</v>
      </c>
      <c r="F25" s="1575" t="s">
        <v>549</v>
      </c>
      <c r="G25" s="1576" t="s">
        <v>550</v>
      </c>
      <c r="H25" s="1574" t="s">
        <v>547</v>
      </c>
      <c r="I25" s="1575" t="s">
        <v>548</v>
      </c>
      <c r="J25" s="1575" t="s">
        <v>549</v>
      </c>
      <c r="K25" s="1576" t="s">
        <v>550</v>
      </c>
      <c r="L25" s="1577" t="s">
        <v>245</v>
      </c>
      <c r="M25" s="1578" t="s">
        <v>245</v>
      </c>
    </row>
    <row r="26" spans="1:36" s="495" customFormat="1" ht="15.75" customHeight="1">
      <c r="A26" s="1377"/>
      <c r="B26" s="1377"/>
      <c r="C26" s="1579" t="s">
        <v>551</v>
      </c>
      <c r="D26" s="668"/>
      <c r="E26" s="669"/>
      <c r="F26" s="669"/>
      <c r="G26" s="670"/>
      <c r="H26" s="668"/>
      <c r="I26" s="669"/>
      <c r="J26" s="669"/>
      <c r="K26" s="670"/>
      <c r="L26" s="1580">
        <f>SUM(D26:G26)</f>
        <v>0</v>
      </c>
      <c r="M26" s="1581">
        <f>SUM(H26:K26)</f>
        <v>0</v>
      </c>
    </row>
    <row r="27" spans="1:36" s="495" customFormat="1" ht="15.75" customHeight="1">
      <c r="A27" s="1377"/>
      <c r="B27" s="1377"/>
      <c r="C27" s="1582" t="s">
        <v>552</v>
      </c>
      <c r="D27" s="668"/>
      <c r="E27" s="669"/>
      <c r="F27" s="669"/>
      <c r="G27" s="670"/>
      <c r="H27" s="668"/>
      <c r="I27" s="669"/>
      <c r="J27" s="669"/>
      <c r="K27" s="670"/>
      <c r="L27" s="1580">
        <f>SUM(D27:G27)</f>
        <v>0</v>
      </c>
      <c r="M27" s="1581">
        <f>SUM(H27:K27)</f>
        <v>0</v>
      </c>
    </row>
    <row r="28" spans="1:36" s="495" customFormat="1" ht="15.75" customHeight="1">
      <c r="A28" s="1377"/>
      <c r="B28" s="1377"/>
      <c r="C28" s="1582" t="s">
        <v>553</v>
      </c>
      <c r="D28" s="668"/>
      <c r="E28" s="669"/>
      <c r="F28" s="669"/>
      <c r="G28" s="670"/>
      <c r="H28" s="668"/>
      <c r="I28" s="669"/>
      <c r="J28" s="669"/>
      <c r="K28" s="670"/>
      <c r="L28" s="1580">
        <f>SUM(D28:G28)</f>
        <v>0</v>
      </c>
      <c r="M28" s="1581">
        <f>SUM(H28:K28)</f>
        <v>0</v>
      </c>
    </row>
    <row r="29" spans="1:36" s="495" customFormat="1" ht="15.75" customHeight="1" thickBot="1">
      <c r="A29" s="1377"/>
      <c r="B29" s="1377"/>
      <c r="C29" s="1583" t="s">
        <v>554</v>
      </c>
      <c r="D29" s="1584" t="str">
        <f>IF(D27,D27/D28,"-")</f>
        <v>-</v>
      </c>
      <c r="E29" s="1585" t="str">
        <f t="shared" ref="E29:M29" si="0">IF(E27,E27/E28,"-")</f>
        <v>-</v>
      </c>
      <c r="F29" s="1585" t="str">
        <f t="shared" si="0"/>
        <v>-</v>
      </c>
      <c r="G29" s="1586" t="str">
        <f t="shared" si="0"/>
        <v>-</v>
      </c>
      <c r="H29" s="1584" t="str">
        <f t="shared" si="0"/>
        <v>-</v>
      </c>
      <c r="I29" s="1585" t="str">
        <f t="shared" si="0"/>
        <v>-</v>
      </c>
      <c r="J29" s="1585" t="str">
        <f t="shared" si="0"/>
        <v>-</v>
      </c>
      <c r="K29" s="1586" t="str">
        <f t="shared" si="0"/>
        <v>-</v>
      </c>
      <c r="L29" s="1587" t="str">
        <f t="shared" si="0"/>
        <v>-</v>
      </c>
      <c r="M29" s="1588" t="str">
        <f t="shared" si="0"/>
        <v>-</v>
      </c>
    </row>
    <row r="30" spans="1:36" s="495" customFormat="1">
      <c r="A30" s="1377"/>
      <c r="B30" s="1377"/>
      <c r="C30" s="1589"/>
      <c r="D30" s="1590"/>
      <c r="E30" s="1590"/>
      <c r="F30" s="1590"/>
      <c r="G30" s="1590"/>
    </row>
    <row r="31" spans="1:36" s="495" customFormat="1" ht="13.5" thickBot="1">
      <c r="A31" s="1377"/>
      <c r="B31" s="1377"/>
      <c r="C31" s="1589"/>
      <c r="D31" s="1590"/>
      <c r="E31" s="1590"/>
      <c r="F31" s="1590"/>
      <c r="G31" s="1590"/>
    </row>
    <row r="32" spans="1:36" s="495" customFormat="1" ht="39" customHeight="1">
      <c r="A32" s="1377"/>
      <c r="B32" s="1377"/>
      <c r="C32" s="1914" t="s">
        <v>555</v>
      </c>
      <c r="D32" s="1351" t="s">
        <v>545</v>
      </c>
      <c r="E32" s="1352"/>
      <c r="F32" s="1352"/>
      <c r="G32" s="1571"/>
      <c r="H32" s="1351" t="s">
        <v>546</v>
      </c>
      <c r="I32" s="1352"/>
      <c r="J32" s="1352"/>
      <c r="K32" s="1571"/>
      <c r="L32" s="1572" t="s">
        <v>545</v>
      </c>
      <c r="M32" s="1573" t="s">
        <v>546</v>
      </c>
    </row>
    <row r="33" spans="1:43" s="495" customFormat="1" ht="15.75" customHeight="1">
      <c r="A33" s="1377"/>
      <c r="B33" s="1377"/>
      <c r="C33" s="1915"/>
      <c r="D33" s="1574" t="s">
        <v>547</v>
      </c>
      <c r="E33" s="1575" t="s">
        <v>548</v>
      </c>
      <c r="F33" s="1575" t="s">
        <v>549</v>
      </c>
      <c r="G33" s="1576" t="s">
        <v>550</v>
      </c>
      <c r="H33" s="1574" t="s">
        <v>547</v>
      </c>
      <c r="I33" s="1575" t="s">
        <v>548</v>
      </c>
      <c r="J33" s="1575" t="s">
        <v>549</v>
      </c>
      <c r="K33" s="1576" t="s">
        <v>550</v>
      </c>
      <c r="L33" s="1577" t="s">
        <v>245</v>
      </c>
      <c r="M33" s="1578" t="s">
        <v>245</v>
      </c>
    </row>
    <row r="34" spans="1:43" s="495" customFormat="1" ht="25.5">
      <c r="A34" s="1377"/>
      <c r="B34" s="1377"/>
      <c r="C34" s="1591" t="s">
        <v>556</v>
      </c>
      <c r="D34" s="668"/>
      <c r="E34" s="669"/>
      <c r="F34" s="669"/>
      <c r="G34" s="670"/>
      <c r="H34" s="668"/>
      <c r="I34" s="669"/>
      <c r="J34" s="669"/>
      <c r="K34" s="670"/>
      <c r="L34" s="1580">
        <f t="shared" ref="L34:L39" si="1">SUM(D34:G34)</f>
        <v>0</v>
      </c>
      <c r="M34" s="1581">
        <f t="shared" ref="M34:M39" si="2">SUM(H34:K34)</f>
        <v>0</v>
      </c>
    </row>
    <row r="35" spans="1:43" s="495" customFormat="1" ht="25.5">
      <c r="A35" s="1377"/>
      <c r="B35" s="1377"/>
      <c r="C35" s="1591" t="s">
        <v>557</v>
      </c>
      <c r="D35" s="668"/>
      <c r="E35" s="669"/>
      <c r="F35" s="669"/>
      <c r="G35" s="670"/>
      <c r="H35" s="668"/>
      <c r="I35" s="669"/>
      <c r="J35" s="669"/>
      <c r="K35" s="670"/>
      <c r="L35" s="1580">
        <f t="shared" si="1"/>
        <v>0</v>
      </c>
      <c r="M35" s="1581">
        <f t="shared" si="2"/>
        <v>0</v>
      </c>
    </row>
    <row r="36" spans="1:43" s="495" customFormat="1" ht="25.5">
      <c r="A36" s="1377"/>
      <c r="B36" s="1377"/>
      <c r="C36" s="1591" t="s">
        <v>558</v>
      </c>
      <c r="D36" s="668"/>
      <c r="E36" s="669"/>
      <c r="F36" s="669"/>
      <c r="G36" s="670"/>
      <c r="H36" s="668"/>
      <c r="I36" s="669"/>
      <c r="J36" s="669"/>
      <c r="K36" s="670"/>
      <c r="L36" s="1580">
        <f t="shared" si="1"/>
        <v>0</v>
      </c>
      <c r="M36" s="1581">
        <f t="shared" si="2"/>
        <v>0</v>
      </c>
    </row>
    <row r="37" spans="1:43" s="495" customFormat="1" ht="38.25">
      <c r="A37" s="1377"/>
      <c r="B37" s="1377"/>
      <c r="C37" s="1591" t="s">
        <v>559</v>
      </c>
      <c r="D37" s="1592"/>
      <c r="E37" s="1593"/>
      <c r="F37" s="1593"/>
      <c r="G37" s="1594"/>
      <c r="H37" s="1592"/>
      <c r="I37" s="1593"/>
      <c r="J37" s="1593"/>
      <c r="K37" s="1594"/>
      <c r="L37" s="1595" t="str">
        <f t="shared" ref="L37:M37" si="3">IF(L35,L35/L36,"-")</f>
        <v>-</v>
      </c>
      <c r="M37" s="1596" t="str">
        <f t="shared" si="3"/>
        <v>-</v>
      </c>
    </row>
    <row r="38" spans="1:43" s="495" customFormat="1" ht="25.5">
      <c r="A38" s="1377"/>
      <c r="B38" s="1377"/>
      <c r="C38" s="1591" t="s">
        <v>560</v>
      </c>
      <c r="D38" s="668"/>
      <c r="E38" s="669"/>
      <c r="F38" s="669"/>
      <c r="G38" s="670"/>
      <c r="H38" s="668"/>
      <c r="I38" s="669"/>
      <c r="J38" s="669"/>
      <c r="K38" s="670"/>
      <c r="L38" s="1580">
        <f t="shared" si="1"/>
        <v>0</v>
      </c>
      <c r="M38" s="1581">
        <f t="shared" si="2"/>
        <v>0</v>
      </c>
    </row>
    <row r="39" spans="1:43" s="495" customFormat="1" ht="26.25" thickBot="1">
      <c r="A39" s="1377"/>
      <c r="B39" s="1377"/>
      <c r="C39" s="1597" t="s">
        <v>561</v>
      </c>
      <c r="D39" s="672"/>
      <c r="E39" s="673"/>
      <c r="F39" s="673"/>
      <c r="G39" s="996"/>
      <c r="H39" s="672"/>
      <c r="I39" s="673"/>
      <c r="J39" s="673"/>
      <c r="K39" s="996"/>
      <c r="L39" s="1598">
        <f t="shared" si="1"/>
        <v>0</v>
      </c>
      <c r="M39" s="1599">
        <f t="shared" si="2"/>
        <v>0</v>
      </c>
    </row>
    <row r="41" spans="1:43" ht="15.75" customHeight="1">
      <c r="B41" s="1377" t="s">
        <v>748</v>
      </c>
    </row>
    <row r="42" spans="1:43" ht="13.5" thickBot="1"/>
    <row r="43" spans="1:43" ht="13.5" thickBot="1">
      <c r="B43" s="303"/>
      <c r="C43" s="1903" t="s">
        <v>749</v>
      </c>
      <c r="D43" s="1904"/>
      <c r="E43" s="1904"/>
      <c r="F43" s="1904"/>
      <c r="G43" s="1904"/>
      <c r="H43" s="1904"/>
      <c r="I43" s="1904"/>
      <c r="J43" s="1904"/>
      <c r="K43" s="1905"/>
      <c r="L43" s="1901" t="s">
        <v>562</v>
      </c>
      <c r="M43" s="1906"/>
      <c r="N43" s="1906"/>
      <c r="O43" s="1906"/>
      <c r="P43" s="1907"/>
      <c r="Q43" s="1901" t="s">
        <v>563</v>
      </c>
      <c r="R43" s="1906"/>
      <c r="S43" s="1906"/>
      <c r="T43" s="1906"/>
      <c r="U43" s="1907"/>
      <c r="V43" s="1908" t="s">
        <v>564</v>
      </c>
      <c r="W43" s="1909"/>
      <c r="X43" s="1909"/>
      <c r="Y43" s="1909"/>
      <c r="Z43" s="1909"/>
      <c r="AA43" s="1909"/>
      <c r="AB43" s="1909"/>
      <c r="AC43" s="1909"/>
      <c r="AD43" s="1909"/>
      <c r="AE43" s="1909"/>
      <c r="AF43" s="1909"/>
      <c r="AG43" s="1909"/>
      <c r="AH43" s="1909"/>
      <c r="AI43" s="1910"/>
      <c r="AJ43" s="1897" t="s">
        <v>565</v>
      </c>
      <c r="AK43" s="1600" t="s">
        <v>750</v>
      </c>
    </row>
    <row r="44" spans="1:43" ht="78.75" customHeight="1">
      <c r="B44" s="294"/>
      <c r="C44" s="1601" t="s">
        <v>751</v>
      </c>
      <c r="D44" s="1602" t="s">
        <v>566</v>
      </c>
      <c r="E44" s="1602" t="s">
        <v>567</v>
      </c>
      <c r="F44" s="1602" t="s">
        <v>568</v>
      </c>
      <c r="G44" s="1602" t="s">
        <v>569</v>
      </c>
      <c r="H44" s="1602" t="s">
        <v>570</v>
      </c>
      <c r="I44" s="1602" t="s">
        <v>758</v>
      </c>
      <c r="J44" s="1602" t="s">
        <v>759</v>
      </c>
      <c r="K44" s="1603" t="s">
        <v>760</v>
      </c>
      <c r="L44" s="1555" t="s">
        <v>32</v>
      </c>
      <c r="M44" s="1361" t="s">
        <v>33</v>
      </c>
      <c r="N44" s="1361" t="s">
        <v>29</v>
      </c>
      <c r="O44" s="1361" t="s">
        <v>34</v>
      </c>
      <c r="P44" s="1362" t="s">
        <v>35</v>
      </c>
      <c r="Q44" s="1360" t="s">
        <v>118</v>
      </c>
      <c r="R44" s="1361" t="s">
        <v>136</v>
      </c>
      <c r="S44" s="1361" t="s">
        <v>137</v>
      </c>
      <c r="T44" s="1361" t="s">
        <v>138</v>
      </c>
      <c r="U44" s="1362" t="s">
        <v>139</v>
      </c>
      <c r="V44" s="1899" t="s">
        <v>571</v>
      </c>
      <c r="W44" s="1900"/>
      <c r="X44" s="1900"/>
      <c r="Y44" s="1900"/>
      <c r="Z44" s="1900"/>
      <c r="AA44" s="1900"/>
      <c r="AB44" s="1900"/>
      <c r="AC44" s="1900"/>
      <c r="AD44" s="1900"/>
      <c r="AE44" s="1900"/>
      <c r="AF44" s="1357" t="s">
        <v>572</v>
      </c>
      <c r="AG44" s="1357" t="s">
        <v>573</v>
      </c>
      <c r="AH44" s="1357" t="s">
        <v>574</v>
      </c>
      <c r="AI44" s="1357" t="s">
        <v>575</v>
      </c>
      <c r="AJ44" s="1898"/>
      <c r="AK44" s="1604" t="s">
        <v>74</v>
      </c>
    </row>
    <row r="45" spans="1:43" ht="15.75" customHeight="1" thickBot="1">
      <c r="B45" s="300"/>
      <c r="C45" s="1556" t="s">
        <v>75</v>
      </c>
      <c r="D45" s="1605" t="s">
        <v>76</v>
      </c>
      <c r="E45" s="1605" t="s">
        <v>76</v>
      </c>
      <c r="F45" s="1557" t="s">
        <v>77</v>
      </c>
      <c r="G45" s="1606" t="s">
        <v>78</v>
      </c>
      <c r="H45" s="1606" t="s">
        <v>78</v>
      </c>
      <c r="I45" s="1557" t="s">
        <v>79</v>
      </c>
      <c r="J45" s="1557" t="s">
        <v>729</v>
      </c>
      <c r="K45" s="1558" t="s">
        <v>729</v>
      </c>
      <c r="L45" s="1563" t="s">
        <v>729</v>
      </c>
      <c r="M45" s="1561" t="s">
        <v>729</v>
      </c>
      <c r="N45" s="1561" t="s">
        <v>729</v>
      </c>
      <c r="O45" s="1561" t="s">
        <v>729</v>
      </c>
      <c r="P45" s="1562" t="s">
        <v>729</v>
      </c>
      <c r="Q45" s="1560" t="s">
        <v>729</v>
      </c>
      <c r="R45" s="1561" t="s">
        <v>729</v>
      </c>
      <c r="S45" s="1561" t="s">
        <v>729</v>
      </c>
      <c r="T45" s="1561" t="s">
        <v>729</v>
      </c>
      <c r="U45" s="1562" t="s">
        <v>729</v>
      </c>
      <c r="V45" s="1607" t="s">
        <v>32</v>
      </c>
      <c r="W45" s="1608" t="s">
        <v>33</v>
      </c>
      <c r="X45" s="1608" t="s">
        <v>29</v>
      </c>
      <c r="Y45" s="1608" t="s">
        <v>34</v>
      </c>
      <c r="Z45" s="1608" t="s">
        <v>35</v>
      </c>
      <c r="AA45" s="1608" t="s">
        <v>118</v>
      </c>
      <c r="AB45" s="1608" t="s">
        <v>136</v>
      </c>
      <c r="AC45" s="1608" t="s">
        <v>137</v>
      </c>
      <c r="AD45" s="1608" t="s">
        <v>138</v>
      </c>
      <c r="AE45" s="1609" t="s">
        <v>139</v>
      </c>
      <c r="AF45" s="1610" t="s">
        <v>79</v>
      </c>
      <c r="AG45" s="729" t="s">
        <v>79</v>
      </c>
      <c r="AH45" s="729" t="s">
        <v>79</v>
      </c>
      <c r="AI45" s="729" t="s">
        <v>576</v>
      </c>
      <c r="AJ45" s="1611" t="s">
        <v>577</v>
      </c>
      <c r="AK45" s="1612" t="s">
        <v>65</v>
      </c>
    </row>
    <row r="46" spans="1:43" s="323" customFormat="1" ht="15.75" customHeight="1">
      <c r="B46" s="730">
        <v>1</v>
      </c>
      <c r="C46" s="324"/>
      <c r="D46" s="324" t="s">
        <v>1022</v>
      </c>
      <c r="E46" s="324"/>
      <c r="F46" s="324" t="s">
        <v>1023</v>
      </c>
      <c r="G46" s="325" t="s">
        <v>199</v>
      </c>
      <c r="H46" s="325"/>
      <c r="I46" s="325">
        <v>10</v>
      </c>
      <c r="J46" s="326">
        <v>0.6</v>
      </c>
      <c r="K46" s="779"/>
      <c r="L46" s="326"/>
      <c r="M46" s="327"/>
      <c r="N46" s="327"/>
      <c r="O46" s="327"/>
      <c r="P46" s="328"/>
      <c r="Q46" s="327">
        <v>0.6</v>
      </c>
      <c r="R46" s="329">
        <v>0</v>
      </c>
      <c r="S46" s="329">
        <v>0</v>
      </c>
      <c r="T46" s="329">
        <v>0</v>
      </c>
      <c r="U46" s="328">
        <v>0</v>
      </c>
      <c r="V46" s="731"/>
      <c r="W46" s="732"/>
      <c r="X46" s="732"/>
      <c r="Y46" s="732"/>
      <c r="Z46" s="733"/>
      <c r="AA46" s="731"/>
      <c r="AB46" s="732"/>
      <c r="AC46" s="732"/>
      <c r="AD46" s="732"/>
      <c r="AE46" s="733"/>
      <c r="AF46" s="327"/>
      <c r="AG46" s="329"/>
      <c r="AH46" s="329"/>
      <c r="AI46" s="734"/>
      <c r="AJ46" s="735"/>
      <c r="AK46" s="1613" t="s">
        <v>1024</v>
      </c>
      <c r="AL46" s="1614"/>
      <c r="AM46" s="1614"/>
      <c r="AN46" s="1614"/>
      <c r="AO46" s="1614"/>
      <c r="AP46" s="1614"/>
      <c r="AQ46" s="1614"/>
    </row>
    <row r="47" spans="1:43" s="323" customFormat="1" ht="15.75" customHeight="1">
      <c r="B47" s="736">
        <v>2</v>
      </c>
      <c r="C47" s="324"/>
      <c r="D47" s="324">
        <v>33</v>
      </c>
      <c r="E47" s="324"/>
      <c r="F47" s="324" t="s">
        <v>1025</v>
      </c>
      <c r="G47" s="325" t="s">
        <v>199</v>
      </c>
      <c r="H47" s="325"/>
      <c r="I47" s="325">
        <v>4.5999999999999996</v>
      </c>
      <c r="J47" s="326">
        <v>1.4</v>
      </c>
      <c r="K47" s="779"/>
      <c r="L47" s="326"/>
      <c r="M47" s="327"/>
      <c r="N47" s="327"/>
      <c r="O47" s="327"/>
      <c r="P47" s="328"/>
      <c r="Q47" s="327">
        <v>0</v>
      </c>
      <c r="R47" s="329">
        <v>0.7</v>
      </c>
      <c r="S47" s="329">
        <v>0.7</v>
      </c>
      <c r="T47" s="329">
        <v>0</v>
      </c>
      <c r="U47" s="328">
        <v>0</v>
      </c>
      <c r="V47" s="326"/>
      <c r="W47" s="329"/>
      <c r="X47" s="329"/>
      <c r="Y47" s="329"/>
      <c r="Z47" s="328"/>
      <c r="AA47" s="326"/>
      <c r="AB47" s="329"/>
      <c r="AC47" s="329"/>
      <c r="AD47" s="329"/>
      <c r="AE47" s="328"/>
      <c r="AF47" s="327"/>
      <c r="AG47" s="329"/>
      <c r="AH47" s="329"/>
      <c r="AI47" s="734"/>
      <c r="AJ47" s="735"/>
      <c r="AK47" s="1613" t="s">
        <v>1026</v>
      </c>
      <c r="AL47" s="1614"/>
      <c r="AM47" s="1614"/>
      <c r="AN47" s="1614"/>
      <c r="AO47" s="1614"/>
      <c r="AP47" s="1614"/>
      <c r="AQ47" s="1614"/>
    </row>
    <row r="48" spans="1:43" s="323" customFormat="1" ht="15.75" customHeight="1">
      <c r="B48" s="736">
        <v>3</v>
      </c>
      <c r="C48" s="324"/>
      <c r="D48" s="324">
        <v>33</v>
      </c>
      <c r="E48" s="324"/>
      <c r="F48" s="324" t="s">
        <v>1023</v>
      </c>
      <c r="G48" s="325" t="s">
        <v>136</v>
      </c>
      <c r="H48" s="325"/>
      <c r="I48" s="325">
        <v>3</v>
      </c>
      <c r="J48" s="326">
        <v>0.45</v>
      </c>
      <c r="K48" s="779"/>
      <c r="L48" s="326"/>
      <c r="M48" s="327"/>
      <c r="N48" s="327"/>
      <c r="O48" s="327"/>
      <c r="P48" s="328"/>
      <c r="Q48" s="327">
        <v>0</v>
      </c>
      <c r="R48" s="329">
        <v>0.45</v>
      </c>
      <c r="S48" s="329">
        <v>0</v>
      </c>
      <c r="T48" s="329">
        <v>0</v>
      </c>
      <c r="U48" s="328">
        <v>0</v>
      </c>
      <c r="V48" s="326"/>
      <c r="W48" s="329"/>
      <c r="X48" s="329"/>
      <c r="Y48" s="329"/>
      <c r="Z48" s="328"/>
      <c r="AA48" s="326"/>
      <c r="AB48" s="329"/>
      <c r="AC48" s="329"/>
      <c r="AD48" s="329"/>
      <c r="AE48" s="328"/>
      <c r="AF48" s="327"/>
      <c r="AG48" s="329"/>
      <c r="AH48" s="329"/>
      <c r="AI48" s="734"/>
      <c r="AJ48" s="735"/>
      <c r="AK48" s="1613" t="s">
        <v>1027</v>
      </c>
      <c r="AL48" s="1614"/>
      <c r="AM48" s="1614"/>
      <c r="AN48" s="1614"/>
      <c r="AO48" s="1614"/>
      <c r="AP48" s="1614"/>
      <c r="AQ48" s="1614"/>
    </row>
    <row r="49" spans="2:43" s="323" customFormat="1" ht="15.75" customHeight="1">
      <c r="B49" s="736">
        <v>4</v>
      </c>
      <c r="C49" s="324"/>
      <c r="D49" s="324">
        <v>33</v>
      </c>
      <c r="E49" s="324"/>
      <c r="F49" s="324" t="s">
        <v>1028</v>
      </c>
      <c r="G49" s="325" t="s">
        <v>139</v>
      </c>
      <c r="H49" s="325"/>
      <c r="I49" s="325">
        <v>23</v>
      </c>
      <c r="J49" s="326">
        <v>0.8</v>
      </c>
      <c r="K49" s="779"/>
      <c r="L49" s="326"/>
      <c r="M49" s="327"/>
      <c r="N49" s="327"/>
      <c r="O49" s="327"/>
      <c r="P49" s="328"/>
      <c r="Q49" s="327">
        <v>0</v>
      </c>
      <c r="R49" s="329">
        <v>0</v>
      </c>
      <c r="S49" s="329">
        <v>0</v>
      </c>
      <c r="T49" s="329">
        <v>0.6</v>
      </c>
      <c r="U49" s="328">
        <v>0.2</v>
      </c>
      <c r="V49" s="326"/>
      <c r="W49" s="329"/>
      <c r="X49" s="329"/>
      <c r="Y49" s="329"/>
      <c r="Z49" s="328"/>
      <c r="AA49" s="326"/>
      <c r="AB49" s="329"/>
      <c r="AC49" s="329"/>
      <c r="AD49" s="329"/>
      <c r="AE49" s="328"/>
      <c r="AF49" s="327"/>
      <c r="AG49" s="329"/>
      <c r="AH49" s="329"/>
      <c r="AI49" s="734"/>
      <c r="AJ49" s="735"/>
      <c r="AK49" s="1613" t="s">
        <v>1029</v>
      </c>
      <c r="AL49" s="1614"/>
      <c r="AM49" s="1614"/>
      <c r="AN49" s="1614"/>
      <c r="AO49" s="1614"/>
      <c r="AP49" s="1614"/>
      <c r="AQ49" s="1614"/>
    </row>
    <row r="50" spans="2:43" s="323" customFormat="1" ht="15.75" customHeight="1">
      <c r="B50" s="736">
        <v>5</v>
      </c>
      <c r="C50" s="324"/>
      <c r="D50" s="324">
        <v>33</v>
      </c>
      <c r="E50" s="324"/>
      <c r="F50" s="324" t="s">
        <v>1030</v>
      </c>
      <c r="G50" s="325" t="s">
        <v>136</v>
      </c>
      <c r="H50" s="325"/>
      <c r="I50" s="325">
        <v>7.1</v>
      </c>
      <c r="J50" s="326">
        <v>0.3</v>
      </c>
      <c r="K50" s="779"/>
      <c r="L50" s="326"/>
      <c r="M50" s="327"/>
      <c r="N50" s="327"/>
      <c r="O50" s="327"/>
      <c r="P50" s="328"/>
      <c r="Q50" s="327">
        <v>0</v>
      </c>
      <c r="R50" s="329">
        <v>0.3</v>
      </c>
      <c r="S50" s="329">
        <v>0</v>
      </c>
      <c r="T50" s="329">
        <v>0</v>
      </c>
      <c r="U50" s="328">
        <v>0</v>
      </c>
      <c r="V50" s="326"/>
      <c r="W50" s="329"/>
      <c r="X50" s="329"/>
      <c r="Y50" s="329"/>
      <c r="Z50" s="328"/>
      <c r="AA50" s="326"/>
      <c r="AB50" s="329"/>
      <c r="AC50" s="329"/>
      <c r="AD50" s="329"/>
      <c r="AE50" s="328"/>
      <c r="AF50" s="327"/>
      <c r="AG50" s="329"/>
      <c r="AH50" s="329"/>
      <c r="AI50" s="734"/>
      <c r="AJ50" s="735"/>
      <c r="AK50" s="1613" t="s">
        <v>1031</v>
      </c>
      <c r="AL50" s="1614"/>
      <c r="AM50" s="1614"/>
      <c r="AN50" s="1614"/>
      <c r="AO50" s="1614"/>
      <c r="AP50" s="1614"/>
      <c r="AQ50" s="1614"/>
    </row>
    <row r="51" spans="2:43" s="323" customFormat="1" ht="15.75" customHeight="1">
      <c r="B51" s="736">
        <v>6</v>
      </c>
      <c r="C51" s="324"/>
      <c r="D51" s="324">
        <v>33</v>
      </c>
      <c r="E51" s="324"/>
      <c r="F51" s="324" t="s">
        <v>1025</v>
      </c>
      <c r="G51" s="325" t="s">
        <v>35</v>
      </c>
      <c r="H51" s="325"/>
      <c r="I51" s="325">
        <v>7.1</v>
      </c>
      <c r="J51" s="326">
        <v>0.8</v>
      </c>
      <c r="K51" s="779"/>
      <c r="L51" s="326"/>
      <c r="M51" s="327"/>
      <c r="N51" s="327"/>
      <c r="O51" s="327"/>
      <c r="P51" s="328"/>
      <c r="Q51" s="327">
        <v>0.3</v>
      </c>
      <c r="R51" s="329">
        <v>0.4</v>
      </c>
      <c r="S51" s="329">
        <v>0.1</v>
      </c>
      <c r="T51" s="329">
        <v>0</v>
      </c>
      <c r="U51" s="328">
        <v>0</v>
      </c>
      <c r="V51" s="326"/>
      <c r="W51" s="329"/>
      <c r="X51" s="329"/>
      <c r="Y51" s="329"/>
      <c r="Z51" s="328"/>
      <c r="AA51" s="326"/>
      <c r="AB51" s="329"/>
      <c r="AC51" s="329"/>
      <c r="AD51" s="329"/>
      <c r="AE51" s="328"/>
      <c r="AF51" s="327"/>
      <c r="AG51" s="329"/>
      <c r="AH51" s="329"/>
      <c r="AI51" s="734"/>
      <c r="AJ51" s="735"/>
      <c r="AK51" s="1613" t="s">
        <v>1032</v>
      </c>
      <c r="AL51" s="1614"/>
      <c r="AM51" s="1614"/>
      <c r="AN51" s="1614"/>
      <c r="AO51" s="1614"/>
      <c r="AP51" s="1614"/>
      <c r="AQ51" s="1614"/>
    </row>
    <row r="52" spans="2:43" s="323" customFormat="1" ht="15.75" customHeight="1">
      <c r="B52" s="736">
        <v>7</v>
      </c>
      <c r="C52" s="324"/>
      <c r="D52" s="324">
        <v>33</v>
      </c>
      <c r="E52" s="324"/>
      <c r="F52" s="324" t="s">
        <v>1033</v>
      </c>
      <c r="G52" s="325" t="s">
        <v>138</v>
      </c>
      <c r="H52" s="325"/>
      <c r="I52" s="325">
        <v>6</v>
      </c>
      <c r="J52" s="326">
        <v>1.2</v>
      </c>
      <c r="K52" s="779"/>
      <c r="L52" s="326"/>
      <c r="M52" s="327"/>
      <c r="N52" s="327"/>
      <c r="O52" s="327"/>
      <c r="P52" s="328"/>
      <c r="Q52" s="327">
        <v>0</v>
      </c>
      <c r="R52" s="329">
        <v>0</v>
      </c>
      <c r="S52" s="329">
        <v>1.2</v>
      </c>
      <c r="T52" s="329">
        <v>0</v>
      </c>
      <c r="U52" s="328">
        <v>0</v>
      </c>
      <c r="V52" s="326"/>
      <c r="W52" s="329"/>
      <c r="X52" s="329"/>
      <c r="Y52" s="329"/>
      <c r="Z52" s="328"/>
      <c r="AA52" s="326"/>
      <c r="AB52" s="329"/>
      <c r="AC52" s="329"/>
      <c r="AD52" s="329"/>
      <c r="AE52" s="328"/>
      <c r="AF52" s="327"/>
      <c r="AG52" s="329"/>
      <c r="AH52" s="329"/>
      <c r="AI52" s="734"/>
      <c r="AJ52" s="735"/>
      <c r="AK52" s="1613" t="s">
        <v>1034</v>
      </c>
      <c r="AL52" s="1614"/>
      <c r="AM52" s="1614"/>
      <c r="AN52" s="1614"/>
      <c r="AO52" s="1614"/>
      <c r="AP52" s="1614"/>
      <c r="AQ52" s="1614"/>
    </row>
    <row r="53" spans="2:43" s="323" customFormat="1" ht="15.75" customHeight="1">
      <c r="B53" s="736">
        <v>8</v>
      </c>
      <c r="C53" s="324"/>
      <c r="D53" s="324" t="s">
        <v>1022</v>
      </c>
      <c r="E53" s="324"/>
      <c r="F53" s="324" t="s">
        <v>1023</v>
      </c>
      <c r="G53" s="325" t="s">
        <v>138</v>
      </c>
      <c r="H53" s="325"/>
      <c r="I53" s="325">
        <v>17.899999999999999</v>
      </c>
      <c r="J53" s="326">
        <v>0.7</v>
      </c>
      <c r="K53" s="779"/>
      <c r="L53" s="326"/>
      <c r="M53" s="327"/>
      <c r="N53" s="327"/>
      <c r="O53" s="327"/>
      <c r="P53" s="328"/>
      <c r="Q53" s="327">
        <v>0</v>
      </c>
      <c r="R53" s="329">
        <v>0</v>
      </c>
      <c r="S53" s="329">
        <v>0</v>
      </c>
      <c r="T53" s="329">
        <v>0.7</v>
      </c>
      <c r="U53" s="328">
        <v>0</v>
      </c>
      <c r="V53" s="326"/>
      <c r="W53" s="329"/>
      <c r="X53" s="329"/>
      <c r="Y53" s="329"/>
      <c r="Z53" s="328"/>
      <c r="AA53" s="326"/>
      <c r="AB53" s="329"/>
      <c r="AC53" s="329"/>
      <c r="AD53" s="329"/>
      <c r="AE53" s="328"/>
      <c r="AF53" s="327"/>
      <c r="AG53" s="329"/>
      <c r="AH53" s="329"/>
      <c r="AI53" s="734"/>
      <c r="AJ53" s="735"/>
      <c r="AK53" s="1613" t="s">
        <v>1035</v>
      </c>
      <c r="AL53" s="1614"/>
      <c r="AM53" s="1614"/>
      <c r="AN53" s="1614"/>
      <c r="AO53" s="1614"/>
      <c r="AP53" s="1614"/>
      <c r="AQ53" s="1614"/>
    </row>
    <row r="54" spans="2:43" s="323" customFormat="1" ht="15.75" customHeight="1">
      <c r="B54" s="736">
        <v>9</v>
      </c>
      <c r="C54" s="324"/>
      <c r="D54" s="324">
        <v>33</v>
      </c>
      <c r="E54" s="324"/>
      <c r="F54" s="324" t="s">
        <v>1030</v>
      </c>
      <c r="G54" s="325">
        <v>2009</v>
      </c>
      <c r="H54" s="325"/>
      <c r="I54" s="325">
        <v>20</v>
      </c>
      <c r="J54" s="326">
        <v>0.4</v>
      </c>
      <c r="K54" s="779"/>
      <c r="L54" s="326"/>
      <c r="M54" s="327"/>
      <c r="N54" s="327"/>
      <c r="O54" s="327"/>
      <c r="P54" s="328"/>
      <c r="Q54" s="327">
        <v>0.4</v>
      </c>
      <c r="R54" s="329">
        <v>0</v>
      </c>
      <c r="S54" s="329">
        <v>0</v>
      </c>
      <c r="T54" s="329">
        <v>0</v>
      </c>
      <c r="U54" s="328">
        <v>0</v>
      </c>
      <c r="V54" s="326"/>
      <c r="W54" s="329"/>
      <c r="X54" s="329"/>
      <c r="Y54" s="329"/>
      <c r="Z54" s="328"/>
      <c r="AA54" s="326"/>
      <c r="AB54" s="329"/>
      <c r="AC54" s="329"/>
      <c r="AD54" s="329"/>
      <c r="AE54" s="328"/>
      <c r="AF54" s="327"/>
      <c r="AG54" s="329"/>
      <c r="AH54" s="329"/>
      <c r="AI54" s="734"/>
      <c r="AJ54" s="735"/>
      <c r="AK54" s="1613" t="s">
        <v>1036</v>
      </c>
      <c r="AL54" s="1614"/>
      <c r="AM54" s="1614"/>
      <c r="AN54" s="1614"/>
      <c r="AO54" s="1614"/>
      <c r="AP54" s="1614"/>
      <c r="AQ54" s="1614"/>
    </row>
    <row r="55" spans="2:43" s="323" customFormat="1" ht="15.75" customHeight="1">
      <c r="B55" s="736">
        <v>10</v>
      </c>
      <c r="C55" s="324"/>
      <c r="D55" s="324">
        <v>66</v>
      </c>
      <c r="E55" s="324"/>
      <c r="F55" s="324" t="s">
        <v>1037</v>
      </c>
      <c r="G55" s="325" t="s">
        <v>35</v>
      </c>
      <c r="H55" s="325"/>
      <c r="I55" s="325">
        <v>6</v>
      </c>
      <c r="J55" s="326">
        <v>0.2</v>
      </c>
      <c r="K55" s="779"/>
      <c r="L55" s="326"/>
      <c r="M55" s="327"/>
      <c r="N55" s="327"/>
      <c r="O55" s="327"/>
      <c r="P55" s="328"/>
      <c r="Q55" s="327">
        <v>0.2</v>
      </c>
      <c r="R55" s="329">
        <v>0</v>
      </c>
      <c r="S55" s="329">
        <v>0</v>
      </c>
      <c r="T55" s="329">
        <v>0</v>
      </c>
      <c r="U55" s="328">
        <v>0</v>
      </c>
      <c r="V55" s="326"/>
      <c r="W55" s="329"/>
      <c r="X55" s="329"/>
      <c r="Y55" s="329"/>
      <c r="Z55" s="328"/>
      <c r="AA55" s="326"/>
      <c r="AB55" s="329"/>
      <c r="AC55" s="329"/>
      <c r="AD55" s="329"/>
      <c r="AE55" s="328"/>
      <c r="AF55" s="327"/>
      <c r="AG55" s="329"/>
      <c r="AH55" s="329"/>
      <c r="AI55" s="734"/>
      <c r="AJ55" s="735"/>
      <c r="AK55" s="1613" t="s">
        <v>1038</v>
      </c>
      <c r="AL55" s="1614"/>
      <c r="AM55" s="1614"/>
      <c r="AN55" s="1614"/>
      <c r="AO55" s="1614"/>
      <c r="AP55" s="1614"/>
      <c r="AQ55" s="1614"/>
    </row>
    <row r="56" spans="2:43" s="323" customFormat="1" ht="15.75" customHeight="1">
      <c r="B56" s="736">
        <v>11</v>
      </c>
      <c r="C56" s="324"/>
      <c r="D56" s="324">
        <v>66</v>
      </c>
      <c r="E56" s="324"/>
      <c r="F56" s="324" t="s">
        <v>1037</v>
      </c>
      <c r="G56" s="325" t="s">
        <v>199</v>
      </c>
      <c r="H56" s="325"/>
      <c r="I56" s="325">
        <v>12</v>
      </c>
      <c r="J56" s="326">
        <v>0.3</v>
      </c>
      <c r="K56" s="779"/>
      <c r="L56" s="326"/>
      <c r="M56" s="327"/>
      <c r="N56" s="327"/>
      <c r="O56" s="327"/>
      <c r="P56" s="328"/>
      <c r="Q56" s="327">
        <v>0.3</v>
      </c>
      <c r="R56" s="329">
        <v>0</v>
      </c>
      <c r="S56" s="329">
        <v>0</v>
      </c>
      <c r="T56" s="329">
        <v>0</v>
      </c>
      <c r="U56" s="328">
        <v>0</v>
      </c>
      <c r="V56" s="326"/>
      <c r="W56" s="329"/>
      <c r="X56" s="329"/>
      <c r="Y56" s="329"/>
      <c r="Z56" s="328"/>
      <c r="AA56" s="326"/>
      <c r="AB56" s="329"/>
      <c r="AC56" s="329"/>
      <c r="AD56" s="329"/>
      <c r="AE56" s="328"/>
      <c r="AF56" s="327"/>
      <c r="AG56" s="329"/>
      <c r="AH56" s="329"/>
      <c r="AI56" s="734"/>
      <c r="AJ56" s="735"/>
      <c r="AK56" s="1613" t="s">
        <v>1039</v>
      </c>
      <c r="AL56" s="1614"/>
      <c r="AM56" s="1614"/>
      <c r="AN56" s="1614"/>
      <c r="AO56" s="1614"/>
      <c r="AP56" s="1614"/>
      <c r="AQ56" s="1614"/>
    </row>
    <row r="57" spans="2:43" s="323" customFormat="1" ht="15.75" customHeight="1">
      <c r="B57" s="736">
        <v>12</v>
      </c>
      <c r="C57" s="324"/>
      <c r="D57" s="324">
        <v>33</v>
      </c>
      <c r="E57" s="324"/>
      <c r="F57" s="324" t="s">
        <v>1030</v>
      </c>
      <c r="G57" s="325" t="s">
        <v>199</v>
      </c>
      <c r="H57" s="325"/>
      <c r="I57" s="325">
        <v>6</v>
      </c>
      <c r="J57" s="326">
        <v>0.9</v>
      </c>
      <c r="K57" s="779"/>
      <c r="L57" s="326"/>
      <c r="M57" s="327"/>
      <c r="N57" s="327"/>
      <c r="O57" s="327"/>
      <c r="P57" s="328"/>
      <c r="Q57" s="327">
        <v>0</v>
      </c>
      <c r="R57" s="329">
        <v>0.5</v>
      </c>
      <c r="S57" s="329">
        <v>0.4</v>
      </c>
      <c r="T57" s="329">
        <v>0</v>
      </c>
      <c r="U57" s="328">
        <v>0</v>
      </c>
      <c r="V57" s="326"/>
      <c r="W57" s="329"/>
      <c r="X57" s="329"/>
      <c r="Y57" s="329"/>
      <c r="Z57" s="328"/>
      <c r="AA57" s="326"/>
      <c r="AB57" s="329"/>
      <c r="AC57" s="329"/>
      <c r="AD57" s="329"/>
      <c r="AE57" s="328"/>
      <c r="AF57" s="327"/>
      <c r="AG57" s="329"/>
      <c r="AH57" s="329"/>
      <c r="AI57" s="734"/>
      <c r="AJ57" s="735"/>
      <c r="AK57" s="1613" t="s">
        <v>1040</v>
      </c>
      <c r="AL57" s="1614"/>
      <c r="AM57" s="1614"/>
      <c r="AN57" s="1614"/>
      <c r="AO57" s="1614"/>
      <c r="AP57" s="1614"/>
      <c r="AQ57" s="1614"/>
    </row>
    <row r="58" spans="2:43" s="323" customFormat="1" ht="15.75" customHeight="1">
      <c r="B58" s="736">
        <v>13</v>
      </c>
      <c r="C58" s="324"/>
      <c r="D58" s="324" t="s">
        <v>1022</v>
      </c>
      <c r="E58" s="324"/>
      <c r="F58" s="324" t="s">
        <v>1023</v>
      </c>
      <c r="G58" s="325" t="s">
        <v>138</v>
      </c>
      <c r="H58" s="325"/>
      <c r="I58" s="325">
        <v>14</v>
      </c>
      <c r="J58" s="326">
        <v>1.7</v>
      </c>
      <c r="K58" s="779"/>
      <c r="L58" s="326"/>
      <c r="M58" s="327"/>
      <c r="N58" s="327"/>
      <c r="O58" s="327"/>
      <c r="P58" s="328"/>
      <c r="Q58" s="327">
        <v>0.2</v>
      </c>
      <c r="R58" s="329">
        <v>0</v>
      </c>
      <c r="S58" s="329">
        <v>0.7</v>
      </c>
      <c r="T58" s="329">
        <v>0.8</v>
      </c>
      <c r="U58" s="328">
        <v>0</v>
      </c>
      <c r="V58" s="326"/>
      <c r="W58" s="329"/>
      <c r="X58" s="329"/>
      <c r="Y58" s="329"/>
      <c r="Z58" s="328"/>
      <c r="AA58" s="326"/>
      <c r="AB58" s="329"/>
      <c r="AC58" s="329"/>
      <c r="AD58" s="329"/>
      <c r="AE58" s="328"/>
      <c r="AF58" s="327"/>
      <c r="AG58" s="329"/>
      <c r="AH58" s="329"/>
      <c r="AI58" s="734"/>
      <c r="AJ58" s="735"/>
      <c r="AK58" s="1613" t="s">
        <v>1041</v>
      </c>
      <c r="AL58" s="1614"/>
      <c r="AM58" s="1614"/>
      <c r="AN58" s="1614"/>
      <c r="AO58" s="1614"/>
      <c r="AP58" s="1614"/>
      <c r="AQ58" s="1614"/>
    </row>
    <row r="59" spans="2:43" s="323" customFormat="1" ht="15.75" customHeight="1">
      <c r="B59" s="736">
        <v>14</v>
      </c>
      <c r="C59" s="324"/>
      <c r="D59" s="324">
        <v>33</v>
      </c>
      <c r="E59" s="324"/>
      <c r="F59" s="324" t="s">
        <v>1023</v>
      </c>
      <c r="G59" s="325" t="s">
        <v>199</v>
      </c>
      <c r="H59" s="325"/>
      <c r="I59" s="325">
        <v>15</v>
      </c>
      <c r="J59" s="326">
        <v>1.6</v>
      </c>
      <c r="K59" s="779"/>
      <c r="L59" s="326"/>
      <c r="M59" s="327"/>
      <c r="N59" s="327"/>
      <c r="O59" s="327"/>
      <c r="P59" s="328"/>
      <c r="Q59" s="327">
        <v>0</v>
      </c>
      <c r="R59" s="329">
        <v>0</v>
      </c>
      <c r="S59" s="329">
        <v>0.4</v>
      </c>
      <c r="T59" s="329">
        <v>0.6</v>
      </c>
      <c r="U59" s="328">
        <v>0.6</v>
      </c>
      <c r="V59" s="326"/>
      <c r="W59" s="329"/>
      <c r="X59" s="329"/>
      <c r="Y59" s="329"/>
      <c r="Z59" s="328"/>
      <c r="AA59" s="326"/>
      <c r="AB59" s="329"/>
      <c r="AC59" s="329"/>
      <c r="AD59" s="329"/>
      <c r="AE59" s="328"/>
      <c r="AF59" s="327"/>
      <c r="AG59" s="329"/>
      <c r="AH59" s="329"/>
      <c r="AI59" s="734"/>
      <c r="AJ59" s="735"/>
      <c r="AK59" s="1613" t="s">
        <v>1042</v>
      </c>
      <c r="AL59" s="1614"/>
      <c r="AM59" s="1614"/>
      <c r="AN59" s="1614"/>
      <c r="AO59" s="1614"/>
      <c r="AP59" s="1614"/>
      <c r="AQ59" s="1614"/>
    </row>
    <row r="60" spans="2:43" s="323" customFormat="1" ht="15.75" customHeight="1">
      <c r="B60" s="736">
        <v>15</v>
      </c>
      <c r="C60" s="324"/>
      <c r="D60" s="324" t="s">
        <v>1022</v>
      </c>
      <c r="E60" s="324"/>
      <c r="F60" s="324" t="s">
        <v>1043</v>
      </c>
      <c r="G60" s="325" t="s">
        <v>199</v>
      </c>
      <c r="H60" s="325"/>
      <c r="I60" s="325">
        <v>6.2</v>
      </c>
      <c r="J60" s="326">
        <v>0.8</v>
      </c>
      <c r="K60" s="779"/>
      <c r="L60" s="326"/>
      <c r="M60" s="327"/>
      <c r="N60" s="327"/>
      <c r="O60" s="327"/>
      <c r="P60" s="328"/>
      <c r="Q60" s="327">
        <v>0.6</v>
      </c>
      <c r="R60" s="329">
        <v>0.2</v>
      </c>
      <c r="S60" s="329">
        <v>0</v>
      </c>
      <c r="T60" s="329">
        <v>0</v>
      </c>
      <c r="U60" s="328">
        <v>0</v>
      </c>
      <c r="V60" s="326"/>
      <c r="W60" s="329"/>
      <c r="X60" s="329"/>
      <c r="Y60" s="329"/>
      <c r="Z60" s="328"/>
      <c r="AA60" s="326"/>
      <c r="AB60" s="329"/>
      <c r="AC60" s="329"/>
      <c r="AD60" s="329"/>
      <c r="AE60" s="328"/>
      <c r="AF60" s="327"/>
      <c r="AG60" s="329"/>
      <c r="AH60" s="329"/>
      <c r="AI60" s="734"/>
      <c r="AJ60" s="735"/>
      <c r="AK60" s="1613" t="s">
        <v>1044</v>
      </c>
      <c r="AL60" s="1614"/>
      <c r="AM60" s="1614"/>
      <c r="AN60" s="1614"/>
      <c r="AO60" s="1614"/>
      <c r="AP60" s="1614"/>
      <c r="AQ60" s="1614"/>
    </row>
    <row r="61" spans="2:43" s="323" customFormat="1" ht="15.75" customHeight="1">
      <c r="B61" s="736">
        <v>16</v>
      </c>
      <c r="C61" s="324"/>
      <c r="D61" s="324" t="s">
        <v>1022</v>
      </c>
      <c r="E61" s="324"/>
      <c r="F61" s="324" t="s">
        <v>1023</v>
      </c>
      <c r="G61" s="325" t="s">
        <v>199</v>
      </c>
      <c r="H61" s="325"/>
      <c r="I61" s="325">
        <v>15</v>
      </c>
      <c r="J61" s="326">
        <v>0.45</v>
      </c>
      <c r="K61" s="779"/>
      <c r="L61" s="326"/>
      <c r="M61" s="327"/>
      <c r="N61" s="327"/>
      <c r="O61" s="327"/>
      <c r="P61" s="328"/>
      <c r="Q61" s="327">
        <v>0</v>
      </c>
      <c r="R61" s="329">
        <v>0.45</v>
      </c>
      <c r="S61" s="329">
        <v>0</v>
      </c>
      <c r="T61" s="329">
        <v>0</v>
      </c>
      <c r="U61" s="328">
        <v>0</v>
      </c>
      <c r="V61" s="326"/>
      <c r="W61" s="329"/>
      <c r="X61" s="329"/>
      <c r="Y61" s="329"/>
      <c r="Z61" s="328"/>
      <c r="AA61" s="326"/>
      <c r="AB61" s="329"/>
      <c r="AC61" s="329"/>
      <c r="AD61" s="329"/>
      <c r="AE61" s="328"/>
      <c r="AF61" s="327"/>
      <c r="AG61" s="329"/>
      <c r="AH61" s="329"/>
      <c r="AI61" s="734"/>
      <c r="AJ61" s="735"/>
      <c r="AK61" s="1613" t="s">
        <v>1045</v>
      </c>
      <c r="AL61" s="1614"/>
      <c r="AM61" s="1614"/>
      <c r="AN61" s="1614"/>
      <c r="AO61" s="1614"/>
      <c r="AP61" s="1614"/>
      <c r="AQ61" s="1614"/>
    </row>
    <row r="62" spans="2:43" s="323" customFormat="1" ht="15.75" customHeight="1">
      <c r="B62" s="736">
        <v>17</v>
      </c>
      <c r="C62" s="324"/>
      <c r="D62" s="324">
        <v>33</v>
      </c>
      <c r="E62" s="324"/>
      <c r="F62" s="324" t="s">
        <v>853</v>
      </c>
      <c r="G62" s="325" t="s">
        <v>853</v>
      </c>
      <c r="H62" s="325"/>
      <c r="I62" s="325" t="s">
        <v>853</v>
      </c>
      <c r="J62" s="326">
        <v>2.2999999999999998</v>
      </c>
      <c r="K62" s="779"/>
      <c r="L62" s="326"/>
      <c r="M62" s="327"/>
      <c r="N62" s="327"/>
      <c r="O62" s="327"/>
      <c r="P62" s="328"/>
      <c r="Q62" s="327">
        <v>0.2</v>
      </c>
      <c r="R62" s="329">
        <v>0.2</v>
      </c>
      <c r="S62" s="329">
        <v>0.2</v>
      </c>
      <c r="T62" s="329">
        <v>0.2</v>
      </c>
      <c r="U62" s="328">
        <v>1.5</v>
      </c>
      <c r="V62" s="326"/>
      <c r="W62" s="329"/>
      <c r="X62" s="329"/>
      <c r="Y62" s="329"/>
      <c r="Z62" s="328"/>
      <c r="AA62" s="326"/>
      <c r="AB62" s="329"/>
      <c r="AC62" s="329"/>
      <c r="AD62" s="329"/>
      <c r="AE62" s="328"/>
      <c r="AF62" s="327"/>
      <c r="AG62" s="329"/>
      <c r="AH62" s="329"/>
      <c r="AI62" s="734"/>
      <c r="AJ62" s="735"/>
      <c r="AK62" s="1613" t="s">
        <v>1046</v>
      </c>
      <c r="AL62" s="1614"/>
      <c r="AM62" s="1614"/>
      <c r="AN62" s="1614"/>
      <c r="AO62" s="1614"/>
      <c r="AP62" s="1614"/>
      <c r="AQ62" s="1614"/>
    </row>
    <row r="63" spans="2:43" s="323" customFormat="1" ht="15.75" customHeight="1">
      <c r="B63" s="736">
        <v>18</v>
      </c>
      <c r="C63" s="324"/>
      <c r="D63" s="324" t="s">
        <v>1047</v>
      </c>
      <c r="E63" s="324"/>
      <c r="F63" s="324" t="s">
        <v>1023</v>
      </c>
      <c r="G63" s="325" t="s">
        <v>118</v>
      </c>
      <c r="H63" s="325"/>
      <c r="I63" s="325">
        <v>11.3</v>
      </c>
      <c r="J63" s="326">
        <v>2.5</v>
      </c>
      <c r="K63" s="779"/>
      <c r="L63" s="326"/>
      <c r="M63" s="327"/>
      <c r="N63" s="327"/>
      <c r="O63" s="327">
        <v>1</v>
      </c>
      <c r="P63" s="328">
        <v>1</v>
      </c>
      <c r="Q63" s="327">
        <v>0.5</v>
      </c>
      <c r="R63" s="329">
        <v>0</v>
      </c>
      <c r="S63" s="329">
        <v>0</v>
      </c>
      <c r="T63" s="329">
        <v>0</v>
      </c>
      <c r="U63" s="328">
        <v>0</v>
      </c>
      <c r="V63" s="326"/>
      <c r="W63" s="329"/>
      <c r="X63" s="329"/>
      <c r="Y63" s="329"/>
      <c r="Z63" s="328"/>
      <c r="AA63" s="326"/>
      <c r="AB63" s="329"/>
      <c r="AC63" s="329"/>
      <c r="AD63" s="329"/>
      <c r="AE63" s="328"/>
      <c r="AF63" s="327"/>
      <c r="AG63" s="329"/>
      <c r="AH63" s="329"/>
      <c r="AI63" s="734"/>
      <c r="AJ63" s="735"/>
      <c r="AK63" s="1613" t="s">
        <v>1048</v>
      </c>
      <c r="AL63" s="1614"/>
      <c r="AM63" s="1614"/>
      <c r="AN63" s="1614"/>
      <c r="AO63" s="1614"/>
      <c r="AP63" s="1614"/>
      <c r="AQ63" s="1614"/>
    </row>
    <row r="64" spans="2:43" s="323" customFormat="1" ht="15.75" customHeight="1">
      <c r="B64" s="736">
        <v>19</v>
      </c>
      <c r="C64" s="324"/>
      <c r="D64" s="324" t="s">
        <v>1047</v>
      </c>
      <c r="E64" s="324"/>
      <c r="F64" s="324" t="s">
        <v>1030</v>
      </c>
      <c r="G64" s="325" t="s">
        <v>118</v>
      </c>
      <c r="H64" s="325"/>
      <c r="I64" s="325">
        <v>14.5</v>
      </c>
      <c r="J64" s="326">
        <v>2</v>
      </c>
      <c r="K64" s="779"/>
      <c r="L64" s="326"/>
      <c r="M64" s="327"/>
      <c r="N64" s="327"/>
      <c r="O64" s="327"/>
      <c r="P64" s="328">
        <v>0.5</v>
      </c>
      <c r="Q64" s="327">
        <v>1.5</v>
      </c>
      <c r="R64" s="329">
        <v>0</v>
      </c>
      <c r="S64" s="329">
        <v>0</v>
      </c>
      <c r="T64" s="329">
        <v>0</v>
      </c>
      <c r="U64" s="328">
        <v>0</v>
      </c>
      <c r="V64" s="326"/>
      <c r="W64" s="329"/>
      <c r="X64" s="329"/>
      <c r="Y64" s="329"/>
      <c r="Z64" s="328"/>
      <c r="AA64" s="326"/>
      <c r="AB64" s="329"/>
      <c r="AC64" s="329"/>
      <c r="AD64" s="329"/>
      <c r="AE64" s="328"/>
      <c r="AF64" s="327"/>
      <c r="AG64" s="329"/>
      <c r="AH64" s="329"/>
      <c r="AI64" s="734"/>
      <c r="AJ64" s="735"/>
      <c r="AK64" s="1613" t="s">
        <v>1049</v>
      </c>
      <c r="AL64" s="1614"/>
      <c r="AM64" s="1614"/>
      <c r="AN64" s="1614"/>
      <c r="AO64" s="1614"/>
      <c r="AP64" s="1614"/>
      <c r="AQ64" s="1614"/>
    </row>
    <row r="65" spans="2:43" s="323" customFormat="1" ht="15.75" customHeight="1">
      <c r="B65" s="736">
        <v>20</v>
      </c>
      <c r="C65" s="330"/>
      <c r="D65" s="324" t="s">
        <v>1050</v>
      </c>
      <c r="E65" s="324"/>
      <c r="F65" s="324" t="s">
        <v>1025</v>
      </c>
      <c r="G65" s="325" t="s">
        <v>136</v>
      </c>
      <c r="H65" s="325"/>
      <c r="I65" s="325">
        <v>11</v>
      </c>
      <c r="J65" s="326">
        <v>1</v>
      </c>
      <c r="K65" s="781"/>
      <c r="L65" s="326"/>
      <c r="M65" s="327"/>
      <c r="N65" s="327"/>
      <c r="O65" s="327"/>
      <c r="P65" s="328"/>
      <c r="Q65" s="327">
        <v>0</v>
      </c>
      <c r="R65" s="329">
        <v>1</v>
      </c>
      <c r="S65" s="329">
        <v>0</v>
      </c>
      <c r="T65" s="329">
        <v>0</v>
      </c>
      <c r="U65" s="328">
        <v>0</v>
      </c>
      <c r="V65" s="326"/>
      <c r="W65" s="329"/>
      <c r="X65" s="329"/>
      <c r="Y65" s="329"/>
      <c r="Z65" s="328"/>
      <c r="AA65" s="326"/>
      <c r="AB65" s="329"/>
      <c r="AC65" s="329"/>
      <c r="AD65" s="329"/>
      <c r="AE65" s="328"/>
      <c r="AF65" s="327"/>
      <c r="AG65" s="329"/>
      <c r="AH65" s="329"/>
      <c r="AI65" s="734"/>
      <c r="AJ65" s="735"/>
      <c r="AK65" s="1615" t="s">
        <v>1051</v>
      </c>
      <c r="AL65" s="1614"/>
      <c r="AM65" s="1614"/>
      <c r="AN65" s="1614"/>
      <c r="AO65" s="1614"/>
      <c r="AP65" s="1614"/>
      <c r="AQ65" s="1614"/>
    </row>
    <row r="66" spans="2:43" s="323" customFormat="1" ht="15.75" customHeight="1">
      <c r="B66" s="736">
        <v>21</v>
      </c>
      <c r="C66" s="330"/>
      <c r="D66" s="324" t="s">
        <v>1050</v>
      </c>
      <c r="E66" s="324"/>
      <c r="F66" s="324" t="s">
        <v>1023</v>
      </c>
      <c r="G66" s="325" t="s">
        <v>138</v>
      </c>
      <c r="H66" s="325"/>
      <c r="I66" s="325">
        <v>40</v>
      </c>
      <c r="J66" s="326">
        <v>1</v>
      </c>
      <c r="K66" s="781"/>
      <c r="L66" s="326"/>
      <c r="M66" s="327"/>
      <c r="N66" s="327"/>
      <c r="O66" s="327"/>
      <c r="P66" s="328"/>
      <c r="Q66" s="327">
        <v>0</v>
      </c>
      <c r="R66" s="329">
        <v>0</v>
      </c>
      <c r="S66" s="329">
        <v>0</v>
      </c>
      <c r="T66" s="329">
        <v>0</v>
      </c>
      <c r="U66" s="328">
        <v>1</v>
      </c>
      <c r="V66" s="326"/>
      <c r="W66" s="329"/>
      <c r="X66" s="329"/>
      <c r="Y66" s="329"/>
      <c r="Z66" s="328"/>
      <c r="AA66" s="326"/>
      <c r="AB66" s="329"/>
      <c r="AC66" s="329"/>
      <c r="AD66" s="329"/>
      <c r="AE66" s="328"/>
      <c r="AF66" s="327"/>
      <c r="AG66" s="329"/>
      <c r="AH66" s="329"/>
      <c r="AI66" s="734"/>
      <c r="AJ66" s="735"/>
      <c r="AK66" s="1615" t="s">
        <v>1052</v>
      </c>
      <c r="AL66" s="1614"/>
      <c r="AM66" s="1614"/>
      <c r="AN66" s="1614"/>
      <c r="AO66" s="1614"/>
      <c r="AP66" s="1614"/>
      <c r="AQ66" s="1614"/>
    </row>
    <row r="67" spans="2:43" s="323" customFormat="1" ht="15.75" customHeight="1">
      <c r="B67" s="736">
        <v>22</v>
      </c>
      <c r="C67" s="330"/>
      <c r="D67" s="324" t="s">
        <v>1050</v>
      </c>
      <c r="E67" s="324"/>
      <c r="F67" s="324" t="s">
        <v>1025</v>
      </c>
      <c r="G67" s="325" t="s">
        <v>139</v>
      </c>
      <c r="H67" s="325"/>
      <c r="I67" s="325">
        <v>40</v>
      </c>
      <c r="J67" s="326">
        <v>1</v>
      </c>
      <c r="K67" s="781"/>
      <c r="L67" s="326"/>
      <c r="M67" s="327"/>
      <c r="N67" s="327"/>
      <c r="O67" s="327"/>
      <c r="P67" s="328"/>
      <c r="Q67" s="327">
        <v>0</v>
      </c>
      <c r="R67" s="329">
        <v>0</v>
      </c>
      <c r="S67" s="329">
        <v>0</v>
      </c>
      <c r="T67" s="329">
        <v>1</v>
      </c>
      <c r="U67" s="328">
        <v>0</v>
      </c>
      <c r="V67" s="326"/>
      <c r="W67" s="329"/>
      <c r="X67" s="329"/>
      <c r="Y67" s="329"/>
      <c r="Z67" s="328"/>
      <c r="AA67" s="326"/>
      <c r="AB67" s="329"/>
      <c r="AC67" s="329"/>
      <c r="AD67" s="329"/>
      <c r="AE67" s="328"/>
      <c r="AF67" s="327"/>
      <c r="AG67" s="329"/>
      <c r="AH67" s="329"/>
      <c r="AI67" s="734"/>
      <c r="AJ67" s="735"/>
      <c r="AK67" s="1615" t="s">
        <v>1052</v>
      </c>
      <c r="AL67" s="1614"/>
      <c r="AM67" s="1614"/>
      <c r="AN67" s="1614"/>
      <c r="AO67" s="1614"/>
      <c r="AP67" s="1614"/>
      <c r="AQ67" s="1614"/>
    </row>
    <row r="68" spans="2:43" s="323" customFormat="1" ht="15.75" customHeight="1">
      <c r="B68" s="736">
        <v>23</v>
      </c>
      <c r="C68" s="330"/>
      <c r="D68" s="324" t="s">
        <v>1047</v>
      </c>
      <c r="E68" s="324"/>
      <c r="F68" s="324" t="s">
        <v>1023</v>
      </c>
      <c r="G68" s="325" t="s">
        <v>139</v>
      </c>
      <c r="H68" s="325"/>
      <c r="I68" s="325">
        <v>30</v>
      </c>
      <c r="J68" s="326">
        <v>1.2</v>
      </c>
      <c r="K68" s="781"/>
      <c r="L68" s="326"/>
      <c r="M68" s="327"/>
      <c r="N68" s="327"/>
      <c r="O68" s="327"/>
      <c r="P68" s="328"/>
      <c r="Q68" s="327">
        <v>0</v>
      </c>
      <c r="R68" s="329">
        <v>0</v>
      </c>
      <c r="S68" s="329">
        <v>0</v>
      </c>
      <c r="T68" s="329">
        <v>0</v>
      </c>
      <c r="U68" s="328">
        <v>1.2</v>
      </c>
      <c r="V68" s="326"/>
      <c r="W68" s="329"/>
      <c r="X68" s="329"/>
      <c r="Y68" s="329"/>
      <c r="Z68" s="328"/>
      <c r="AA68" s="326"/>
      <c r="AB68" s="329"/>
      <c r="AC68" s="329"/>
      <c r="AD68" s="329"/>
      <c r="AE68" s="328"/>
      <c r="AF68" s="327"/>
      <c r="AG68" s="329"/>
      <c r="AH68" s="329"/>
      <c r="AI68" s="734"/>
      <c r="AJ68" s="735"/>
      <c r="AK68" s="1615" t="s">
        <v>1053</v>
      </c>
      <c r="AL68" s="1614"/>
      <c r="AM68" s="1614"/>
      <c r="AN68" s="1614"/>
      <c r="AO68" s="1614"/>
      <c r="AP68" s="1614"/>
      <c r="AQ68" s="1614"/>
    </row>
    <row r="69" spans="2:43" s="323" customFormat="1" ht="15.75" customHeight="1">
      <c r="B69" s="736">
        <v>24</v>
      </c>
      <c r="C69" s="330"/>
      <c r="D69" s="330">
        <v>132</v>
      </c>
      <c r="E69" s="330" t="s">
        <v>853</v>
      </c>
      <c r="F69" s="330"/>
      <c r="G69" s="331"/>
      <c r="H69" s="325"/>
      <c r="I69" s="331" t="s">
        <v>853</v>
      </c>
      <c r="J69" s="780">
        <v>0.6</v>
      </c>
      <c r="K69" s="781"/>
      <c r="L69" s="780"/>
      <c r="M69" s="332"/>
      <c r="N69" s="332"/>
      <c r="O69" s="332"/>
      <c r="P69" s="333"/>
      <c r="Q69" s="332">
        <v>0</v>
      </c>
      <c r="R69" s="334">
        <v>0</v>
      </c>
      <c r="S69" s="334">
        <v>0.6</v>
      </c>
      <c r="T69" s="334">
        <v>0</v>
      </c>
      <c r="U69" s="333" t="s">
        <v>853</v>
      </c>
      <c r="V69" s="326"/>
      <c r="W69" s="329"/>
      <c r="X69" s="329"/>
      <c r="Y69" s="329"/>
      <c r="Z69" s="328"/>
      <c r="AA69" s="326"/>
      <c r="AB69" s="329"/>
      <c r="AC69" s="329"/>
      <c r="AD69" s="329"/>
      <c r="AE69" s="328"/>
      <c r="AF69" s="327"/>
      <c r="AG69" s="329"/>
      <c r="AH69" s="329"/>
      <c r="AI69" s="734"/>
      <c r="AJ69" s="735"/>
      <c r="AK69" s="1615" t="s">
        <v>1054</v>
      </c>
      <c r="AL69" s="1614"/>
      <c r="AM69" s="1614"/>
      <c r="AN69" s="1614"/>
      <c r="AO69" s="1614"/>
      <c r="AP69" s="1614"/>
      <c r="AQ69" s="1614"/>
    </row>
    <row r="70" spans="2:43" s="323" customFormat="1" ht="15.75" customHeight="1">
      <c r="B70" s="736">
        <v>25</v>
      </c>
      <c r="C70" s="330"/>
      <c r="D70" s="330"/>
      <c r="E70" s="324"/>
      <c r="F70" s="330"/>
      <c r="G70" s="331"/>
      <c r="H70" s="325"/>
      <c r="I70" s="331"/>
      <c r="J70" s="780"/>
      <c r="K70" s="781"/>
      <c r="L70" s="780"/>
      <c r="M70" s="332"/>
      <c r="N70" s="332"/>
      <c r="O70" s="332"/>
      <c r="P70" s="333"/>
      <c r="Q70" s="332"/>
      <c r="R70" s="334"/>
      <c r="S70" s="334"/>
      <c r="T70" s="334"/>
      <c r="U70" s="333"/>
      <c r="V70" s="326"/>
      <c r="W70" s="329"/>
      <c r="X70" s="329"/>
      <c r="Y70" s="329"/>
      <c r="Z70" s="328"/>
      <c r="AA70" s="326"/>
      <c r="AB70" s="329"/>
      <c r="AC70" s="329"/>
      <c r="AD70" s="329"/>
      <c r="AE70" s="328"/>
      <c r="AF70" s="327"/>
      <c r="AG70" s="329"/>
      <c r="AH70" s="329"/>
      <c r="AI70" s="734"/>
      <c r="AJ70" s="735"/>
      <c r="AK70" s="997"/>
    </row>
    <row r="71" spans="2:43" s="323" customFormat="1" ht="15.75" customHeight="1">
      <c r="B71" s="736">
        <v>26</v>
      </c>
      <c r="C71" s="330"/>
      <c r="D71" s="330"/>
      <c r="E71" s="324"/>
      <c r="F71" s="330"/>
      <c r="G71" s="331"/>
      <c r="H71" s="325"/>
      <c r="I71" s="331"/>
      <c r="J71" s="780"/>
      <c r="K71" s="781"/>
      <c r="L71" s="780"/>
      <c r="M71" s="332"/>
      <c r="N71" s="332"/>
      <c r="O71" s="332"/>
      <c r="P71" s="333"/>
      <c r="Q71" s="332"/>
      <c r="R71" s="334"/>
      <c r="S71" s="334"/>
      <c r="T71" s="334"/>
      <c r="U71" s="333"/>
      <c r="V71" s="326"/>
      <c r="W71" s="329"/>
      <c r="X71" s="329"/>
      <c r="Y71" s="329"/>
      <c r="Z71" s="328"/>
      <c r="AA71" s="326"/>
      <c r="AB71" s="329"/>
      <c r="AC71" s="329"/>
      <c r="AD71" s="329"/>
      <c r="AE71" s="328"/>
      <c r="AF71" s="327"/>
      <c r="AG71" s="329"/>
      <c r="AH71" s="329"/>
      <c r="AI71" s="734"/>
      <c r="AJ71" s="735"/>
      <c r="AK71" s="997"/>
    </row>
    <row r="72" spans="2:43" s="323" customFormat="1" ht="15.75" customHeight="1">
      <c r="B72" s="736">
        <v>27</v>
      </c>
      <c r="C72" s="330"/>
      <c r="D72" s="330"/>
      <c r="E72" s="324"/>
      <c r="F72" s="330"/>
      <c r="G72" s="331"/>
      <c r="H72" s="325"/>
      <c r="I72" s="331"/>
      <c r="J72" s="780"/>
      <c r="K72" s="781"/>
      <c r="L72" s="780"/>
      <c r="M72" s="332"/>
      <c r="N72" s="332"/>
      <c r="O72" s="332"/>
      <c r="P72" s="333"/>
      <c r="Q72" s="332"/>
      <c r="R72" s="334"/>
      <c r="S72" s="334"/>
      <c r="T72" s="334"/>
      <c r="U72" s="333"/>
      <c r="V72" s="326"/>
      <c r="W72" s="329"/>
      <c r="X72" s="329"/>
      <c r="Y72" s="329"/>
      <c r="Z72" s="328"/>
      <c r="AA72" s="326"/>
      <c r="AB72" s="329"/>
      <c r="AC72" s="329"/>
      <c r="AD72" s="329"/>
      <c r="AE72" s="328"/>
      <c r="AF72" s="327"/>
      <c r="AG72" s="329"/>
      <c r="AH72" s="329"/>
      <c r="AI72" s="734"/>
      <c r="AJ72" s="735"/>
      <c r="AK72" s="997"/>
    </row>
    <row r="73" spans="2:43" s="323" customFormat="1" ht="15.75" customHeight="1">
      <c r="B73" s="736">
        <v>28</v>
      </c>
      <c r="C73" s="330"/>
      <c r="D73" s="330"/>
      <c r="E73" s="324"/>
      <c r="F73" s="330"/>
      <c r="G73" s="331"/>
      <c r="H73" s="325"/>
      <c r="I73" s="331"/>
      <c r="J73" s="780"/>
      <c r="K73" s="781"/>
      <c r="L73" s="780"/>
      <c r="M73" s="332"/>
      <c r="N73" s="332"/>
      <c r="O73" s="332"/>
      <c r="P73" s="333"/>
      <c r="Q73" s="332"/>
      <c r="R73" s="334"/>
      <c r="S73" s="334"/>
      <c r="T73" s="334"/>
      <c r="U73" s="333"/>
      <c r="V73" s="326"/>
      <c r="W73" s="329"/>
      <c r="X73" s="329"/>
      <c r="Y73" s="329"/>
      <c r="Z73" s="328"/>
      <c r="AA73" s="326"/>
      <c r="AB73" s="329"/>
      <c r="AC73" s="329"/>
      <c r="AD73" s="329"/>
      <c r="AE73" s="328"/>
      <c r="AF73" s="327"/>
      <c r="AG73" s="329"/>
      <c r="AH73" s="329"/>
      <c r="AI73" s="734"/>
      <c r="AJ73" s="735"/>
      <c r="AK73" s="997"/>
    </row>
    <row r="74" spans="2:43" s="323" customFormat="1" ht="15.75" customHeight="1">
      <c r="B74" s="736">
        <v>29</v>
      </c>
      <c r="C74" s="330"/>
      <c r="D74" s="330"/>
      <c r="E74" s="324"/>
      <c r="F74" s="330"/>
      <c r="G74" s="331"/>
      <c r="H74" s="325"/>
      <c r="I74" s="331"/>
      <c r="J74" s="780"/>
      <c r="K74" s="781"/>
      <c r="L74" s="780"/>
      <c r="M74" s="332"/>
      <c r="N74" s="332"/>
      <c r="O74" s="332"/>
      <c r="P74" s="333"/>
      <c r="Q74" s="332"/>
      <c r="R74" s="334"/>
      <c r="S74" s="334"/>
      <c r="T74" s="334"/>
      <c r="U74" s="333"/>
      <c r="V74" s="326"/>
      <c r="W74" s="329"/>
      <c r="X74" s="329"/>
      <c r="Y74" s="329"/>
      <c r="Z74" s="328"/>
      <c r="AA74" s="326"/>
      <c r="AB74" s="329"/>
      <c r="AC74" s="329"/>
      <c r="AD74" s="329"/>
      <c r="AE74" s="328"/>
      <c r="AF74" s="327"/>
      <c r="AG74" s="329"/>
      <c r="AH74" s="329"/>
      <c r="AI74" s="734"/>
      <c r="AJ74" s="735"/>
      <c r="AK74" s="997"/>
    </row>
    <row r="75" spans="2:43" s="323" customFormat="1" ht="15.75" customHeight="1">
      <c r="B75" s="736">
        <v>30</v>
      </c>
      <c r="C75" s="330"/>
      <c r="D75" s="330"/>
      <c r="E75" s="324"/>
      <c r="F75" s="330"/>
      <c r="G75" s="331"/>
      <c r="H75" s="325"/>
      <c r="I75" s="331"/>
      <c r="J75" s="780"/>
      <c r="K75" s="781"/>
      <c r="L75" s="780"/>
      <c r="M75" s="332"/>
      <c r="N75" s="332"/>
      <c r="O75" s="332"/>
      <c r="P75" s="333"/>
      <c r="Q75" s="332"/>
      <c r="R75" s="334"/>
      <c r="S75" s="334"/>
      <c r="T75" s="334"/>
      <c r="U75" s="333"/>
      <c r="V75" s="326"/>
      <c r="W75" s="329"/>
      <c r="X75" s="329"/>
      <c r="Y75" s="329"/>
      <c r="Z75" s="328"/>
      <c r="AA75" s="326"/>
      <c r="AB75" s="329"/>
      <c r="AC75" s="329"/>
      <c r="AD75" s="329"/>
      <c r="AE75" s="328"/>
      <c r="AF75" s="327"/>
      <c r="AG75" s="329"/>
      <c r="AH75" s="329"/>
      <c r="AI75" s="734"/>
      <c r="AJ75" s="735"/>
      <c r="AK75" s="997"/>
    </row>
    <row r="76" spans="2:43" s="323" customFormat="1" ht="15.75" customHeight="1">
      <c r="B76" s="736">
        <v>31</v>
      </c>
      <c r="C76" s="330"/>
      <c r="D76" s="330"/>
      <c r="E76" s="324"/>
      <c r="F76" s="330"/>
      <c r="G76" s="331"/>
      <c r="H76" s="325"/>
      <c r="I76" s="331"/>
      <c r="J76" s="780"/>
      <c r="K76" s="781"/>
      <c r="L76" s="780"/>
      <c r="M76" s="332"/>
      <c r="N76" s="332"/>
      <c r="O76" s="332"/>
      <c r="P76" s="333"/>
      <c r="Q76" s="332"/>
      <c r="R76" s="334"/>
      <c r="S76" s="334"/>
      <c r="T76" s="334"/>
      <c r="U76" s="333"/>
      <c r="V76" s="326"/>
      <c r="W76" s="329"/>
      <c r="X76" s="329"/>
      <c r="Y76" s="329"/>
      <c r="Z76" s="328"/>
      <c r="AA76" s="326"/>
      <c r="AB76" s="329"/>
      <c r="AC76" s="329"/>
      <c r="AD76" s="329"/>
      <c r="AE76" s="328"/>
      <c r="AF76" s="327"/>
      <c r="AG76" s="329"/>
      <c r="AH76" s="329"/>
      <c r="AI76" s="734"/>
      <c r="AJ76" s="735"/>
      <c r="AK76" s="997"/>
    </row>
    <row r="77" spans="2:43" s="323" customFormat="1" ht="15.75" customHeight="1">
      <c r="B77" s="736">
        <v>32</v>
      </c>
      <c r="C77" s="330"/>
      <c r="D77" s="330"/>
      <c r="E77" s="324"/>
      <c r="F77" s="330"/>
      <c r="G77" s="331"/>
      <c r="H77" s="325"/>
      <c r="I77" s="331"/>
      <c r="J77" s="780"/>
      <c r="K77" s="781"/>
      <c r="L77" s="780"/>
      <c r="M77" s="332"/>
      <c r="N77" s="332"/>
      <c r="O77" s="332"/>
      <c r="P77" s="333"/>
      <c r="Q77" s="332"/>
      <c r="R77" s="334"/>
      <c r="S77" s="334"/>
      <c r="T77" s="334"/>
      <c r="U77" s="333"/>
      <c r="V77" s="326"/>
      <c r="W77" s="329"/>
      <c r="X77" s="329"/>
      <c r="Y77" s="329"/>
      <c r="Z77" s="328"/>
      <c r="AA77" s="326"/>
      <c r="AB77" s="329"/>
      <c r="AC77" s="329"/>
      <c r="AD77" s="329"/>
      <c r="AE77" s="328"/>
      <c r="AF77" s="327"/>
      <c r="AG77" s="329"/>
      <c r="AH77" s="329"/>
      <c r="AI77" s="734"/>
      <c r="AJ77" s="735"/>
      <c r="AK77" s="997"/>
    </row>
    <row r="78" spans="2:43" s="323" customFormat="1" ht="15.75" customHeight="1">
      <c r="B78" s="736">
        <v>33</v>
      </c>
      <c r="C78" s="330"/>
      <c r="D78" s="330"/>
      <c r="E78" s="324"/>
      <c r="F78" s="330"/>
      <c r="G78" s="331"/>
      <c r="H78" s="325"/>
      <c r="I78" s="331"/>
      <c r="J78" s="780"/>
      <c r="K78" s="781"/>
      <c r="L78" s="780"/>
      <c r="M78" s="332"/>
      <c r="N78" s="332"/>
      <c r="O78" s="332"/>
      <c r="P78" s="333"/>
      <c r="Q78" s="332"/>
      <c r="R78" s="334"/>
      <c r="S78" s="334"/>
      <c r="T78" s="334"/>
      <c r="U78" s="333"/>
      <c r="V78" s="326"/>
      <c r="W78" s="329"/>
      <c r="X78" s="329"/>
      <c r="Y78" s="329"/>
      <c r="Z78" s="328"/>
      <c r="AA78" s="326"/>
      <c r="AB78" s="329"/>
      <c r="AC78" s="329"/>
      <c r="AD78" s="329"/>
      <c r="AE78" s="328"/>
      <c r="AF78" s="327"/>
      <c r="AG78" s="329"/>
      <c r="AH78" s="329"/>
      <c r="AI78" s="734"/>
      <c r="AJ78" s="735"/>
      <c r="AK78" s="997"/>
    </row>
    <row r="79" spans="2:43" s="323" customFormat="1" ht="15.75" customHeight="1">
      <c r="B79" s="736">
        <v>34</v>
      </c>
      <c r="C79" s="330"/>
      <c r="D79" s="330"/>
      <c r="E79" s="324"/>
      <c r="F79" s="330"/>
      <c r="G79" s="331"/>
      <c r="H79" s="325"/>
      <c r="I79" s="331"/>
      <c r="J79" s="780"/>
      <c r="K79" s="781"/>
      <c r="L79" s="780"/>
      <c r="M79" s="332"/>
      <c r="N79" s="332"/>
      <c r="O79" s="332"/>
      <c r="P79" s="333"/>
      <c r="Q79" s="332"/>
      <c r="R79" s="334"/>
      <c r="S79" s="334"/>
      <c r="T79" s="334"/>
      <c r="U79" s="333"/>
      <c r="V79" s="326"/>
      <c r="W79" s="329"/>
      <c r="X79" s="329"/>
      <c r="Y79" s="329"/>
      <c r="Z79" s="328"/>
      <c r="AA79" s="326"/>
      <c r="AB79" s="329"/>
      <c r="AC79" s="329"/>
      <c r="AD79" s="329"/>
      <c r="AE79" s="328"/>
      <c r="AF79" s="327"/>
      <c r="AG79" s="329"/>
      <c r="AH79" s="329"/>
      <c r="AI79" s="734"/>
      <c r="AJ79" s="735"/>
      <c r="AK79" s="997"/>
    </row>
    <row r="80" spans="2:43" s="323" customFormat="1" ht="15.75" customHeight="1">
      <c r="B80" s="736">
        <v>35</v>
      </c>
      <c r="C80" s="330"/>
      <c r="D80" s="330"/>
      <c r="E80" s="324"/>
      <c r="F80" s="330"/>
      <c r="G80" s="331"/>
      <c r="H80" s="325"/>
      <c r="I80" s="331"/>
      <c r="J80" s="780"/>
      <c r="K80" s="781"/>
      <c r="L80" s="780"/>
      <c r="M80" s="332"/>
      <c r="N80" s="332"/>
      <c r="O80" s="332"/>
      <c r="P80" s="333"/>
      <c r="Q80" s="332"/>
      <c r="R80" s="334"/>
      <c r="S80" s="334"/>
      <c r="T80" s="334"/>
      <c r="U80" s="333"/>
      <c r="V80" s="326"/>
      <c r="W80" s="329"/>
      <c r="X80" s="329"/>
      <c r="Y80" s="329"/>
      <c r="Z80" s="328"/>
      <c r="AA80" s="326"/>
      <c r="AB80" s="329"/>
      <c r="AC80" s="329"/>
      <c r="AD80" s="329"/>
      <c r="AE80" s="328"/>
      <c r="AF80" s="327"/>
      <c r="AG80" s="329"/>
      <c r="AH80" s="329"/>
      <c r="AI80" s="734"/>
      <c r="AJ80" s="735"/>
      <c r="AK80" s="997"/>
    </row>
    <row r="81" spans="2:37" s="323" customFormat="1" ht="15.75" customHeight="1">
      <c r="B81" s="736">
        <v>36</v>
      </c>
      <c r="C81" s="330"/>
      <c r="D81" s="330"/>
      <c r="E81" s="324"/>
      <c r="F81" s="330"/>
      <c r="G81" s="331"/>
      <c r="H81" s="325"/>
      <c r="I81" s="331"/>
      <c r="J81" s="780"/>
      <c r="K81" s="781"/>
      <c r="L81" s="780"/>
      <c r="M81" s="332"/>
      <c r="N81" s="332"/>
      <c r="O81" s="332"/>
      <c r="P81" s="333"/>
      <c r="Q81" s="332"/>
      <c r="R81" s="334"/>
      <c r="S81" s="334"/>
      <c r="T81" s="334"/>
      <c r="U81" s="333"/>
      <c r="V81" s="326"/>
      <c r="W81" s="329"/>
      <c r="X81" s="329"/>
      <c r="Y81" s="329"/>
      <c r="Z81" s="328"/>
      <c r="AA81" s="326"/>
      <c r="AB81" s="329"/>
      <c r="AC81" s="329"/>
      <c r="AD81" s="329"/>
      <c r="AE81" s="328"/>
      <c r="AF81" s="327"/>
      <c r="AG81" s="329"/>
      <c r="AH81" s="329"/>
      <c r="AI81" s="734"/>
      <c r="AJ81" s="735"/>
      <c r="AK81" s="997"/>
    </row>
    <row r="82" spans="2:37" s="323" customFormat="1" ht="15.75" customHeight="1">
      <c r="B82" s="736">
        <v>37</v>
      </c>
      <c r="C82" s="330"/>
      <c r="D82" s="330"/>
      <c r="E82" s="324"/>
      <c r="F82" s="330"/>
      <c r="G82" s="331"/>
      <c r="H82" s="325"/>
      <c r="I82" s="331"/>
      <c r="J82" s="780"/>
      <c r="K82" s="781"/>
      <c r="L82" s="780"/>
      <c r="M82" s="332"/>
      <c r="N82" s="332"/>
      <c r="O82" s="332"/>
      <c r="P82" s="333"/>
      <c r="Q82" s="332"/>
      <c r="R82" s="334"/>
      <c r="S82" s="334"/>
      <c r="T82" s="334"/>
      <c r="U82" s="333"/>
      <c r="V82" s="326"/>
      <c r="W82" s="329"/>
      <c r="X82" s="329"/>
      <c r="Y82" s="329"/>
      <c r="Z82" s="328"/>
      <c r="AA82" s="326"/>
      <c r="AB82" s="329"/>
      <c r="AC82" s="329"/>
      <c r="AD82" s="329"/>
      <c r="AE82" s="328"/>
      <c r="AF82" s="327"/>
      <c r="AG82" s="329"/>
      <c r="AH82" s="329"/>
      <c r="AI82" s="734"/>
      <c r="AJ82" s="735"/>
      <c r="AK82" s="997"/>
    </row>
    <row r="83" spans="2:37" s="323" customFormat="1" ht="15.75" customHeight="1">
      <c r="B83" s="736">
        <v>38</v>
      </c>
      <c r="C83" s="330"/>
      <c r="D83" s="330"/>
      <c r="E83" s="324"/>
      <c r="F83" s="330"/>
      <c r="G83" s="331"/>
      <c r="H83" s="325"/>
      <c r="I83" s="331"/>
      <c r="J83" s="780"/>
      <c r="K83" s="781"/>
      <c r="L83" s="780"/>
      <c r="M83" s="332"/>
      <c r="N83" s="332"/>
      <c r="O83" s="332"/>
      <c r="P83" s="333"/>
      <c r="Q83" s="332"/>
      <c r="R83" s="334"/>
      <c r="S83" s="334"/>
      <c r="T83" s="334"/>
      <c r="U83" s="333"/>
      <c r="V83" s="326"/>
      <c r="W83" s="329"/>
      <c r="X83" s="329"/>
      <c r="Y83" s="329"/>
      <c r="Z83" s="328"/>
      <c r="AA83" s="326"/>
      <c r="AB83" s="329"/>
      <c r="AC83" s="329"/>
      <c r="AD83" s="329"/>
      <c r="AE83" s="328"/>
      <c r="AF83" s="327"/>
      <c r="AG83" s="329"/>
      <c r="AH83" s="329"/>
      <c r="AI83" s="734"/>
      <c r="AJ83" s="735"/>
      <c r="AK83" s="997"/>
    </row>
    <row r="84" spans="2:37" s="323" customFormat="1" ht="15.75" customHeight="1">
      <c r="B84" s="736">
        <v>39</v>
      </c>
      <c r="C84" s="330"/>
      <c r="D84" s="330"/>
      <c r="E84" s="324"/>
      <c r="F84" s="330"/>
      <c r="G84" s="331"/>
      <c r="H84" s="325"/>
      <c r="I84" s="331"/>
      <c r="J84" s="780"/>
      <c r="K84" s="781"/>
      <c r="L84" s="780"/>
      <c r="M84" s="332"/>
      <c r="N84" s="332"/>
      <c r="O84" s="332"/>
      <c r="P84" s="333"/>
      <c r="Q84" s="332"/>
      <c r="R84" s="334"/>
      <c r="S84" s="334"/>
      <c r="T84" s="334"/>
      <c r="U84" s="333"/>
      <c r="V84" s="326"/>
      <c r="W84" s="329"/>
      <c r="X84" s="329"/>
      <c r="Y84" s="329"/>
      <c r="Z84" s="328"/>
      <c r="AA84" s="326"/>
      <c r="AB84" s="329"/>
      <c r="AC84" s="329"/>
      <c r="AD84" s="329"/>
      <c r="AE84" s="328"/>
      <c r="AF84" s="327"/>
      <c r="AG84" s="329"/>
      <c r="AH84" s="329"/>
      <c r="AI84" s="734"/>
      <c r="AJ84" s="735"/>
      <c r="AK84" s="997"/>
    </row>
    <row r="85" spans="2:37" s="323" customFormat="1" ht="15.75" customHeight="1">
      <c r="B85" s="736">
        <v>40</v>
      </c>
      <c r="C85" s="330"/>
      <c r="D85" s="330"/>
      <c r="E85" s="324"/>
      <c r="F85" s="330"/>
      <c r="G85" s="331"/>
      <c r="H85" s="325"/>
      <c r="I85" s="331"/>
      <c r="J85" s="780"/>
      <c r="K85" s="781"/>
      <c r="L85" s="780"/>
      <c r="M85" s="332"/>
      <c r="N85" s="332"/>
      <c r="O85" s="332"/>
      <c r="P85" s="333"/>
      <c r="Q85" s="332"/>
      <c r="R85" s="334"/>
      <c r="S85" s="334"/>
      <c r="T85" s="334"/>
      <c r="U85" s="333"/>
      <c r="V85" s="326"/>
      <c r="W85" s="329"/>
      <c r="X85" s="329"/>
      <c r="Y85" s="329"/>
      <c r="Z85" s="328"/>
      <c r="AA85" s="326"/>
      <c r="AB85" s="329"/>
      <c r="AC85" s="329"/>
      <c r="AD85" s="329"/>
      <c r="AE85" s="328"/>
      <c r="AF85" s="327"/>
      <c r="AG85" s="329"/>
      <c r="AH85" s="329"/>
      <c r="AI85" s="734"/>
      <c r="AJ85" s="735"/>
      <c r="AK85" s="997"/>
    </row>
    <row r="86" spans="2:37" s="323" customFormat="1" ht="15.75" customHeight="1">
      <c r="B86" s="736">
        <v>41</v>
      </c>
      <c r="C86" s="330"/>
      <c r="D86" s="330"/>
      <c r="E86" s="324"/>
      <c r="F86" s="330"/>
      <c r="G86" s="331"/>
      <c r="H86" s="325"/>
      <c r="I86" s="331"/>
      <c r="J86" s="780"/>
      <c r="K86" s="781"/>
      <c r="L86" s="780"/>
      <c r="M86" s="332"/>
      <c r="N86" s="332"/>
      <c r="O86" s="332"/>
      <c r="P86" s="333"/>
      <c r="Q86" s="332"/>
      <c r="R86" s="334"/>
      <c r="S86" s="334"/>
      <c r="T86" s="334"/>
      <c r="U86" s="333"/>
      <c r="V86" s="326"/>
      <c r="W86" s="329"/>
      <c r="X86" s="329"/>
      <c r="Y86" s="329"/>
      <c r="Z86" s="328"/>
      <c r="AA86" s="326"/>
      <c r="AB86" s="329"/>
      <c r="AC86" s="329"/>
      <c r="AD86" s="329"/>
      <c r="AE86" s="328"/>
      <c r="AF86" s="327"/>
      <c r="AG86" s="329"/>
      <c r="AH86" s="329"/>
      <c r="AI86" s="734"/>
      <c r="AJ86" s="735"/>
      <c r="AK86" s="997"/>
    </row>
    <row r="87" spans="2:37" s="323" customFormat="1" ht="15.75" customHeight="1">
      <c r="B87" s="736">
        <v>42</v>
      </c>
      <c r="C87" s="330"/>
      <c r="D87" s="330"/>
      <c r="E87" s="324"/>
      <c r="F87" s="330"/>
      <c r="G87" s="331"/>
      <c r="H87" s="325"/>
      <c r="I87" s="331"/>
      <c r="J87" s="780"/>
      <c r="K87" s="781"/>
      <c r="L87" s="780"/>
      <c r="M87" s="332"/>
      <c r="N87" s="332"/>
      <c r="O87" s="332"/>
      <c r="P87" s="333"/>
      <c r="Q87" s="332"/>
      <c r="R87" s="334"/>
      <c r="S87" s="334"/>
      <c r="T87" s="334"/>
      <c r="U87" s="333"/>
      <c r="V87" s="326"/>
      <c r="W87" s="329"/>
      <c r="X87" s="329"/>
      <c r="Y87" s="329"/>
      <c r="Z87" s="328"/>
      <c r="AA87" s="326"/>
      <c r="AB87" s="329"/>
      <c r="AC87" s="329"/>
      <c r="AD87" s="329"/>
      <c r="AE87" s="328"/>
      <c r="AF87" s="327"/>
      <c r="AG87" s="329"/>
      <c r="AH87" s="329"/>
      <c r="AI87" s="734"/>
      <c r="AJ87" s="735"/>
      <c r="AK87" s="997"/>
    </row>
    <row r="88" spans="2:37" s="323" customFormat="1" ht="15.75" customHeight="1">
      <c r="B88" s="736">
        <v>43</v>
      </c>
      <c r="C88" s="330"/>
      <c r="D88" s="330"/>
      <c r="E88" s="324"/>
      <c r="F88" s="330"/>
      <c r="G88" s="331"/>
      <c r="H88" s="325"/>
      <c r="I88" s="331"/>
      <c r="J88" s="780"/>
      <c r="K88" s="781"/>
      <c r="L88" s="780"/>
      <c r="M88" s="332"/>
      <c r="N88" s="332"/>
      <c r="O88" s="332"/>
      <c r="P88" s="333"/>
      <c r="Q88" s="332"/>
      <c r="R88" s="334"/>
      <c r="S88" s="334"/>
      <c r="T88" s="334"/>
      <c r="U88" s="333"/>
      <c r="V88" s="326"/>
      <c r="W88" s="329"/>
      <c r="X88" s="329"/>
      <c r="Y88" s="329"/>
      <c r="Z88" s="328"/>
      <c r="AA88" s="326"/>
      <c r="AB88" s="329"/>
      <c r="AC88" s="329"/>
      <c r="AD88" s="329"/>
      <c r="AE88" s="328"/>
      <c r="AF88" s="327"/>
      <c r="AG88" s="329"/>
      <c r="AH88" s="329"/>
      <c r="AI88" s="734"/>
      <c r="AJ88" s="735"/>
      <c r="AK88" s="997"/>
    </row>
    <row r="89" spans="2:37" s="323" customFormat="1" ht="15.75" customHeight="1">
      <c r="B89" s="736">
        <v>44</v>
      </c>
      <c r="C89" s="330"/>
      <c r="D89" s="330"/>
      <c r="E89" s="324"/>
      <c r="F89" s="330"/>
      <c r="G89" s="331"/>
      <c r="H89" s="325"/>
      <c r="I89" s="331"/>
      <c r="J89" s="780"/>
      <c r="K89" s="781"/>
      <c r="L89" s="780"/>
      <c r="M89" s="332"/>
      <c r="N89" s="332"/>
      <c r="O89" s="332"/>
      <c r="P89" s="333"/>
      <c r="Q89" s="332"/>
      <c r="R89" s="334"/>
      <c r="S89" s="334"/>
      <c r="T89" s="334"/>
      <c r="U89" s="333"/>
      <c r="V89" s="326"/>
      <c r="W89" s="329"/>
      <c r="X89" s="329"/>
      <c r="Y89" s="329"/>
      <c r="Z89" s="328"/>
      <c r="AA89" s="326"/>
      <c r="AB89" s="329"/>
      <c r="AC89" s="329"/>
      <c r="AD89" s="329"/>
      <c r="AE89" s="328"/>
      <c r="AF89" s="327"/>
      <c r="AG89" s="329"/>
      <c r="AH89" s="329"/>
      <c r="AI89" s="734"/>
      <c r="AJ89" s="735"/>
      <c r="AK89" s="997"/>
    </row>
    <row r="90" spans="2:37" s="323" customFormat="1" ht="15.75" customHeight="1">
      <c r="B90" s="736">
        <v>45</v>
      </c>
      <c r="C90" s="330"/>
      <c r="D90" s="330"/>
      <c r="E90" s="324"/>
      <c r="F90" s="330"/>
      <c r="G90" s="331"/>
      <c r="H90" s="325"/>
      <c r="I90" s="331"/>
      <c r="J90" s="780"/>
      <c r="K90" s="781"/>
      <c r="L90" s="780"/>
      <c r="M90" s="332"/>
      <c r="N90" s="332"/>
      <c r="O90" s="332"/>
      <c r="P90" s="333"/>
      <c r="Q90" s="332"/>
      <c r="R90" s="334"/>
      <c r="S90" s="334"/>
      <c r="T90" s="334"/>
      <c r="U90" s="333"/>
      <c r="V90" s="326"/>
      <c r="W90" s="329"/>
      <c r="X90" s="329"/>
      <c r="Y90" s="329"/>
      <c r="Z90" s="328"/>
      <c r="AA90" s="326"/>
      <c r="AB90" s="329"/>
      <c r="AC90" s="329"/>
      <c r="AD90" s="329"/>
      <c r="AE90" s="328"/>
      <c r="AF90" s="327"/>
      <c r="AG90" s="329"/>
      <c r="AH90" s="329"/>
      <c r="AI90" s="734"/>
      <c r="AJ90" s="735"/>
      <c r="AK90" s="997"/>
    </row>
    <row r="91" spans="2:37" s="323" customFormat="1" ht="15.75" customHeight="1">
      <c r="B91" s="736">
        <v>46</v>
      </c>
      <c r="C91" s="330"/>
      <c r="D91" s="330"/>
      <c r="E91" s="324"/>
      <c r="F91" s="330"/>
      <c r="G91" s="331"/>
      <c r="H91" s="325"/>
      <c r="I91" s="331"/>
      <c r="J91" s="780"/>
      <c r="K91" s="781"/>
      <c r="L91" s="780"/>
      <c r="M91" s="332"/>
      <c r="N91" s="332"/>
      <c r="O91" s="332"/>
      <c r="P91" s="333"/>
      <c r="Q91" s="332"/>
      <c r="R91" s="334"/>
      <c r="S91" s="334"/>
      <c r="T91" s="334"/>
      <c r="U91" s="333"/>
      <c r="V91" s="326"/>
      <c r="W91" s="329"/>
      <c r="X91" s="329"/>
      <c r="Y91" s="329"/>
      <c r="Z91" s="328"/>
      <c r="AA91" s="326"/>
      <c r="AB91" s="329"/>
      <c r="AC91" s="329"/>
      <c r="AD91" s="329"/>
      <c r="AE91" s="328"/>
      <c r="AF91" s="327"/>
      <c r="AG91" s="329"/>
      <c r="AH91" s="329"/>
      <c r="AI91" s="734"/>
      <c r="AJ91" s="735"/>
      <c r="AK91" s="997"/>
    </row>
    <row r="92" spans="2:37" s="323" customFormat="1" ht="15.75" customHeight="1">
      <c r="B92" s="736">
        <v>47</v>
      </c>
      <c r="C92" s="330"/>
      <c r="D92" s="330"/>
      <c r="E92" s="324"/>
      <c r="F92" s="330"/>
      <c r="G92" s="331"/>
      <c r="H92" s="325"/>
      <c r="I92" s="331"/>
      <c r="J92" s="780"/>
      <c r="K92" s="781"/>
      <c r="L92" s="780"/>
      <c r="M92" s="332"/>
      <c r="N92" s="332"/>
      <c r="O92" s="332"/>
      <c r="P92" s="333"/>
      <c r="Q92" s="332"/>
      <c r="R92" s="334"/>
      <c r="S92" s="334"/>
      <c r="T92" s="334"/>
      <c r="U92" s="333"/>
      <c r="V92" s="326"/>
      <c r="W92" s="329"/>
      <c r="X92" s="329"/>
      <c r="Y92" s="329"/>
      <c r="Z92" s="328"/>
      <c r="AA92" s="326"/>
      <c r="AB92" s="329"/>
      <c r="AC92" s="329"/>
      <c r="AD92" s="329"/>
      <c r="AE92" s="328"/>
      <c r="AF92" s="327"/>
      <c r="AG92" s="329"/>
      <c r="AH92" s="329"/>
      <c r="AI92" s="734"/>
      <c r="AJ92" s="735"/>
      <c r="AK92" s="997"/>
    </row>
    <row r="93" spans="2:37" s="323" customFormat="1" ht="15.75" customHeight="1">
      <c r="B93" s="736">
        <v>48</v>
      </c>
      <c r="C93" s="330"/>
      <c r="D93" s="330"/>
      <c r="E93" s="324"/>
      <c r="F93" s="330"/>
      <c r="G93" s="331"/>
      <c r="H93" s="325"/>
      <c r="I93" s="331"/>
      <c r="J93" s="780"/>
      <c r="K93" s="781"/>
      <c r="L93" s="780"/>
      <c r="M93" s="332"/>
      <c r="N93" s="332"/>
      <c r="O93" s="332"/>
      <c r="P93" s="333"/>
      <c r="Q93" s="332"/>
      <c r="R93" s="334"/>
      <c r="S93" s="334"/>
      <c r="T93" s="334"/>
      <c r="U93" s="333"/>
      <c r="V93" s="326"/>
      <c r="W93" s="329"/>
      <c r="X93" s="329"/>
      <c r="Y93" s="329"/>
      <c r="Z93" s="328"/>
      <c r="AA93" s="326"/>
      <c r="AB93" s="329"/>
      <c r="AC93" s="329"/>
      <c r="AD93" s="329"/>
      <c r="AE93" s="328"/>
      <c r="AF93" s="327"/>
      <c r="AG93" s="329"/>
      <c r="AH93" s="329"/>
      <c r="AI93" s="734"/>
      <c r="AJ93" s="735"/>
      <c r="AK93" s="997"/>
    </row>
    <row r="94" spans="2:37" s="323" customFormat="1" ht="15.75" customHeight="1">
      <c r="B94" s="736">
        <v>49</v>
      </c>
      <c r="C94" s="330"/>
      <c r="D94" s="330"/>
      <c r="E94" s="324"/>
      <c r="F94" s="330"/>
      <c r="G94" s="331"/>
      <c r="H94" s="325"/>
      <c r="I94" s="331"/>
      <c r="J94" s="780"/>
      <c r="K94" s="781"/>
      <c r="L94" s="780"/>
      <c r="M94" s="332"/>
      <c r="N94" s="332"/>
      <c r="O94" s="332"/>
      <c r="P94" s="333"/>
      <c r="Q94" s="332"/>
      <c r="R94" s="334"/>
      <c r="S94" s="334"/>
      <c r="T94" s="334"/>
      <c r="U94" s="333"/>
      <c r="V94" s="326"/>
      <c r="W94" s="329"/>
      <c r="X94" s="329"/>
      <c r="Y94" s="329"/>
      <c r="Z94" s="328"/>
      <c r="AA94" s="326"/>
      <c r="AB94" s="329"/>
      <c r="AC94" s="329"/>
      <c r="AD94" s="329"/>
      <c r="AE94" s="328"/>
      <c r="AF94" s="327"/>
      <c r="AG94" s="329"/>
      <c r="AH94" s="329"/>
      <c r="AI94" s="734"/>
      <c r="AJ94" s="735"/>
      <c r="AK94" s="997"/>
    </row>
    <row r="95" spans="2:37" s="323" customFormat="1" ht="15.75" customHeight="1">
      <c r="B95" s="736">
        <v>50</v>
      </c>
      <c r="C95" s="330"/>
      <c r="D95" s="330"/>
      <c r="E95" s="324"/>
      <c r="F95" s="330"/>
      <c r="G95" s="331"/>
      <c r="H95" s="325"/>
      <c r="I95" s="331"/>
      <c r="J95" s="780"/>
      <c r="K95" s="781"/>
      <c r="L95" s="780"/>
      <c r="M95" s="332"/>
      <c r="N95" s="332"/>
      <c r="O95" s="332"/>
      <c r="P95" s="333"/>
      <c r="Q95" s="332"/>
      <c r="R95" s="334"/>
      <c r="S95" s="334"/>
      <c r="T95" s="334"/>
      <c r="U95" s="333"/>
      <c r="V95" s="326"/>
      <c r="W95" s="329"/>
      <c r="X95" s="329"/>
      <c r="Y95" s="329"/>
      <c r="Z95" s="328"/>
      <c r="AA95" s="326"/>
      <c r="AB95" s="329"/>
      <c r="AC95" s="329"/>
      <c r="AD95" s="329"/>
      <c r="AE95" s="328"/>
      <c r="AF95" s="327"/>
      <c r="AG95" s="329"/>
      <c r="AH95" s="329"/>
      <c r="AI95" s="734"/>
      <c r="AJ95" s="735"/>
      <c r="AK95" s="997"/>
    </row>
    <row r="96" spans="2:37" s="323" customFormat="1" ht="15.75" customHeight="1">
      <c r="B96" s="736">
        <v>51</v>
      </c>
      <c r="C96" s="330"/>
      <c r="D96" s="330"/>
      <c r="E96" s="324"/>
      <c r="F96" s="330"/>
      <c r="G96" s="331"/>
      <c r="H96" s="325"/>
      <c r="I96" s="331"/>
      <c r="J96" s="780"/>
      <c r="K96" s="781"/>
      <c r="L96" s="780"/>
      <c r="M96" s="332"/>
      <c r="N96" s="332"/>
      <c r="O96" s="332"/>
      <c r="P96" s="333"/>
      <c r="Q96" s="332"/>
      <c r="R96" s="334"/>
      <c r="S96" s="334"/>
      <c r="T96" s="334"/>
      <c r="U96" s="333"/>
      <c r="V96" s="326"/>
      <c r="W96" s="329"/>
      <c r="X96" s="329"/>
      <c r="Y96" s="329"/>
      <c r="Z96" s="328"/>
      <c r="AA96" s="326"/>
      <c r="AB96" s="329"/>
      <c r="AC96" s="329"/>
      <c r="AD96" s="329"/>
      <c r="AE96" s="328"/>
      <c r="AF96" s="327"/>
      <c r="AG96" s="329"/>
      <c r="AH96" s="329"/>
      <c r="AI96" s="734"/>
      <c r="AJ96" s="735"/>
      <c r="AK96" s="997"/>
    </row>
    <row r="97" spans="2:37" s="323" customFormat="1" ht="15.75" customHeight="1" thickBot="1">
      <c r="B97" s="736">
        <v>52</v>
      </c>
      <c r="C97" s="330"/>
      <c r="D97" s="330"/>
      <c r="E97" s="330"/>
      <c r="F97" s="330"/>
      <c r="G97" s="331"/>
      <c r="H97" s="331"/>
      <c r="I97" s="331"/>
      <c r="J97" s="780"/>
      <c r="K97" s="781"/>
      <c r="L97" s="780"/>
      <c r="M97" s="332"/>
      <c r="N97" s="332"/>
      <c r="O97" s="332"/>
      <c r="P97" s="333"/>
      <c r="Q97" s="332"/>
      <c r="R97" s="334"/>
      <c r="S97" s="334"/>
      <c r="T97" s="334"/>
      <c r="U97" s="333"/>
      <c r="V97" s="737"/>
      <c r="W97" s="738"/>
      <c r="X97" s="738"/>
      <c r="Y97" s="738"/>
      <c r="Z97" s="739"/>
      <c r="AA97" s="737"/>
      <c r="AB97" s="738"/>
      <c r="AC97" s="738"/>
      <c r="AD97" s="738"/>
      <c r="AE97" s="739"/>
      <c r="AF97" s="327"/>
      <c r="AG97" s="329"/>
      <c r="AH97" s="329"/>
      <c r="AI97" s="734"/>
      <c r="AJ97" s="735"/>
      <c r="AK97" s="997"/>
    </row>
    <row r="98" spans="2:37" s="323" customFormat="1" ht="15.75" customHeight="1">
      <c r="B98" s="736">
        <v>53</v>
      </c>
      <c r="C98" s="330"/>
      <c r="D98" s="330"/>
      <c r="E98" s="324"/>
      <c r="F98" s="330"/>
      <c r="G98" s="331"/>
      <c r="H98" s="325"/>
      <c r="I98" s="331"/>
      <c r="J98" s="780"/>
      <c r="K98" s="781"/>
      <c r="L98" s="780"/>
      <c r="M98" s="332"/>
      <c r="N98" s="332"/>
      <c r="O98" s="332"/>
      <c r="P98" s="333"/>
      <c r="Q98" s="332"/>
      <c r="R98" s="334"/>
      <c r="S98" s="334"/>
      <c r="T98" s="334"/>
      <c r="U98" s="333"/>
      <c r="V98" s="326"/>
      <c r="W98" s="329"/>
      <c r="X98" s="329"/>
      <c r="Y98" s="329"/>
      <c r="Z98" s="328"/>
      <c r="AA98" s="326"/>
      <c r="AB98" s="329"/>
      <c r="AC98" s="329"/>
      <c r="AD98" s="329"/>
      <c r="AE98" s="328"/>
      <c r="AF98" s="327"/>
      <c r="AG98" s="329"/>
      <c r="AH98" s="329"/>
      <c r="AI98" s="734"/>
      <c r="AJ98" s="735"/>
      <c r="AK98" s="997"/>
    </row>
    <row r="99" spans="2:37" s="323" customFormat="1" ht="15.75" customHeight="1">
      <c r="B99" s="736">
        <v>54</v>
      </c>
      <c r="C99" s="330"/>
      <c r="D99" s="330"/>
      <c r="E99" s="324"/>
      <c r="F99" s="330"/>
      <c r="G99" s="331"/>
      <c r="H99" s="325"/>
      <c r="I99" s="331"/>
      <c r="J99" s="780"/>
      <c r="K99" s="781"/>
      <c r="L99" s="780"/>
      <c r="M99" s="332"/>
      <c r="N99" s="332"/>
      <c r="O99" s="332"/>
      <c r="P99" s="333"/>
      <c r="Q99" s="332"/>
      <c r="R99" s="334"/>
      <c r="S99" s="334"/>
      <c r="T99" s="334"/>
      <c r="U99" s="333"/>
      <c r="V99" s="326"/>
      <c r="W99" s="329"/>
      <c r="X99" s="329"/>
      <c r="Y99" s="329"/>
      <c r="Z99" s="328"/>
      <c r="AA99" s="326"/>
      <c r="AB99" s="329"/>
      <c r="AC99" s="329"/>
      <c r="AD99" s="329"/>
      <c r="AE99" s="328"/>
      <c r="AF99" s="327"/>
      <c r="AG99" s="329"/>
      <c r="AH99" s="329"/>
      <c r="AI99" s="734"/>
      <c r="AJ99" s="735"/>
      <c r="AK99" s="997"/>
    </row>
    <row r="100" spans="2:37" s="323" customFormat="1" ht="15.75" customHeight="1">
      <c r="B100" s="736">
        <v>55</v>
      </c>
      <c r="C100" s="330"/>
      <c r="D100" s="330"/>
      <c r="E100" s="324"/>
      <c r="F100" s="330"/>
      <c r="G100" s="331"/>
      <c r="H100" s="325"/>
      <c r="I100" s="331"/>
      <c r="J100" s="780"/>
      <c r="K100" s="781"/>
      <c r="L100" s="780"/>
      <c r="M100" s="332"/>
      <c r="N100" s="332"/>
      <c r="O100" s="332"/>
      <c r="P100" s="333"/>
      <c r="Q100" s="332"/>
      <c r="R100" s="334"/>
      <c r="S100" s="334"/>
      <c r="T100" s="334"/>
      <c r="U100" s="333"/>
      <c r="V100" s="326"/>
      <c r="W100" s="329"/>
      <c r="X100" s="329"/>
      <c r="Y100" s="329"/>
      <c r="Z100" s="328"/>
      <c r="AA100" s="326"/>
      <c r="AB100" s="329"/>
      <c r="AC100" s="329"/>
      <c r="AD100" s="329"/>
      <c r="AE100" s="328"/>
      <c r="AF100" s="327"/>
      <c r="AG100" s="329"/>
      <c r="AH100" s="329"/>
      <c r="AI100" s="734"/>
      <c r="AJ100" s="735"/>
      <c r="AK100" s="997"/>
    </row>
    <row r="101" spans="2:37" s="323" customFormat="1" ht="15.75" customHeight="1">
      <c r="B101" s="736">
        <v>56</v>
      </c>
      <c r="C101" s="330"/>
      <c r="D101" s="330"/>
      <c r="E101" s="324"/>
      <c r="F101" s="330"/>
      <c r="G101" s="331"/>
      <c r="H101" s="325"/>
      <c r="I101" s="331"/>
      <c r="J101" s="780"/>
      <c r="K101" s="781"/>
      <c r="L101" s="780"/>
      <c r="M101" s="332"/>
      <c r="N101" s="332"/>
      <c r="O101" s="332"/>
      <c r="P101" s="333"/>
      <c r="Q101" s="332"/>
      <c r="R101" s="334"/>
      <c r="S101" s="334"/>
      <c r="T101" s="334"/>
      <c r="U101" s="333"/>
      <c r="V101" s="326"/>
      <c r="W101" s="329"/>
      <c r="X101" s="329"/>
      <c r="Y101" s="329"/>
      <c r="Z101" s="328"/>
      <c r="AA101" s="326"/>
      <c r="AB101" s="329"/>
      <c r="AC101" s="329"/>
      <c r="AD101" s="329"/>
      <c r="AE101" s="328"/>
      <c r="AF101" s="327"/>
      <c r="AG101" s="329"/>
      <c r="AH101" s="329"/>
      <c r="AI101" s="734"/>
      <c r="AJ101" s="735"/>
      <c r="AK101" s="997"/>
    </row>
    <row r="102" spans="2:37" s="323" customFormat="1" ht="15.75" customHeight="1">
      <c r="B102" s="736">
        <v>57</v>
      </c>
      <c r="C102" s="330"/>
      <c r="D102" s="330"/>
      <c r="E102" s="324"/>
      <c r="F102" s="330"/>
      <c r="G102" s="331"/>
      <c r="H102" s="325"/>
      <c r="I102" s="331"/>
      <c r="J102" s="780"/>
      <c r="K102" s="781"/>
      <c r="L102" s="780"/>
      <c r="M102" s="332"/>
      <c r="N102" s="332"/>
      <c r="O102" s="332"/>
      <c r="P102" s="333"/>
      <c r="Q102" s="332"/>
      <c r="R102" s="334"/>
      <c r="S102" s="334"/>
      <c r="T102" s="334"/>
      <c r="U102" s="333"/>
      <c r="V102" s="326"/>
      <c r="W102" s="329"/>
      <c r="X102" s="329"/>
      <c r="Y102" s="329"/>
      <c r="Z102" s="328"/>
      <c r="AA102" s="326"/>
      <c r="AB102" s="329"/>
      <c r="AC102" s="329"/>
      <c r="AD102" s="329"/>
      <c r="AE102" s="328"/>
      <c r="AF102" s="327"/>
      <c r="AG102" s="329"/>
      <c r="AH102" s="329"/>
      <c r="AI102" s="734"/>
      <c r="AJ102" s="735"/>
      <c r="AK102" s="997"/>
    </row>
    <row r="103" spans="2:37" s="323" customFormat="1" ht="15.75" customHeight="1">
      <c r="B103" s="736">
        <v>58</v>
      </c>
      <c r="C103" s="330"/>
      <c r="D103" s="330"/>
      <c r="E103" s="324"/>
      <c r="F103" s="330"/>
      <c r="G103" s="331"/>
      <c r="H103" s="325"/>
      <c r="I103" s="331"/>
      <c r="J103" s="780"/>
      <c r="K103" s="781"/>
      <c r="L103" s="780"/>
      <c r="M103" s="332"/>
      <c r="N103" s="332"/>
      <c r="O103" s="332"/>
      <c r="P103" s="333"/>
      <c r="Q103" s="332"/>
      <c r="R103" s="334"/>
      <c r="S103" s="334"/>
      <c r="T103" s="334"/>
      <c r="U103" s="333"/>
      <c r="V103" s="326"/>
      <c r="W103" s="329"/>
      <c r="X103" s="329"/>
      <c r="Y103" s="329"/>
      <c r="Z103" s="328"/>
      <c r="AA103" s="326"/>
      <c r="AB103" s="329"/>
      <c r="AC103" s="329"/>
      <c r="AD103" s="329"/>
      <c r="AE103" s="328"/>
      <c r="AF103" s="327"/>
      <c r="AG103" s="329"/>
      <c r="AH103" s="329"/>
      <c r="AI103" s="734"/>
      <c r="AJ103" s="735"/>
      <c r="AK103" s="997"/>
    </row>
    <row r="104" spans="2:37" s="323" customFormat="1" ht="15.75" customHeight="1">
      <c r="B104" s="736">
        <v>59</v>
      </c>
      <c r="C104" s="330"/>
      <c r="D104" s="330"/>
      <c r="E104" s="324"/>
      <c r="F104" s="330"/>
      <c r="G104" s="331"/>
      <c r="H104" s="325"/>
      <c r="I104" s="331"/>
      <c r="J104" s="780"/>
      <c r="K104" s="781"/>
      <c r="L104" s="780"/>
      <c r="M104" s="332"/>
      <c r="N104" s="332"/>
      <c r="O104" s="332"/>
      <c r="P104" s="333"/>
      <c r="Q104" s="332"/>
      <c r="R104" s="334"/>
      <c r="S104" s="334"/>
      <c r="T104" s="334"/>
      <c r="U104" s="333"/>
      <c r="V104" s="326"/>
      <c r="W104" s="329"/>
      <c r="X104" s="329"/>
      <c r="Y104" s="329"/>
      <c r="Z104" s="328"/>
      <c r="AA104" s="326"/>
      <c r="AB104" s="329"/>
      <c r="AC104" s="329"/>
      <c r="AD104" s="329"/>
      <c r="AE104" s="328"/>
      <c r="AF104" s="327"/>
      <c r="AG104" s="329"/>
      <c r="AH104" s="329"/>
      <c r="AI104" s="734"/>
      <c r="AJ104" s="735"/>
      <c r="AK104" s="997"/>
    </row>
    <row r="105" spans="2:37" s="323" customFormat="1" ht="15.75" customHeight="1">
      <c r="B105" s="736">
        <v>60</v>
      </c>
      <c r="C105" s="330"/>
      <c r="D105" s="330"/>
      <c r="E105" s="324"/>
      <c r="F105" s="330"/>
      <c r="G105" s="331"/>
      <c r="H105" s="325"/>
      <c r="I105" s="331"/>
      <c r="J105" s="780"/>
      <c r="K105" s="781"/>
      <c r="L105" s="780"/>
      <c r="M105" s="332"/>
      <c r="N105" s="332"/>
      <c r="O105" s="332"/>
      <c r="P105" s="333"/>
      <c r="Q105" s="332"/>
      <c r="R105" s="334"/>
      <c r="S105" s="334"/>
      <c r="T105" s="334"/>
      <c r="U105" s="333"/>
      <c r="V105" s="326"/>
      <c r="W105" s="329"/>
      <c r="X105" s="329"/>
      <c r="Y105" s="329"/>
      <c r="Z105" s="328"/>
      <c r="AA105" s="326"/>
      <c r="AB105" s="329"/>
      <c r="AC105" s="329"/>
      <c r="AD105" s="329"/>
      <c r="AE105" s="328"/>
      <c r="AF105" s="327"/>
      <c r="AG105" s="329"/>
      <c r="AH105" s="329"/>
      <c r="AI105" s="734"/>
      <c r="AJ105" s="735"/>
      <c r="AK105" s="997"/>
    </row>
    <row r="106" spans="2:37" s="323" customFormat="1" ht="15.75" customHeight="1">
      <c r="B106" s="736">
        <v>61</v>
      </c>
      <c r="C106" s="330"/>
      <c r="D106" s="330"/>
      <c r="E106" s="324"/>
      <c r="F106" s="330"/>
      <c r="G106" s="331"/>
      <c r="H106" s="325"/>
      <c r="I106" s="331"/>
      <c r="J106" s="780"/>
      <c r="K106" s="781"/>
      <c r="L106" s="780"/>
      <c r="M106" s="332"/>
      <c r="N106" s="332"/>
      <c r="O106" s="332"/>
      <c r="P106" s="333"/>
      <c r="Q106" s="332"/>
      <c r="R106" s="334"/>
      <c r="S106" s="334"/>
      <c r="T106" s="334"/>
      <c r="U106" s="333"/>
      <c r="V106" s="326"/>
      <c r="W106" s="329"/>
      <c r="X106" s="329"/>
      <c r="Y106" s="329"/>
      <c r="Z106" s="328"/>
      <c r="AA106" s="326"/>
      <c r="AB106" s="329"/>
      <c r="AC106" s="329"/>
      <c r="AD106" s="329"/>
      <c r="AE106" s="328"/>
      <c r="AF106" s="327"/>
      <c r="AG106" s="329"/>
      <c r="AH106" s="329"/>
      <c r="AI106" s="734"/>
      <c r="AJ106" s="735"/>
      <c r="AK106" s="997"/>
    </row>
    <row r="107" spans="2:37" s="323" customFormat="1" ht="15.75" customHeight="1">
      <c r="B107" s="736">
        <v>62</v>
      </c>
      <c r="C107" s="330"/>
      <c r="D107" s="330"/>
      <c r="E107" s="324"/>
      <c r="F107" s="330"/>
      <c r="G107" s="331"/>
      <c r="H107" s="325"/>
      <c r="I107" s="331"/>
      <c r="J107" s="780"/>
      <c r="K107" s="781"/>
      <c r="L107" s="780"/>
      <c r="M107" s="332"/>
      <c r="N107" s="332"/>
      <c r="O107" s="332"/>
      <c r="P107" s="333"/>
      <c r="Q107" s="332"/>
      <c r="R107" s="334"/>
      <c r="S107" s="334"/>
      <c r="T107" s="334"/>
      <c r="U107" s="333"/>
      <c r="V107" s="326"/>
      <c r="W107" s="329"/>
      <c r="X107" s="329"/>
      <c r="Y107" s="329"/>
      <c r="Z107" s="328"/>
      <c r="AA107" s="326"/>
      <c r="AB107" s="329"/>
      <c r="AC107" s="329"/>
      <c r="AD107" s="329"/>
      <c r="AE107" s="328"/>
      <c r="AF107" s="327"/>
      <c r="AG107" s="329"/>
      <c r="AH107" s="329"/>
      <c r="AI107" s="734"/>
      <c r="AJ107" s="735"/>
      <c r="AK107" s="997"/>
    </row>
    <row r="108" spans="2:37" s="323" customFormat="1" ht="15.75" customHeight="1">
      <c r="B108" s="736">
        <v>63</v>
      </c>
      <c r="C108" s="330"/>
      <c r="D108" s="330"/>
      <c r="E108" s="324"/>
      <c r="F108" s="330"/>
      <c r="G108" s="331"/>
      <c r="H108" s="325"/>
      <c r="I108" s="331"/>
      <c r="J108" s="780"/>
      <c r="K108" s="781"/>
      <c r="L108" s="780"/>
      <c r="M108" s="332"/>
      <c r="N108" s="332"/>
      <c r="O108" s="332"/>
      <c r="P108" s="333"/>
      <c r="Q108" s="332"/>
      <c r="R108" s="334"/>
      <c r="S108" s="334"/>
      <c r="T108" s="334"/>
      <c r="U108" s="333"/>
      <c r="V108" s="326"/>
      <c r="W108" s="329"/>
      <c r="X108" s="329"/>
      <c r="Y108" s="329"/>
      <c r="Z108" s="328"/>
      <c r="AA108" s="326"/>
      <c r="AB108" s="329"/>
      <c r="AC108" s="329"/>
      <c r="AD108" s="329"/>
      <c r="AE108" s="328"/>
      <c r="AF108" s="327"/>
      <c r="AG108" s="329"/>
      <c r="AH108" s="329"/>
      <c r="AI108" s="734"/>
      <c r="AJ108" s="735"/>
      <c r="AK108" s="997"/>
    </row>
    <row r="109" spans="2:37" ht="15.75" customHeight="1">
      <c r="B109" s="736">
        <v>64</v>
      </c>
      <c r="C109" s="330"/>
      <c r="D109" s="330"/>
      <c r="E109" s="324"/>
      <c r="F109" s="330"/>
      <c r="G109" s="331"/>
      <c r="H109" s="325"/>
      <c r="I109" s="331"/>
      <c r="J109" s="780"/>
      <c r="K109" s="781"/>
      <c r="L109" s="780"/>
      <c r="M109" s="332"/>
      <c r="N109" s="332"/>
      <c r="O109" s="332"/>
      <c r="P109" s="333"/>
      <c r="Q109" s="332"/>
      <c r="R109" s="334"/>
      <c r="S109" s="334"/>
      <c r="T109" s="334"/>
      <c r="U109" s="333"/>
      <c r="V109" s="326"/>
      <c r="W109" s="329"/>
      <c r="X109" s="329"/>
      <c r="Y109" s="329"/>
      <c r="Z109" s="328"/>
      <c r="AA109" s="326"/>
      <c r="AB109" s="329"/>
      <c r="AC109" s="329"/>
      <c r="AD109" s="329"/>
      <c r="AE109" s="328"/>
      <c r="AF109" s="327"/>
      <c r="AG109" s="329"/>
      <c r="AH109" s="329"/>
      <c r="AI109" s="734"/>
      <c r="AJ109" s="735"/>
      <c r="AK109" s="997"/>
    </row>
    <row r="110" spans="2:37" ht="15.75" customHeight="1">
      <c r="B110" s="736">
        <v>65</v>
      </c>
      <c r="C110" s="330"/>
      <c r="D110" s="330"/>
      <c r="E110" s="324"/>
      <c r="F110" s="330"/>
      <c r="G110" s="331"/>
      <c r="H110" s="325"/>
      <c r="I110" s="331"/>
      <c r="J110" s="780"/>
      <c r="K110" s="781"/>
      <c r="L110" s="780"/>
      <c r="M110" s="332"/>
      <c r="N110" s="332"/>
      <c r="O110" s="332"/>
      <c r="P110" s="333"/>
      <c r="Q110" s="332"/>
      <c r="R110" s="334"/>
      <c r="S110" s="334"/>
      <c r="T110" s="334"/>
      <c r="U110" s="333"/>
      <c r="V110" s="326"/>
      <c r="W110" s="329"/>
      <c r="X110" s="329"/>
      <c r="Y110" s="329"/>
      <c r="Z110" s="328"/>
      <c r="AA110" s="326"/>
      <c r="AB110" s="329"/>
      <c r="AC110" s="329"/>
      <c r="AD110" s="329"/>
      <c r="AE110" s="328"/>
      <c r="AF110" s="327"/>
      <c r="AG110" s="329"/>
      <c r="AH110" s="329"/>
      <c r="AI110" s="734"/>
      <c r="AJ110" s="735"/>
      <c r="AK110" s="997"/>
    </row>
    <row r="111" spans="2:37" ht="15.75" customHeight="1">
      <c r="B111" s="736">
        <v>66</v>
      </c>
      <c r="C111" s="330"/>
      <c r="D111" s="330"/>
      <c r="E111" s="324"/>
      <c r="F111" s="330"/>
      <c r="G111" s="331"/>
      <c r="H111" s="325"/>
      <c r="I111" s="331"/>
      <c r="J111" s="780"/>
      <c r="K111" s="781"/>
      <c r="L111" s="780"/>
      <c r="M111" s="332"/>
      <c r="N111" s="332"/>
      <c r="O111" s="332"/>
      <c r="P111" s="333"/>
      <c r="Q111" s="332"/>
      <c r="R111" s="334"/>
      <c r="S111" s="334"/>
      <c r="T111" s="334"/>
      <c r="U111" s="333"/>
      <c r="V111" s="326"/>
      <c r="W111" s="329"/>
      <c r="X111" s="329"/>
      <c r="Y111" s="329"/>
      <c r="Z111" s="328"/>
      <c r="AA111" s="326"/>
      <c r="AB111" s="329"/>
      <c r="AC111" s="329"/>
      <c r="AD111" s="329"/>
      <c r="AE111" s="328"/>
      <c r="AF111" s="327"/>
      <c r="AG111" s="329"/>
      <c r="AH111" s="329"/>
      <c r="AI111" s="734"/>
      <c r="AJ111" s="735"/>
      <c r="AK111" s="997"/>
    </row>
    <row r="112" spans="2:37" ht="15.75" customHeight="1">
      <c r="B112" s="736">
        <v>67</v>
      </c>
      <c r="C112" s="330"/>
      <c r="D112" s="330"/>
      <c r="E112" s="324"/>
      <c r="F112" s="330"/>
      <c r="G112" s="331"/>
      <c r="H112" s="325"/>
      <c r="I112" s="331"/>
      <c r="J112" s="780"/>
      <c r="K112" s="781"/>
      <c r="L112" s="780"/>
      <c r="M112" s="332"/>
      <c r="N112" s="332"/>
      <c r="O112" s="332"/>
      <c r="P112" s="333"/>
      <c r="Q112" s="332"/>
      <c r="R112" s="334"/>
      <c r="S112" s="334"/>
      <c r="T112" s="334"/>
      <c r="U112" s="333"/>
      <c r="V112" s="326"/>
      <c r="W112" s="329"/>
      <c r="X112" s="329"/>
      <c r="Y112" s="329"/>
      <c r="Z112" s="328"/>
      <c r="AA112" s="326"/>
      <c r="AB112" s="329"/>
      <c r="AC112" s="329"/>
      <c r="AD112" s="329"/>
      <c r="AE112" s="328"/>
      <c r="AF112" s="327"/>
      <c r="AG112" s="329"/>
      <c r="AH112" s="329"/>
      <c r="AI112" s="734"/>
      <c r="AJ112" s="735"/>
      <c r="AK112" s="997"/>
    </row>
    <row r="113" spans="2:37" ht="15.75" customHeight="1">
      <c r="B113" s="736">
        <v>68</v>
      </c>
      <c r="C113" s="330"/>
      <c r="D113" s="330"/>
      <c r="E113" s="324"/>
      <c r="F113" s="330"/>
      <c r="G113" s="331"/>
      <c r="H113" s="325"/>
      <c r="I113" s="331"/>
      <c r="J113" s="780"/>
      <c r="K113" s="781"/>
      <c r="L113" s="780"/>
      <c r="M113" s="332"/>
      <c r="N113" s="332"/>
      <c r="O113" s="332"/>
      <c r="P113" s="333"/>
      <c r="Q113" s="332"/>
      <c r="R113" s="334"/>
      <c r="S113" s="334"/>
      <c r="T113" s="334"/>
      <c r="U113" s="333"/>
      <c r="V113" s="326"/>
      <c r="W113" s="329"/>
      <c r="X113" s="329"/>
      <c r="Y113" s="329"/>
      <c r="Z113" s="328"/>
      <c r="AA113" s="326"/>
      <c r="AB113" s="329"/>
      <c r="AC113" s="329"/>
      <c r="AD113" s="329"/>
      <c r="AE113" s="328"/>
      <c r="AF113" s="327"/>
      <c r="AG113" s="329"/>
      <c r="AH113" s="329"/>
      <c r="AI113" s="734"/>
      <c r="AJ113" s="735"/>
      <c r="AK113" s="997"/>
    </row>
    <row r="114" spans="2:37" ht="15.75" customHeight="1">
      <c r="B114" s="736">
        <v>69</v>
      </c>
      <c r="C114" s="330"/>
      <c r="D114" s="330"/>
      <c r="E114" s="324"/>
      <c r="F114" s="330"/>
      <c r="G114" s="331"/>
      <c r="H114" s="325"/>
      <c r="I114" s="331"/>
      <c r="J114" s="780"/>
      <c r="K114" s="781"/>
      <c r="L114" s="780"/>
      <c r="M114" s="332"/>
      <c r="N114" s="332"/>
      <c r="O114" s="332"/>
      <c r="P114" s="333"/>
      <c r="Q114" s="332"/>
      <c r="R114" s="334"/>
      <c r="S114" s="334"/>
      <c r="T114" s="334"/>
      <c r="U114" s="333"/>
      <c r="V114" s="326"/>
      <c r="W114" s="329"/>
      <c r="X114" s="329"/>
      <c r="Y114" s="329"/>
      <c r="Z114" s="328"/>
      <c r="AA114" s="326"/>
      <c r="AB114" s="329"/>
      <c r="AC114" s="329"/>
      <c r="AD114" s="329"/>
      <c r="AE114" s="328"/>
      <c r="AF114" s="327"/>
      <c r="AG114" s="329"/>
      <c r="AH114" s="329"/>
      <c r="AI114" s="734"/>
      <c r="AJ114" s="735"/>
      <c r="AK114" s="997"/>
    </row>
    <row r="115" spans="2:37" ht="15.75" customHeight="1">
      <c r="B115" s="736">
        <v>70</v>
      </c>
      <c r="C115" s="330"/>
      <c r="D115" s="330"/>
      <c r="E115" s="324"/>
      <c r="F115" s="330"/>
      <c r="G115" s="331"/>
      <c r="H115" s="325"/>
      <c r="I115" s="331"/>
      <c r="J115" s="780"/>
      <c r="K115" s="781"/>
      <c r="L115" s="780"/>
      <c r="M115" s="332"/>
      <c r="N115" s="332"/>
      <c r="O115" s="332"/>
      <c r="P115" s="333"/>
      <c r="Q115" s="332"/>
      <c r="R115" s="334"/>
      <c r="S115" s="334"/>
      <c r="T115" s="334"/>
      <c r="U115" s="333"/>
      <c r="V115" s="326"/>
      <c r="W115" s="329"/>
      <c r="X115" s="329"/>
      <c r="Y115" s="329"/>
      <c r="Z115" s="328"/>
      <c r="AA115" s="326"/>
      <c r="AB115" s="329"/>
      <c r="AC115" s="329"/>
      <c r="AD115" s="329"/>
      <c r="AE115" s="328"/>
      <c r="AF115" s="327"/>
      <c r="AG115" s="329"/>
      <c r="AH115" s="329"/>
      <c r="AI115" s="734"/>
      <c r="AJ115" s="735"/>
      <c r="AK115" s="997"/>
    </row>
    <row r="116" spans="2:37" s="323" customFormat="1" ht="15.75" customHeight="1" thickBot="1">
      <c r="B116" s="335"/>
      <c r="C116" s="740" t="s">
        <v>245</v>
      </c>
      <c r="D116" s="336"/>
      <c r="E116" s="336"/>
      <c r="F116" s="336"/>
      <c r="G116" s="336"/>
      <c r="H116" s="336"/>
      <c r="I116" s="741">
        <f t="shared" ref="I116:U116" si="4">SUM(I46:I115)</f>
        <v>319.7</v>
      </c>
      <c r="J116" s="337">
        <f t="shared" si="4"/>
        <v>24.2</v>
      </c>
      <c r="K116" s="742">
        <f t="shared" si="4"/>
        <v>0</v>
      </c>
      <c r="L116" s="743">
        <f t="shared" si="4"/>
        <v>0</v>
      </c>
      <c r="M116" s="338">
        <f t="shared" si="4"/>
        <v>0</v>
      </c>
      <c r="N116" s="338">
        <f t="shared" si="4"/>
        <v>0</v>
      </c>
      <c r="O116" s="338">
        <f t="shared" si="4"/>
        <v>1</v>
      </c>
      <c r="P116" s="339">
        <f t="shared" si="4"/>
        <v>1.5</v>
      </c>
      <c r="Q116" s="340">
        <f t="shared" si="4"/>
        <v>4.8</v>
      </c>
      <c r="R116" s="338">
        <f t="shared" si="4"/>
        <v>4.2000000000000011</v>
      </c>
      <c r="S116" s="998">
        <f t="shared" si="4"/>
        <v>4.3</v>
      </c>
      <c r="T116" s="998">
        <f t="shared" si="4"/>
        <v>3.9</v>
      </c>
      <c r="U116" s="339">
        <f t="shared" si="4"/>
        <v>4.5</v>
      </c>
      <c r="V116" s="999">
        <f>SUM(V46:V115)</f>
        <v>0</v>
      </c>
      <c r="W116" s="999">
        <f t="shared" ref="W116:AH116" si="5">SUM(W46:W115)</f>
        <v>0</v>
      </c>
      <c r="X116" s="999">
        <f t="shared" si="5"/>
        <v>0</v>
      </c>
      <c r="Y116" s="999">
        <f t="shared" si="5"/>
        <v>0</v>
      </c>
      <c r="Z116" s="999">
        <f t="shared" si="5"/>
        <v>0</v>
      </c>
      <c r="AA116" s="999">
        <f t="shared" si="5"/>
        <v>0</v>
      </c>
      <c r="AB116" s="999">
        <f t="shared" si="5"/>
        <v>0</v>
      </c>
      <c r="AC116" s="999">
        <f t="shared" si="5"/>
        <v>0</v>
      </c>
      <c r="AD116" s="999">
        <f t="shared" si="5"/>
        <v>0</v>
      </c>
      <c r="AE116" s="999">
        <f t="shared" si="5"/>
        <v>0</v>
      </c>
      <c r="AF116" s="999">
        <f t="shared" si="5"/>
        <v>0</v>
      </c>
      <c r="AG116" s="999">
        <f t="shared" si="5"/>
        <v>0</v>
      </c>
      <c r="AH116" s="999">
        <f t="shared" si="5"/>
        <v>0</v>
      </c>
      <c r="AI116" s="1000"/>
      <c r="AJ116" s="1001"/>
      <c r="AK116" s="1002"/>
    </row>
    <row r="117" spans="2:37" s="323" customFormat="1"/>
    <row r="118" spans="2:37" s="323" customFormat="1"/>
    <row r="119" spans="2:37" s="323" customFormat="1"/>
    <row r="120" spans="2:37" s="323" customFormat="1"/>
    <row r="121" spans="2:37" s="323" customFormat="1"/>
    <row r="122" spans="2:37" s="323" customFormat="1"/>
    <row r="123" spans="2:37" s="323" customFormat="1"/>
    <row r="124" spans="2:37" s="323" customFormat="1"/>
    <row r="125" spans="2:37" s="323" customFormat="1"/>
    <row r="126" spans="2:37" s="323" customFormat="1"/>
  </sheetData>
  <mergeCells count="11">
    <mergeCell ref="AJ43:AJ44"/>
    <mergeCell ref="V44:AE44"/>
    <mergeCell ref="S7:T7"/>
    <mergeCell ref="C43:K43"/>
    <mergeCell ref="L43:P43"/>
    <mergeCell ref="Q43:U43"/>
    <mergeCell ref="V43:AI43"/>
    <mergeCell ref="C7:C9"/>
    <mergeCell ref="C24:C25"/>
    <mergeCell ref="C32:C33"/>
    <mergeCell ref="O7:Q7"/>
  </mergeCells>
  <phoneticPr fontId="0" type="noConversion"/>
  <hyperlinks>
    <hyperlink ref="G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C1DFFF"/>
  </sheetPr>
  <dimension ref="A1:S33"/>
  <sheetViews>
    <sheetView workbookViewId="0">
      <selection sqref="A1:XFD1048576"/>
    </sheetView>
  </sheetViews>
  <sheetFormatPr defaultColWidth="8.85546875" defaultRowHeight="12.75"/>
  <cols>
    <col min="1" max="1" width="8.85546875" customWidth="1"/>
    <col min="2" max="2" width="19.28515625" customWidth="1"/>
    <col min="3" max="3" width="9.5703125" customWidth="1"/>
    <col min="19" max="19" width="10.5703125" customWidth="1"/>
  </cols>
  <sheetData>
    <row r="1" spans="1:19">
      <c r="A1" s="1342" t="s">
        <v>852</v>
      </c>
      <c r="F1" s="230" t="s">
        <v>1019</v>
      </c>
    </row>
    <row r="2" spans="1:19">
      <c r="A2" s="1342"/>
    </row>
    <row r="3" spans="1:19">
      <c r="A3" s="1342" t="s">
        <v>486</v>
      </c>
    </row>
    <row r="6" spans="1:19">
      <c r="B6" s="1377" t="s">
        <v>487</v>
      </c>
      <c r="C6" s="495"/>
      <c r="D6" s="495"/>
      <c r="E6" s="495"/>
      <c r="F6" s="495"/>
      <c r="G6" s="495"/>
      <c r="H6" s="495"/>
      <c r="I6" s="495"/>
      <c r="J6" s="495"/>
      <c r="K6" s="495"/>
      <c r="L6" s="495"/>
      <c r="M6" s="495"/>
      <c r="N6" s="495"/>
      <c r="O6" s="495"/>
      <c r="P6" s="495"/>
      <c r="Q6" s="495"/>
      <c r="R6" s="495"/>
      <c r="S6" s="495"/>
    </row>
    <row r="7" spans="1:19" ht="13.5" thickBot="1">
      <c r="B7" s="495"/>
      <c r="C7" s="495"/>
      <c r="D7" s="495"/>
      <c r="E7" s="495"/>
      <c r="F7" s="495"/>
      <c r="G7" s="495"/>
      <c r="H7" s="495"/>
      <c r="I7" s="495"/>
      <c r="J7" s="495"/>
      <c r="K7" s="495"/>
      <c r="L7" s="495"/>
      <c r="M7" s="495"/>
      <c r="N7" s="495"/>
      <c r="O7" s="495"/>
      <c r="P7" s="495"/>
      <c r="Q7" s="495"/>
      <c r="R7" s="495"/>
      <c r="S7" s="495"/>
    </row>
    <row r="8" spans="1:19" ht="15" customHeight="1">
      <c r="B8" s="1921"/>
      <c r="C8" s="1922"/>
      <c r="D8" s="1003" t="s">
        <v>488</v>
      </c>
      <c r="E8" s="497"/>
      <c r="F8" s="498"/>
      <c r="G8" s="496" t="s">
        <v>471</v>
      </c>
      <c r="H8" s="497"/>
      <c r="I8" s="498"/>
      <c r="J8" s="495"/>
      <c r="K8" s="495"/>
      <c r="L8" s="495"/>
      <c r="M8" s="495"/>
      <c r="N8" s="495"/>
      <c r="O8" s="495"/>
      <c r="P8" s="495"/>
      <c r="Q8" s="495"/>
      <c r="R8" s="495"/>
      <c r="S8" s="495"/>
    </row>
    <row r="9" spans="1:19" ht="15" customHeight="1">
      <c r="B9" s="1923"/>
      <c r="C9" s="1924"/>
      <c r="D9" s="1004" t="s">
        <v>242</v>
      </c>
      <c r="E9" s="499" t="s">
        <v>244</v>
      </c>
      <c r="F9" s="1337" t="s">
        <v>238</v>
      </c>
      <c r="G9" s="1336" t="s">
        <v>242</v>
      </c>
      <c r="H9" s="499" t="s">
        <v>244</v>
      </c>
      <c r="I9" s="1337" t="s">
        <v>238</v>
      </c>
      <c r="J9" s="495"/>
      <c r="K9" s="495"/>
      <c r="L9" s="495"/>
      <c r="M9" s="495"/>
      <c r="N9" s="495"/>
      <c r="O9" s="495"/>
      <c r="P9" s="495"/>
      <c r="Q9" s="495"/>
      <c r="R9" s="495"/>
      <c r="S9" s="495"/>
    </row>
    <row r="10" spans="1:19" ht="15" customHeight="1">
      <c r="B10" s="1927" t="s">
        <v>720</v>
      </c>
      <c r="C10" s="1928"/>
      <c r="D10" s="341">
        <v>127</v>
      </c>
      <c r="E10" s="342">
        <v>172</v>
      </c>
      <c r="F10" s="343">
        <v>207</v>
      </c>
      <c r="G10" s="341">
        <v>127</v>
      </c>
      <c r="H10" s="342">
        <v>172</v>
      </c>
      <c r="I10" s="343">
        <v>207</v>
      </c>
      <c r="J10" s="495"/>
      <c r="K10" s="495"/>
      <c r="L10" s="495"/>
      <c r="M10" s="495"/>
      <c r="N10" s="495"/>
      <c r="O10" s="495"/>
      <c r="P10" s="495"/>
      <c r="Q10" s="495"/>
      <c r="R10" s="495"/>
      <c r="S10" s="495"/>
    </row>
    <row r="11" spans="1:19" ht="27" customHeight="1">
      <c r="B11" s="1925" t="s">
        <v>458</v>
      </c>
      <c r="C11" s="1926"/>
      <c r="D11" s="344">
        <v>4</v>
      </c>
      <c r="E11" s="345">
        <v>9</v>
      </c>
      <c r="F11" s="346">
        <v>4</v>
      </c>
      <c r="G11" s="344">
        <v>4</v>
      </c>
      <c r="H11" s="345">
        <v>9</v>
      </c>
      <c r="I11" s="346">
        <v>4</v>
      </c>
      <c r="J11" s="495"/>
      <c r="K11" s="495"/>
      <c r="L11" s="495"/>
      <c r="M11" s="495"/>
      <c r="N11" s="495"/>
      <c r="O11" s="495"/>
      <c r="P11" s="495"/>
      <c r="Q11" s="495"/>
      <c r="R11" s="495"/>
      <c r="S11" s="495"/>
    </row>
    <row r="12" spans="1:19" ht="30" customHeight="1" thickBot="1">
      <c r="B12" s="1929" t="s">
        <v>607</v>
      </c>
      <c r="C12" s="1930"/>
      <c r="D12" s="347">
        <v>0</v>
      </c>
      <c r="E12" s="1616">
        <v>0</v>
      </c>
      <c r="F12" s="348">
        <v>0</v>
      </c>
      <c r="G12" s="347">
        <v>0</v>
      </c>
      <c r="H12" s="1616">
        <v>0</v>
      </c>
      <c r="I12" s="348">
        <v>0</v>
      </c>
      <c r="J12" s="495"/>
      <c r="K12" s="495"/>
      <c r="L12" s="495"/>
      <c r="M12" s="495"/>
      <c r="N12" s="495"/>
      <c r="O12" s="495"/>
      <c r="P12" s="495"/>
      <c r="Q12" s="495"/>
      <c r="R12" s="495"/>
      <c r="S12" s="495"/>
    </row>
    <row r="13" spans="1:19">
      <c r="B13" s="495"/>
      <c r="C13" s="495"/>
      <c r="D13" s="495"/>
      <c r="E13" s="495"/>
      <c r="F13" s="495"/>
      <c r="G13" s="495"/>
      <c r="H13" s="495"/>
      <c r="I13" s="495"/>
      <c r="J13" s="495"/>
      <c r="K13" s="495"/>
      <c r="L13" s="495"/>
      <c r="M13" s="495"/>
      <c r="N13" s="495"/>
      <c r="O13" s="495"/>
      <c r="P13" s="495"/>
      <c r="Q13" s="495"/>
      <c r="R13" s="495"/>
      <c r="S13" s="495"/>
    </row>
    <row r="14" spans="1:19">
      <c r="B14" s="1377" t="s">
        <v>608</v>
      </c>
      <c r="C14" s="495"/>
      <c r="D14" s="495"/>
      <c r="E14" s="495"/>
      <c r="F14" s="495"/>
      <c r="G14" s="495"/>
      <c r="H14" s="495"/>
      <c r="I14" s="495"/>
      <c r="J14" s="495"/>
      <c r="K14" s="495"/>
      <c r="L14" s="495"/>
      <c r="M14" s="495"/>
      <c r="N14" s="495"/>
      <c r="O14" s="495"/>
      <c r="P14" s="495"/>
      <c r="Q14" s="495"/>
      <c r="R14" s="495"/>
      <c r="S14" s="495"/>
    </row>
    <row r="15" spans="1:19" ht="13.5" thickBot="1">
      <c r="B15" s="495"/>
      <c r="C15" s="495"/>
      <c r="D15" s="495"/>
      <c r="E15" s="495"/>
      <c r="F15" s="495"/>
      <c r="G15" s="495"/>
      <c r="H15" s="495"/>
      <c r="I15" s="495"/>
      <c r="J15" s="495"/>
      <c r="K15" s="495"/>
      <c r="L15" s="495"/>
      <c r="M15" s="495"/>
      <c r="N15" s="495"/>
      <c r="O15" s="495"/>
      <c r="P15" s="495"/>
      <c r="Q15" s="495"/>
      <c r="R15" s="495"/>
      <c r="S15" s="495"/>
    </row>
    <row r="16" spans="1:19">
      <c r="B16" s="1931" t="s">
        <v>480</v>
      </c>
      <c r="C16" s="1932"/>
      <c r="D16" s="496" t="s">
        <v>116</v>
      </c>
      <c r="E16" s="497"/>
      <c r="F16" s="498"/>
      <c r="G16" s="496" t="s">
        <v>117</v>
      </c>
      <c r="H16" s="497"/>
      <c r="I16" s="498"/>
      <c r="J16" s="495"/>
      <c r="K16" s="495"/>
      <c r="L16" s="495"/>
      <c r="M16" s="495"/>
      <c r="N16" s="495"/>
      <c r="O16" s="495"/>
      <c r="P16" s="495"/>
      <c r="Q16" s="495"/>
      <c r="R16" s="495"/>
      <c r="S16" s="495"/>
    </row>
    <row r="17" spans="2:19">
      <c r="B17" s="1933"/>
      <c r="C17" s="1934"/>
      <c r="D17" s="1336" t="s">
        <v>242</v>
      </c>
      <c r="E17" s="499" t="s">
        <v>244</v>
      </c>
      <c r="F17" s="1337" t="s">
        <v>238</v>
      </c>
      <c r="G17" s="1336" t="s">
        <v>242</v>
      </c>
      <c r="H17" s="499" t="s">
        <v>244</v>
      </c>
      <c r="I17" s="1337" t="s">
        <v>238</v>
      </c>
      <c r="J17" s="495"/>
      <c r="K17" s="495"/>
      <c r="L17" s="495"/>
      <c r="M17" s="495"/>
      <c r="N17" s="495"/>
      <c r="O17" s="495"/>
      <c r="P17" s="495"/>
      <c r="Q17" s="495"/>
      <c r="R17" s="495"/>
      <c r="S17" s="495"/>
    </row>
    <row r="18" spans="2:19" ht="15" customHeight="1">
      <c r="B18" s="1917" t="s">
        <v>481</v>
      </c>
      <c r="C18" s="1918"/>
      <c r="D18" s="344">
        <v>0</v>
      </c>
      <c r="E18" s="345">
        <v>0</v>
      </c>
      <c r="F18" s="349">
        <v>0</v>
      </c>
      <c r="G18" s="344">
        <v>0</v>
      </c>
      <c r="H18" s="345">
        <v>1</v>
      </c>
      <c r="I18" s="349">
        <v>0</v>
      </c>
      <c r="J18" s="495"/>
      <c r="K18" s="495"/>
      <c r="L18" s="495"/>
      <c r="M18" s="495"/>
      <c r="N18" s="495"/>
      <c r="O18" s="495"/>
      <c r="P18" s="495"/>
      <c r="Q18" s="495"/>
      <c r="R18" s="495"/>
      <c r="S18" s="495"/>
    </row>
    <row r="19" spans="2:19" ht="15" customHeight="1">
      <c r="B19" s="1917" t="s">
        <v>645</v>
      </c>
      <c r="C19" s="1918"/>
      <c r="D19" s="344">
        <v>0</v>
      </c>
      <c r="E19" s="345">
        <v>0</v>
      </c>
      <c r="F19" s="349">
        <v>0</v>
      </c>
      <c r="G19" s="344">
        <v>0</v>
      </c>
      <c r="H19" s="345">
        <v>0</v>
      </c>
      <c r="I19" s="349">
        <v>0</v>
      </c>
      <c r="J19" s="495"/>
      <c r="K19" s="495"/>
      <c r="L19" s="495"/>
      <c r="M19" s="495"/>
      <c r="N19" s="495"/>
      <c r="O19" s="495"/>
      <c r="P19" s="495"/>
      <c r="Q19" s="495"/>
      <c r="R19" s="495"/>
      <c r="S19" s="495"/>
    </row>
    <row r="20" spans="2:19" ht="15" customHeight="1" thickBot="1">
      <c r="B20" s="1919" t="s">
        <v>646</v>
      </c>
      <c r="C20" s="1920"/>
      <c r="D20" s="347">
        <v>0</v>
      </c>
      <c r="E20" s="350">
        <v>0</v>
      </c>
      <c r="F20" s="348">
        <v>0</v>
      </c>
      <c r="G20" s="347">
        <v>0</v>
      </c>
      <c r="H20" s="350">
        <v>0</v>
      </c>
      <c r="I20" s="348">
        <v>0</v>
      </c>
      <c r="J20" s="495"/>
      <c r="K20" s="495"/>
      <c r="L20" s="495"/>
      <c r="M20" s="495"/>
      <c r="N20" s="495"/>
      <c r="O20" s="495"/>
      <c r="P20" s="495"/>
      <c r="Q20" s="495"/>
      <c r="R20" s="495"/>
      <c r="S20" s="495"/>
    </row>
    <row r="21" spans="2:19">
      <c r="B21" s="495"/>
      <c r="C21" s="495"/>
      <c r="D21" s="495"/>
      <c r="E21" s="495"/>
      <c r="F21" s="495"/>
      <c r="G21" s="495"/>
      <c r="H21" s="495"/>
      <c r="I21" s="495"/>
      <c r="J21" s="495"/>
      <c r="K21" s="495"/>
      <c r="L21" s="495"/>
      <c r="M21" s="495"/>
      <c r="N21" s="495"/>
      <c r="O21" s="495"/>
      <c r="P21" s="495"/>
      <c r="Q21" s="495"/>
      <c r="R21" s="495"/>
      <c r="S21" s="495"/>
    </row>
    <row r="22" spans="2:19">
      <c r="B22" s="1377" t="s">
        <v>647</v>
      </c>
      <c r="C22" s="495"/>
      <c r="D22" s="495"/>
      <c r="E22" s="495"/>
      <c r="F22" s="495"/>
      <c r="G22" s="495"/>
      <c r="H22" s="495"/>
      <c r="I22" s="495"/>
      <c r="J22" s="495"/>
      <c r="K22" s="495"/>
      <c r="L22" s="495"/>
      <c r="M22" s="495"/>
      <c r="N22" s="495"/>
      <c r="O22" s="495"/>
      <c r="P22" s="495"/>
      <c r="Q22" s="495"/>
      <c r="R22" s="495"/>
      <c r="S22" s="495"/>
    </row>
    <row r="23" spans="2:19" ht="13.5" thickBot="1">
      <c r="B23" s="1377"/>
      <c r="C23" s="495"/>
      <c r="D23" s="495"/>
      <c r="E23" s="495"/>
      <c r="F23" s="495"/>
      <c r="G23" s="495"/>
      <c r="H23" s="495"/>
      <c r="I23" s="495"/>
      <c r="J23" s="495"/>
      <c r="K23" s="495"/>
      <c r="L23" s="495"/>
      <c r="M23" s="495"/>
      <c r="N23" s="495"/>
      <c r="O23" s="495"/>
      <c r="P23" s="495"/>
      <c r="Q23" s="495"/>
      <c r="R23" s="495"/>
      <c r="S23" s="495"/>
    </row>
    <row r="24" spans="2:19">
      <c r="B24" s="1911"/>
      <c r="C24" s="1351" t="s">
        <v>116</v>
      </c>
      <c r="D24" s="1352"/>
      <c r="E24" s="1352"/>
      <c r="F24" s="1352"/>
      <c r="G24" s="500"/>
      <c r="H24" s="1351" t="s">
        <v>117</v>
      </c>
      <c r="I24" s="501"/>
      <c r="J24" s="501"/>
      <c r="K24" s="501"/>
      <c r="L24" s="500"/>
      <c r="M24" s="351"/>
      <c r="N24" s="1353" t="s">
        <v>116</v>
      </c>
      <c r="O24" s="1354"/>
      <c r="P24" s="1355"/>
      <c r="Q24" s="351"/>
      <c r="R24" s="1353" t="s">
        <v>117</v>
      </c>
      <c r="S24" s="1355"/>
    </row>
    <row r="25" spans="2:19">
      <c r="B25" s="1912"/>
      <c r="C25" s="1360" t="s">
        <v>32</v>
      </c>
      <c r="D25" s="1361" t="s">
        <v>33</v>
      </c>
      <c r="E25" s="1361" t="s">
        <v>29</v>
      </c>
      <c r="F25" s="1361" t="s">
        <v>34</v>
      </c>
      <c r="G25" s="1362" t="s">
        <v>35</v>
      </c>
      <c r="H25" s="1360" t="s">
        <v>118</v>
      </c>
      <c r="I25" s="1361" t="s">
        <v>136</v>
      </c>
      <c r="J25" s="1361" t="s">
        <v>137</v>
      </c>
      <c r="K25" s="1361" t="s">
        <v>138</v>
      </c>
      <c r="L25" s="1362" t="s">
        <v>139</v>
      </c>
      <c r="M25" s="351"/>
      <c r="N25" s="1360" t="s">
        <v>126</v>
      </c>
      <c r="O25" s="1361" t="s">
        <v>127</v>
      </c>
      <c r="P25" s="1362" t="s">
        <v>245</v>
      </c>
      <c r="Q25" s="351"/>
      <c r="R25" s="1360" t="s">
        <v>127</v>
      </c>
      <c r="S25" s="1362" t="s">
        <v>128</v>
      </c>
    </row>
    <row r="26" spans="2:19">
      <c r="B26" s="1913"/>
      <c r="C26" s="1560" t="s">
        <v>729</v>
      </c>
      <c r="D26" s="1561" t="s">
        <v>729</v>
      </c>
      <c r="E26" s="1561" t="s">
        <v>729</v>
      </c>
      <c r="F26" s="1561" t="s">
        <v>729</v>
      </c>
      <c r="G26" s="1562" t="s">
        <v>729</v>
      </c>
      <c r="H26" s="1560" t="s">
        <v>729</v>
      </c>
      <c r="I26" s="1561" t="s">
        <v>729</v>
      </c>
      <c r="J26" s="1561" t="s">
        <v>729</v>
      </c>
      <c r="K26" s="1561" t="s">
        <v>729</v>
      </c>
      <c r="L26" s="1562" t="s">
        <v>729</v>
      </c>
      <c r="M26" s="352"/>
      <c r="N26" s="1560" t="s">
        <v>729</v>
      </c>
      <c r="O26" s="1561" t="s">
        <v>729</v>
      </c>
      <c r="P26" s="1562" t="s">
        <v>729</v>
      </c>
      <c r="Q26" s="352"/>
      <c r="R26" s="1560" t="s">
        <v>729</v>
      </c>
      <c r="S26" s="1562" t="s">
        <v>729</v>
      </c>
    </row>
    <row r="27" spans="2:19">
      <c r="B27" s="1617" t="s">
        <v>730</v>
      </c>
      <c r="C27" s="502"/>
      <c r="D27" s="503"/>
      <c r="E27" s="503"/>
      <c r="F27" s="503"/>
      <c r="G27" s="504"/>
      <c r="H27" s="502"/>
      <c r="I27" s="503"/>
      <c r="J27" s="503"/>
      <c r="K27" s="503"/>
      <c r="L27" s="504"/>
      <c r="M27" s="352"/>
      <c r="N27" s="502"/>
      <c r="O27" s="505"/>
      <c r="P27" s="506"/>
      <c r="Q27" s="352"/>
      <c r="R27" s="502"/>
      <c r="S27" s="494"/>
    </row>
    <row r="28" spans="2:19">
      <c r="B28" s="1005" t="s">
        <v>731</v>
      </c>
      <c r="C28" s="280">
        <v>0</v>
      </c>
      <c r="D28" s="281">
        <v>0</v>
      </c>
      <c r="E28" s="281">
        <v>0</v>
      </c>
      <c r="F28" s="281">
        <v>0</v>
      </c>
      <c r="G28" s="282">
        <v>0</v>
      </c>
      <c r="H28" s="280">
        <v>0</v>
      </c>
      <c r="I28" s="283">
        <v>0</v>
      </c>
      <c r="J28" s="283">
        <v>0</v>
      </c>
      <c r="K28" s="283">
        <v>0</v>
      </c>
      <c r="L28" s="282">
        <v>0</v>
      </c>
      <c r="M28" s="351"/>
      <c r="N28" s="507">
        <v>0</v>
      </c>
      <c r="O28" s="508">
        <v>0</v>
      </c>
      <c r="P28" s="509">
        <v>0</v>
      </c>
      <c r="Q28" s="351"/>
      <c r="R28" s="507">
        <v>0</v>
      </c>
      <c r="S28" s="1367" t="s">
        <v>1021</v>
      </c>
    </row>
    <row r="29" spans="2:19">
      <c r="B29" s="1005" t="s">
        <v>238</v>
      </c>
      <c r="C29" s="280">
        <v>0</v>
      </c>
      <c r="D29" s="281">
        <v>0</v>
      </c>
      <c r="E29" s="281">
        <v>0</v>
      </c>
      <c r="F29" s="281">
        <v>0</v>
      </c>
      <c r="G29" s="282">
        <v>0</v>
      </c>
      <c r="H29" s="280">
        <v>0</v>
      </c>
      <c r="I29" s="283">
        <v>0</v>
      </c>
      <c r="J29" s="283">
        <v>0</v>
      </c>
      <c r="K29" s="283">
        <v>0</v>
      </c>
      <c r="L29" s="282">
        <v>0</v>
      </c>
      <c r="M29" s="351"/>
      <c r="N29" s="507">
        <v>0</v>
      </c>
      <c r="O29" s="508">
        <v>0</v>
      </c>
      <c r="P29" s="509">
        <v>0</v>
      </c>
      <c r="Q29" s="351"/>
      <c r="R29" s="507">
        <v>0</v>
      </c>
      <c r="S29" s="1367" t="s">
        <v>1021</v>
      </c>
    </row>
    <row r="30" spans="2:19">
      <c r="B30" s="1005" t="s">
        <v>732</v>
      </c>
      <c r="C30" s="280">
        <v>0</v>
      </c>
      <c r="D30" s="281">
        <v>0</v>
      </c>
      <c r="E30" s="281">
        <v>0</v>
      </c>
      <c r="F30" s="281">
        <v>0</v>
      </c>
      <c r="G30" s="282">
        <v>0</v>
      </c>
      <c r="H30" s="280">
        <v>0</v>
      </c>
      <c r="I30" s="283">
        <v>0.7</v>
      </c>
      <c r="J30" s="283">
        <v>0</v>
      </c>
      <c r="K30" s="283">
        <v>0</v>
      </c>
      <c r="L30" s="282">
        <v>0</v>
      </c>
      <c r="M30" s="351"/>
      <c r="N30" s="507">
        <v>0</v>
      </c>
      <c r="O30" s="508">
        <v>0</v>
      </c>
      <c r="P30" s="509">
        <v>0</v>
      </c>
      <c r="Q30" s="351"/>
      <c r="R30" s="507">
        <v>0.7</v>
      </c>
      <c r="S30" s="1367" t="s">
        <v>1021</v>
      </c>
    </row>
    <row r="31" spans="2:19">
      <c r="B31" s="1005" t="s">
        <v>733</v>
      </c>
      <c r="C31" s="280">
        <v>0</v>
      </c>
      <c r="D31" s="281">
        <v>0</v>
      </c>
      <c r="E31" s="281">
        <v>0</v>
      </c>
      <c r="F31" s="281">
        <v>0</v>
      </c>
      <c r="G31" s="282">
        <v>0</v>
      </c>
      <c r="H31" s="280">
        <v>0</v>
      </c>
      <c r="I31" s="283">
        <v>0</v>
      </c>
      <c r="J31" s="283">
        <v>0</v>
      </c>
      <c r="K31" s="283">
        <v>0</v>
      </c>
      <c r="L31" s="282">
        <v>0</v>
      </c>
      <c r="M31" s="351"/>
      <c r="N31" s="507">
        <v>0</v>
      </c>
      <c r="O31" s="508">
        <v>0</v>
      </c>
      <c r="P31" s="509">
        <v>0</v>
      </c>
      <c r="Q31" s="351"/>
      <c r="R31" s="507">
        <v>0</v>
      </c>
      <c r="S31" s="1367" t="s">
        <v>1021</v>
      </c>
    </row>
    <row r="32" spans="2:19" ht="13.5" thickBot="1">
      <c r="B32" s="1618" t="s">
        <v>734</v>
      </c>
      <c r="C32" s="775">
        <v>0</v>
      </c>
      <c r="D32" s="776">
        <v>0</v>
      </c>
      <c r="E32" s="776">
        <v>0</v>
      </c>
      <c r="F32" s="776">
        <v>0</v>
      </c>
      <c r="G32" s="777">
        <v>0</v>
      </c>
      <c r="H32" s="775">
        <v>0</v>
      </c>
      <c r="I32" s="778">
        <v>0.7</v>
      </c>
      <c r="J32" s="778">
        <v>0</v>
      </c>
      <c r="K32" s="778">
        <v>0</v>
      </c>
      <c r="L32" s="777">
        <v>0</v>
      </c>
      <c r="M32" s="353"/>
      <c r="N32" s="775">
        <v>0</v>
      </c>
      <c r="O32" s="778">
        <v>0</v>
      </c>
      <c r="P32" s="777">
        <v>0</v>
      </c>
      <c r="Q32" s="353"/>
      <c r="R32" s="775">
        <v>0.7</v>
      </c>
      <c r="S32" s="1433" t="s">
        <v>1021</v>
      </c>
    </row>
    <row r="33" spans="2:19">
      <c r="B33" s="231"/>
      <c r="C33" s="231"/>
      <c r="D33" s="231"/>
      <c r="E33" s="231"/>
      <c r="F33" s="231"/>
      <c r="G33" s="231"/>
      <c r="H33" s="231"/>
      <c r="I33" s="231"/>
      <c r="J33" s="231"/>
      <c r="K33" s="231"/>
      <c r="L33" s="231"/>
      <c r="M33" s="235"/>
      <c r="N33" s="231"/>
      <c r="O33" s="231"/>
      <c r="P33" s="231"/>
      <c r="Q33" s="235"/>
      <c r="R33" s="231"/>
      <c r="S33" s="231"/>
    </row>
  </sheetData>
  <mergeCells count="9">
    <mergeCell ref="B19:C19"/>
    <mergeCell ref="B20:C20"/>
    <mergeCell ref="B24:B26"/>
    <mergeCell ref="B8:C9"/>
    <mergeCell ref="B11:C11"/>
    <mergeCell ref="B10:C10"/>
    <mergeCell ref="B12:C12"/>
    <mergeCell ref="B16:C17"/>
    <mergeCell ref="B18:C18"/>
  </mergeCells>
  <phoneticPr fontId="0" type="noConversion"/>
  <hyperlinks>
    <hyperlink ref="F1" location="Inputs!A1" display="Index"/>
  </hyperlinks>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tabColor rgb="FFC1DFFF"/>
  </sheetPr>
  <dimension ref="A1:W187"/>
  <sheetViews>
    <sheetView topLeftCell="A73" workbookViewId="0">
      <selection activeCell="A73" sqref="A1:XFD1048576"/>
    </sheetView>
  </sheetViews>
  <sheetFormatPr defaultRowHeight="14.25"/>
  <cols>
    <col min="1" max="1" width="4.28515625" style="1691" customWidth="1"/>
    <col min="2" max="2" width="45.85546875" style="1693" customWidth="1"/>
    <col min="3" max="3" width="40.28515625" style="1693" customWidth="1"/>
    <col min="4" max="8" width="10.28515625" style="1693" customWidth="1"/>
    <col min="9" max="13" width="10.28515625" style="1694" customWidth="1"/>
    <col min="14" max="14" width="4.140625" style="1694" customWidth="1"/>
    <col min="15" max="17" width="13.7109375" style="1694" customWidth="1"/>
    <col min="18" max="18" width="4.28515625" style="1694" customWidth="1"/>
    <col min="19" max="20" width="11.85546875" style="1694" customWidth="1"/>
    <col min="21" max="23" width="9.140625" style="1694"/>
    <col min="24" max="16384" width="9.140625" style="1693"/>
  </cols>
  <sheetData>
    <row r="1" spans="1:20" s="663" customFormat="1" ht="20.25">
      <c r="A1" s="662" t="s">
        <v>167</v>
      </c>
      <c r="G1" s="662" t="s">
        <v>853</v>
      </c>
    </row>
    <row r="2" spans="1:20" s="663" customFormat="1" ht="20.25">
      <c r="A2" s="664" t="s">
        <v>168</v>
      </c>
      <c r="B2" s="662"/>
    </row>
    <row r="3" spans="1:20" s="666" customFormat="1" ht="21" thickBot="1">
      <c r="A3" s="665" t="s">
        <v>854</v>
      </c>
    </row>
    <row r="4" spans="1:20" s="667" customFormat="1" ht="12.75">
      <c r="A4" s="1619"/>
      <c r="S4" s="351"/>
      <c r="T4" s="351"/>
    </row>
    <row r="5" spans="1:20" s="1006" customFormat="1" ht="12.75">
      <c r="A5" s="1620"/>
      <c r="B5" s="1011" t="s">
        <v>112</v>
      </c>
      <c r="O5" s="1007"/>
      <c r="P5" s="1007"/>
      <c r="Q5" s="1007"/>
      <c r="R5" s="1007"/>
      <c r="S5" s="1007"/>
      <c r="T5" s="1007"/>
    </row>
    <row r="6" spans="1:20" s="1623" customFormat="1" ht="13.5" thickBot="1">
      <c r="A6" s="1621"/>
      <c r="B6" s="1589"/>
      <c r="C6" s="1589"/>
      <c r="D6" s="1589"/>
      <c r="E6" s="1589"/>
      <c r="F6" s="1589"/>
      <c r="G6" s="1589"/>
      <c r="H6" s="1589"/>
      <c r="I6" s="1589"/>
      <c r="J6" s="1589"/>
      <c r="K6" s="1589"/>
      <c r="L6" s="1589"/>
      <c r="M6" s="1589"/>
      <c r="N6" s="1007"/>
      <c r="O6" s="1622"/>
      <c r="P6" s="1622"/>
      <c r="Q6" s="1622"/>
      <c r="R6" s="1007"/>
      <c r="S6" s="1622"/>
      <c r="T6" s="1622"/>
    </row>
    <row r="7" spans="1:20" s="1623" customFormat="1" ht="15" customHeight="1">
      <c r="A7" s="1621"/>
      <c r="B7" s="1935" t="s">
        <v>113</v>
      </c>
      <c r="C7" s="1936"/>
      <c r="D7" s="1624" t="s">
        <v>114</v>
      </c>
      <c r="E7" s="1625"/>
      <c r="F7" s="1625"/>
      <c r="G7" s="1625"/>
      <c r="H7" s="1626"/>
      <c r="I7" s="1624" t="s">
        <v>115</v>
      </c>
      <c r="J7" s="1625"/>
      <c r="K7" s="1625"/>
      <c r="L7" s="1625"/>
      <c r="M7" s="1626"/>
      <c r="N7" s="1007"/>
      <c r="O7" s="1353" t="s">
        <v>116</v>
      </c>
      <c r="P7" s="1354"/>
      <c r="Q7" s="1355"/>
      <c r="R7" s="1007"/>
      <c r="S7" s="1353" t="s">
        <v>117</v>
      </c>
      <c r="T7" s="1355"/>
    </row>
    <row r="8" spans="1:20" s="1623" customFormat="1" ht="15" customHeight="1">
      <c r="A8" s="1621"/>
      <c r="B8" s="1937"/>
      <c r="C8" s="1938"/>
      <c r="D8" s="1627" t="s">
        <v>32</v>
      </c>
      <c r="E8" s="1628" t="s">
        <v>33</v>
      </c>
      <c r="F8" s="1628" t="s">
        <v>29</v>
      </c>
      <c r="G8" s="1628" t="s">
        <v>34</v>
      </c>
      <c r="H8" s="1629" t="s">
        <v>35</v>
      </c>
      <c r="I8" s="1627" t="s">
        <v>118</v>
      </c>
      <c r="J8" s="1628" t="s">
        <v>136</v>
      </c>
      <c r="K8" s="1628" t="s">
        <v>137</v>
      </c>
      <c r="L8" s="1628" t="s">
        <v>138</v>
      </c>
      <c r="M8" s="1629" t="s">
        <v>139</v>
      </c>
      <c r="N8" s="1007"/>
      <c r="O8" s="1360" t="s">
        <v>126</v>
      </c>
      <c r="P8" s="1361" t="s">
        <v>127</v>
      </c>
      <c r="Q8" s="1362" t="s">
        <v>245</v>
      </c>
      <c r="R8" s="1007"/>
      <c r="S8" s="1360" t="s">
        <v>127</v>
      </c>
      <c r="T8" s="1362" t="s">
        <v>128</v>
      </c>
    </row>
    <row r="9" spans="1:20" s="1623" customFormat="1" ht="15" customHeight="1">
      <c r="A9" s="1621"/>
      <c r="B9" s="1939"/>
      <c r="C9" s="1940"/>
      <c r="D9" s="1627" t="s">
        <v>14</v>
      </c>
      <c r="E9" s="1628" t="s">
        <v>14</v>
      </c>
      <c r="F9" s="1628" t="s">
        <v>14</v>
      </c>
      <c r="G9" s="1628" t="s">
        <v>14</v>
      </c>
      <c r="H9" s="1629" t="s">
        <v>14</v>
      </c>
      <c r="I9" s="1630" t="s">
        <v>14</v>
      </c>
      <c r="J9" s="1628" t="s">
        <v>14</v>
      </c>
      <c r="K9" s="1628" t="s">
        <v>14</v>
      </c>
      <c r="L9" s="1628" t="s">
        <v>14</v>
      </c>
      <c r="M9" s="1629" t="s">
        <v>14</v>
      </c>
      <c r="N9" s="1589"/>
      <c r="O9" s="1631"/>
      <c r="P9" s="1632"/>
      <c r="Q9" s="1633"/>
      <c r="R9" s="1007"/>
      <c r="S9" s="1634"/>
      <c r="T9" s="1635"/>
    </row>
    <row r="10" spans="1:20" s="1623" customFormat="1" ht="15" customHeight="1">
      <c r="A10" s="1621"/>
      <c r="B10" s="1946" t="s">
        <v>103</v>
      </c>
      <c r="C10" s="1636" t="s">
        <v>104</v>
      </c>
      <c r="D10" s="748">
        <v>1</v>
      </c>
      <c r="E10" s="749">
        <v>0.9</v>
      </c>
      <c r="F10" s="749">
        <v>1.5</v>
      </c>
      <c r="G10" s="749">
        <v>0.97998063017283144</v>
      </c>
      <c r="H10" s="750">
        <v>0.4485690832677206</v>
      </c>
      <c r="I10" s="748">
        <v>0.82</v>
      </c>
      <c r="J10" s="749">
        <v>0.89</v>
      </c>
      <c r="K10" s="749">
        <v>1</v>
      </c>
      <c r="L10" s="749">
        <v>1</v>
      </c>
      <c r="M10" s="750">
        <v>1</v>
      </c>
      <c r="N10" s="1589"/>
      <c r="O10" s="507">
        <f>SUM(D10:G10)</f>
        <v>4.379980630172831</v>
      </c>
      <c r="P10" s="508">
        <f>H10</f>
        <v>0.4485690832677206</v>
      </c>
      <c r="Q10" s="509">
        <f>SUM(D10:H10)</f>
        <v>4.8285497134405517</v>
      </c>
      <c r="R10" s="1007"/>
      <c r="S10" s="507">
        <f>SUM(I10:M10)</f>
        <v>4.71</v>
      </c>
      <c r="T10" s="1367">
        <f>IF(Q10&lt;&gt;0,(S10-Q10)/Q10,"0")</f>
        <v>-2.4551826216174532E-2</v>
      </c>
    </row>
    <row r="11" spans="1:20" s="1623" customFormat="1" ht="15" customHeight="1">
      <c r="A11" s="1621"/>
      <c r="B11" s="1947"/>
      <c r="C11" s="1637" t="s">
        <v>105</v>
      </c>
      <c r="D11" s="751">
        <v>0.5</v>
      </c>
      <c r="E11" s="752">
        <v>0.7</v>
      </c>
      <c r="F11" s="752">
        <v>0.6</v>
      </c>
      <c r="G11" s="752">
        <v>0.67949511643393978</v>
      </c>
      <c r="H11" s="753">
        <v>0.39907437960130709</v>
      </c>
      <c r="I11" s="751">
        <v>1.04</v>
      </c>
      <c r="J11" s="752">
        <v>1.18</v>
      </c>
      <c r="K11" s="752">
        <v>1.32</v>
      </c>
      <c r="L11" s="752">
        <v>1.47</v>
      </c>
      <c r="M11" s="753">
        <v>1.62</v>
      </c>
      <c r="N11" s="1589"/>
      <c r="O11" s="507">
        <f t="shared" ref="O11:O35" si="0">SUM(D11:G11)</f>
        <v>2.4794951164339398</v>
      </c>
      <c r="P11" s="508">
        <f t="shared" ref="P11:P35" si="1">H11</f>
        <v>0.39907437960130709</v>
      </c>
      <c r="Q11" s="509">
        <f>SUM(D11:H11)</f>
        <v>2.8785694960352468</v>
      </c>
      <c r="R11" s="1007"/>
      <c r="S11" s="507">
        <f>SUM(I11:M11)</f>
        <v>6.63</v>
      </c>
      <c r="T11" s="1367">
        <f>IF(Q11&lt;&gt;0,(S11-Q11)/Q11,"0")</f>
        <v>1.3032273527290996</v>
      </c>
    </row>
    <row r="12" spans="1:20" s="1623" customFormat="1" ht="15" customHeight="1">
      <c r="A12" s="1621"/>
      <c r="B12" s="1947" t="s">
        <v>106</v>
      </c>
      <c r="C12" s="1637" t="s">
        <v>104</v>
      </c>
      <c r="D12" s="751">
        <v>0</v>
      </c>
      <c r="E12" s="752">
        <v>0</v>
      </c>
      <c r="F12" s="752">
        <v>0</v>
      </c>
      <c r="G12" s="752">
        <v>9.4228906747387629E-3</v>
      </c>
      <c r="H12" s="753">
        <v>3.1592364042391595E-2</v>
      </c>
      <c r="I12" s="751">
        <v>0</v>
      </c>
      <c r="J12" s="752">
        <v>0</v>
      </c>
      <c r="K12" s="752">
        <v>0</v>
      </c>
      <c r="L12" s="752">
        <v>0</v>
      </c>
      <c r="M12" s="753">
        <v>0</v>
      </c>
      <c r="N12" s="1589"/>
      <c r="O12" s="507">
        <f t="shared" si="0"/>
        <v>9.4228906747387629E-3</v>
      </c>
      <c r="P12" s="508">
        <f t="shared" si="1"/>
        <v>3.1592364042391595E-2</v>
      </c>
      <c r="Q12" s="509">
        <f t="shared" ref="Q12:Q35" si="2">SUM(D12:H12)</f>
        <v>4.1015254717130356E-2</v>
      </c>
      <c r="R12" s="1007"/>
      <c r="S12" s="507">
        <f t="shared" ref="S12:S35" si="3">SUM(I12:M12)</f>
        <v>0</v>
      </c>
      <c r="T12" s="1367">
        <f t="shared" ref="T12:T35" si="4">IF(Q12&lt;&gt;0,(S12-Q12)/Q12,"0")</f>
        <v>-1</v>
      </c>
    </row>
    <row r="13" spans="1:20" s="1623" customFormat="1" ht="15" customHeight="1">
      <c r="A13" s="1621"/>
      <c r="B13" s="1947"/>
      <c r="C13" s="1637" t="s">
        <v>105</v>
      </c>
      <c r="D13" s="751">
        <v>0</v>
      </c>
      <c r="E13" s="752">
        <v>-0.10413095862701416</v>
      </c>
      <c r="F13" s="752">
        <v>-0.2</v>
      </c>
      <c r="G13" s="752">
        <v>-3.4053020369104861E-2</v>
      </c>
      <c r="H13" s="753">
        <v>-5.3770690340651767E-2</v>
      </c>
      <c r="I13" s="751">
        <v>-0.1</v>
      </c>
      <c r="J13" s="752">
        <v>-0.1</v>
      </c>
      <c r="K13" s="752">
        <v>-0.1</v>
      </c>
      <c r="L13" s="752">
        <v>-0.1</v>
      </c>
      <c r="M13" s="753">
        <v>-0.1</v>
      </c>
      <c r="N13" s="1589"/>
      <c r="O13" s="507">
        <f t="shared" si="0"/>
        <v>-0.33818397899611902</v>
      </c>
      <c r="P13" s="508">
        <f t="shared" si="1"/>
        <v>-5.3770690340651767E-2</v>
      </c>
      <c r="Q13" s="509">
        <f t="shared" si="2"/>
        <v>-0.39195466933677081</v>
      </c>
      <c r="R13" s="1007"/>
      <c r="S13" s="507">
        <f t="shared" si="3"/>
        <v>-0.5</v>
      </c>
      <c r="T13" s="1367">
        <f t="shared" si="4"/>
        <v>0.27565772043500192</v>
      </c>
    </row>
    <row r="14" spans="1:20" s="1623" customFormat="1" ht="15" customHeight="1">
      <c r="A14" s="1621"/>
      <c r="B14" s="1943" t="s">
        <v>842</v>
      </c>
      <c r="C14" s="1637" t="s">
        <v>129</v>
      </c>
      <c r="D14" s="751">
        <v>1.7</v>
      </c>
      <c r="E14" s="752">
        <v>1.7</v>
      </c>
      <c r="F14" s="752">
        <v>2</v>
      </c>
      <c r="G14" s="752">
        <v>1.457407091026262</v>
      </c>
      <c r="H14" s="753">
        <v>1.4107007325510907</v>
      </c>
      <c r="I14" s="751">
        <v>1.61</v>
      </c>
      <c r="J14" s="752">
        <v>1.76</v>
      </c>
      <c r="K14" s="752">
        <v>1.94</v>
      </c>
      <c r="L14" s="752">
        <v>1.94</v>
      </c>
      <c r="M14" s="753">
        <v>1.94</v>
      </c>
      <c r="N14" s="1589"/>
      <c r="O14" s="507">
        <f t="shared" si="0"/>
        <v>6.8574070910262623</v>
      </c>
      <c r="P14" s="508">
        <f t="shared" si="1"/>
        <v>1.4107007325510907</v>
      </c>
      <c r="Q14" s="509">
        <f t="shared" si="2"/>
        <v>8.2681078235773526</v>
      </c>
      <c r="R14" s="1007"/>
      <c r="S14" s="507">
        <f t="shared" si="3"/>
        <v>9.19</v>
      </c>
      <c r="T14" s="1367">
        <f t="shared" si="4"/>
        <v>0.11149977674381281</v>
      </c>
    </row>
    <row r="15" spans="1:20" s="1623" customFormat="1" ht="15" customHeight="1">
      <c r="A15" s="1621"/>
      <c r="B15" s="1943"/>
      <c r="C15" s="1637" t="s">
        <v>130</v>
      </c>
      <c r="D15" s="751">
        <v>0.2</v>
      </c>
      <c r="E15" s="752">
        <v>0.2</v>
      </c>
      <c r="F15" s="752">
        <v>0.3</v>
      </c>
      <c r="G15" s="752">
        <v>0.18008191067278526</v>
      </c>
      <c r="H15" s="753">
        <v>0.22106157602826107</v>
      </c>
      <c r="I15" s="751">
        <v>0.57999999999999996</v>
      </c>
      <c r="J15" s="752">
        <v>0.67</v>
      </c>
      <c r="K15" s="752">
        <v>0.75</v>
      </c>
      <c r="L15" s="752">
        <v>0.83</v>
      </c>
      <c r="M15" s="753">
        <v>0.93</v>
      </c>
      <c r="N15" s="1589"/>
      <c r="O15" s="507">
        <f t="shared" si="0"/>
        <v>0.88008191067278518</v>
      </c>
      <c r="P15" s="508">
        <f t="shared" si="1"/>
        <v>0.22106157602826107</v>
      </c>
      <c r="Q15" s="509">
        <f t="shared" si="2"/>
        <v>1.1011434867010463</v>
      </c>
      <c r="R15" s="1007"/>
      <c r="S15" s="507">
        <f t="shared" si="3"/>
        <v>3.7600000000000002</v>
      </c>
      <c r="T15" s="1367">
        <f t="shared" si="4"/>
        <v>2.4146321940882687</v>
      </c>
    </row>
    <row r="16" spans="1:20" s="1623" customFormat="1" ht="15" customHeight="1">
      <c r="A16" s="1621"/>
      <c r="B16" s="1943"/>
      <c r="C16" s="1638" t="s">
        <v>223</v>
      </c>
      <c r="D16" s="751">
        <v>0.2</v>
      </c>
      <c r="E16" s="752">
        <v>0.1</v>
      </c>
      <c r="F16" s="752">
        <v>0.1</v>
      </c>
      <c r="G16" s="752">
        <v>0.26593491459818286</v>
      </c>
      <c r="H16" s="753">
        <v>0.30855208881402457</v>
      </c>
      <c r="I16" s="751">
        <v>0.47</v>
      </c>
      <c r="J16" s="752">
        <v>0.51</v>
      </c>
      <c r="K16" s="752">
        <v>0.56000000000000005</v>
      </c>
      <c r="L16" s="752">
        <v>0.61</v>
      </c>
      <c r="M16" s="753">
        <v>0.66</v>
      </c>
      <c r="N16" s="1589"/>
      <c r="O16" s="507">
        <f t="shared" si="0"/>
        <v>0.66593491459818288</v>
      </c>
      <c r="P16" s="508">
        <f t="shared" si="1"/>
        <v>0.30855208881402457</v>
      </c>
      <c r="Q16" s="509">
        <f t="shared" si="2"/>
        <v>0.97448700341220751</v>
      </c>
      <c r="R16" s="1007"/>
      <c r="S16" s="507">
        <f t="shared" si="3"/>
        <v>2.81</v>
      </c>
      <c r="T16" s="1367">
        <f t="shared" si="4"/>
        <v>1.8835684726021651</v>
      </c>
    </row>
    <row r="17" spans="1:20" s="1623" customFormat="1" ht="15" customHeight="1">
      <c r="A17" s="1621"/>
      <c r="B17" s="1943" t="s">
        <v>238</v>
      </c>
      <c r="C17" s="1637" t="s">
        <v>224</v>
      </c>
      <c r="D17" s="751">
        <v>1.9</v>
      </c>
      <c r="E17" s="752">
        <v>5.2</v>
      </c>
      <c r="F17" s="752">
        <v>5</v>
      </c>
      <c r="G17" s="752">
        <v>3.4246972663411661</v>
      </c>
      <c r="H17" s="753">
        <v>3.2169433076456775</v>
      </c>
      <c r="I17" s="751">
        <v>5.15</v>
      </c>
      <c r="J17" s="752">
        <v>7.1</v>
      </c>
      <c r="K17" s="752">
        <v>9.07</v>
      </c>
      <c r="L17" s="752">
        <v>9.07</v>
      </c>
      <c r="M17" s="753">
        <v>9.07</v>
      </c>
      <c r="N17" s="1589"/>
      <c r="O17" s="507">
        <f t="shared" si="0"/>
        <v>15.524697266341166</v>
      </c>
      <c r="P17" s="508">
        <f t="shared" si="1"/>
        <v>3.2169433076456775</v>
      </c>
      <c r="Q17" s="509">
        <f t="shared" si="2"/>
        <v>18.741640573986842</v>
      </c>
      <c r="R17" s="1007"/>
      <c r="S17" s="507">
        <f t="shared" si="3"/>
        <v>39.46</v>
      </c>
      <c r="T17" s="1367">
        <f t="shared" si="4"/>
        <v>1.1054720286744788</v>
      </c>
    </row>
    <row r="18" spans="1:20" s="1623" customFormat="1" ht="15" customHeight="1">
      <c r="A18" s="1621"/>
      <c r="B18" s="1943"/>
      <c r="C18" s="1637" t="s">
        <v>872</v>
      </c>
      <c r="D18" s="751">
        <v>0.2</v>
      </c>
      <c r="E18" s="752">
        <v>0.6</v>
      </c>
      <c r="F18" s="752">
        <v>1.1000000000000001</v>
      </c>
      <c r="G18" s="752">
        <v>0.43135899533248562</v>
      </c>
      <c r="H18" s="753">
        <v>0.24747351833206749</v>
      </c>
      <c r="I18" s="751">
        <v>0.43</v>
      </c>
      <c r="J18" s="752">
        <v>0.48</v>
      </c>
      <c r="K18" s="752">
        <v>0.55000000000000004</v>
      </c>
      <c r="L18" s="752">
        <v>0.61</v>
      </c>
      <c r="M18" s="753">
        <v>0.69</v>
      </c>
      <c r="N18" s="1589"/>
      <c r="O18" s="507">
        <f t="shared" si="0"/>
        <v>2.3313589953324856</v>
      </c>
      <c r="P18" s="508">
        <f t="shared" si="1"/>
        <v>0.24747351833206749</v>
      </c>
      <c r="Q18" s="509">
        <f t="shared" si="2"/>
        <v>2.5788325136645529</v>
      </c>
      <c r="R18" s="1007"/>
      <c r="S18" s="507">
        <f t="shared" si="3"/>
        <v>2.76</v>
      </c>
      <c r="T18" s="1367">
        <f t="shared" si="4"/>
        <v>7.0251745848358971E-2</v>
      </c>
    </row>
    <row r="19" spans="1:20" s="1623" customFormat="1" ht="15" customHeight="1">
      <c r="A19" s="1621"/>
      <c r="B19" s="1943"/>
      <c r="C19" s="1638" t="s">
        <v>120</v>
      </c>
      <c r="D19" s="751">
        <v>0</v>
      </c>
      <c r="E19" s="752">
        <v>0</v>
      </c>
      <c r="F19" s="752">
        <v>0</v>
      </c>
      <c r="G19" s="752">
        <v>0</v>
      </c>
      <c r="H19" s="753">
        <v>0</v>
      </c>
      <c r="I19" s="751">
        <v>0.05</v>
      </c>
      <c r="J19" s="752">
        <v>0.05</v>
      </c>
      <c r="K19" s="752">
        <v>0.05</v>
      </c>
      <c r="L19" s="752">
        <v>0.05</v>
      </c>
      <c r="M19" s="753">
        <v>0.05</v>
      </c>
      <c r="N19" s="1589"/>
      <c r="O19" s="507">
        <f t="shared" si="0"/>
        <v>0</v>
      </c>
      <c r="P19" s="508">
        <f t="shared" si="1"/>
        <v>0</v>
      </c>
      <c r="Q19" s="509">
        <f t="shared" si="2"/>
        <v>0</v>
      </c>
      <c r="R19" s="1007"/>
      <c r="S19" s="507">
        <f t="shared" si="3"/>
        <v>0.25</v>
      </c>
      <c r="T19" s="1367" t="str">
        <f t="shared" si="4"/>
        <v>0</v>
      </c>
    </row>
    <row r="20" spans="1:20" s="1623" customFormat="1" ht="15" customHeight="1">
      <c r="A20" s="1621"/>
      <c r="B20" s="1943"/>
      <c r="C20" s="1638" t="s">
        <v>223</v>
      </c>
      <c r="D20" s="751">
        <v>0.9</v>
      </c>
      <c r="E20" s="752">
        <v>1.1000000000000001</v>
      </c>
      <c r="F20" s="752">
        <v>2.6</v>
      </c>
      <c r="G20" s="752">
        <v>1.9861359566643817</v>
      </c>
      <c r="H20" s="753">
        <v>2.5316014385969798</v>
      </c>
      <c r="I20" s="751">
        <v>1.81</v>
      </c>
      <c r="J20" s="752">
        <v>1.88</v>
      </c>
      <c r="K20" s="752">
        <v>1.94</v>
      </c>
      <c r="L20" s="752">
        <v>1.99</v>
      </c>
      <c r="M20" s="753">
        <v>2.04</v>
      </c>
      <c r="N20" s="1589"/>
      <c r="O20" s="507">
        <f t="shared" si="0"/>
        <v>6.5861359566643811</v>
      </c>
      <c r="P20" s="508">
        <f t="shared" si="1"/>
        <v>2.5316014385969798</v>
      </c>
      <c r="Q20" s="509">
        <f t="shared" si="2"/>
        <v>9.1177373952613614</v>
      </c>
      <c r="R20" s="1007"/>
      <c r="S20" s="507">
        <f t="shared" si="3"/>
        <v>9.66</v>
      </c>
      <c r="T20" s="1367">
        <f t="shared" si="4"/>
        <v>5.9473373846066414E-2</v>
      </c>
    </row>
    <row r="21" spans="1:20" s="1623" customFormat="1" ht="15" customHeight="1">
      <c r="A21" s="1621"/>
      <c r="B21" s="1943"/>
      <c r="C21" s="1637" t="s">
        <v>862</v>
      </c>
      <c r="D21" s="751">
        <v>0.1</v>
      </c>
      <c r="E21" s="752">
        <v>0.8</v>
      </c>
      <c r="F21" s="752">
        <v>0.8</v>
      </c>
      <c r="G21" s="752">
        <v>0.48475537582267192</v>
      </c>
      <c r="H21" s="753">
        <v>0.91512547842794323</v>
      </c>
      <c r="I21" s="751">
        <v>1.76</v>
      </c>
      <c r="J21" s="752">
        <v>1.85</v>
      </c>
      <c r="K21" s="752">
        <v>1.93</v>
      </c>
      <c r="L21" s="752">
        <v>2.0099999999999998</v>
      </c>
      <c r="M21" s="753">
        <v>2.08</v>
      </c>
      <c r="N21" s="1589"/>
      <c r="O21" s="507">
        <f t="shared" si="0"/>
        <v>2.1847553758226721</v>
      </c>
      <c r="P21" s="508">
        <f t="shared" si="1"/>
        <v>0.91512547842794323</v>
      </c>
      <c r="Q21" s="509">
        <f t="shared" si="2"/>
        <v>3.0998808542506153</v>
      </c>
      <c r="R21" s="1007"/>
      <c r="S21" s="507">
        <f t="shared" si="3"/>
        <v>9.629999999999999</v>
      </c>
      <c r="T21" s="1367">
        <f t="shared" si="4"/>
        <v>2.1065710112035951</v>
      </c>
    </row>
    <row r="22" spans="1:20" s="1623" customFormat="1" ht="15" customHeight="1">
      <c r="A22" s="1621"/>
      <c r="B22" s="1943"/>
      <c r="C22" s="1637" t="s">
        <v>863</v>
      </c>
      <c r="D22" s="751">
        <v>0.6</v>
      </c>
      <c r="E22" s="752">
        <v>1</v>
      </c>
      <c r="F22" s="752">
        <v>0.8</v>
      </c>
      <c r="G22" s="752">
        <v>0.6470384929987284</v>
      </c>
      <c r="H22" s="753">
        <v>0.48757548505424364</v>
      </c>
      <c r="I22" s="751">
        <v>0.7</v>
      </c>
      <c r="J22" s="752">
        <v>0.7</v>
      </c>
      <c r="K22" s="752">
        <v>0.7</v>
      </c>
      <c r="L22" s="752">
        <v>0.7</v>
      </c>
      <c r="M22" s="753">
        <v>0.7</v>
      </c>
      <c r="N22" s="1589"/>
      <c r="O22" s="507">
        <f t="shared" si="0"/>
        <v>3.0470384929987286</v>
      </c>
      <c r="P22" s="508">
        <f t="shared" si="1"/>
        <v>0.48757548505424364</v>
      </c>
      <c r="Q22" s="509">
        <f t="shared" si="2"/>
        <v>3.5346139780529722</v>
      </c>
      <c r="R22" s="1007"/>
      <c r="S22" s="507">
        <f t="shared" si="3"/>
        <v>3.5</v>
      </c>
      <c r="T22" s="1367">
        <f t="shared" si="4"/>
        <v>-9.7928594941049663E-3</v>
      </c>
    </row>
    <row r="23" spans="1:20" s="1623" customFormat="1" ht="15" customHeight="1">
      <c r="A23" s="1621"/>
      <c r="B23" s="1943" t="s">
        <v>244</v>
      </c>
      <c r="C23" s="1637" t="s">
        <v>224</v>
      </c>
      <c r="D23" s="751">
        <v>0.3</v>
      </c>
      <c r="E23" s="752">
        <v>0.4</v>
      </c>
      <c r="F23" s="752">
        <v>0.9</v>
      </c>
      <c r="G23" s="752">
        <v>2.0772238998535228</v>
      </c>
      <c r="H23" s="753">
        <v>1.2089344640221851</v>
      </c>
      <c r="I23" s="751">
        <v>0.66</v>
      </c>
      <c r="J23" s="752">
        <v>1.08</v>
      </c>
      <c r="K23" s="752">
        <v>1.51</v>
      </c>
      <c r="L23" s="752">
        <v>1.51</v>
      </c>
      <c r="M23" s="753">
        <v>1.52</v>
      </c>
      <c r="N23" s="1589"/>
      <c r="O23" s="507">
        <f t="shared" si="0"/>
        <v>3.6772238998535229</v>
      </c>
      <c r="P23" s="508">
        <f t="shared" si="1"/>
        <v>1.2089344640221851</v>
      </c>
      <c r="Q23" s="509">
        <f t="shared" si="2"/>
        <v>4.8861583638757082</v>
      </c>
      <c r="R23" s="1007"/>
      <c r="S23" s="507">
        <f t="shared" si="3"/>
        <v>6.2799999999999994</v>
      </c>
      <c r="T23" s="1367">
        <f t="shared" si="4"/>
        <v>0.28526329527696559</v>
      </c>
    </row>
    <row r="24" spans="1:20" s="1623" customFormat="1" ht="15" customHeight="1">
      <c r="A24" s="1621"/>
      <c r="B24" s="1943"/>
      <c r="C24" s="1637" t="s">
        <v>872</v>
      </c>
      <c r="D24" s="751">
        <v>0.8</v>
      </c>
      <c r="E24" s="752">
        <v>0.9</v>
      </c>
      <c r="F24" s="752">
        <v>0</v>
      </c>
      <c r="G24" s="752">
        <v>4.7114453373693813E-2</v>
      </c>
      <c r="H24" s="753">
        <v>0.10846711654554447</v>
      </c>
      <c r="I24" s="751">
        <v>0.14000000000000001</v>
      </c>
      <c r="J24" s="752">
        <v>0.17</v>
      </c>
      <c r="K24" s="752">
        <v>0.2</v>
      </c>
      <c r="L24" s="752">
        <v>0.23</v>
      </c>
      <c r="M24" s="753">
        <v>0.26</v>
      </c>
      <c r="N24" s="1589"/>
      <c r="O24" s="507">
        <f t="shared" si="0"/>
        <v>1.747114453373694</v>
      </c>
      <c r="P24" s="508">
        <f t="shared" si="1"/>
        <v>0.10846711654554447</v>
      </c>
      <c r="Q24" s="509">
        <f t="shared" si="2"/>
        <v>1.8555815699192384</v>
      </c>
      <c r="R24" s="1007"/>
      <c r="S24" s="507">
        <f t="shared" si="3"/>
        <v>1</v>
      </c>
      <c r="T24" s="1367">
        <f t="shared" si="4"/>
        <v>-0.46108539974153567</v>
      </c>
    </row>
    <row r="25" spans="1:20" s="1623" customFormat="1" ht="15" customHeight="1">
      <c r="A25" s="1621"/>
      <c r="B25" s="1943"/>
      <c r="C25" s="1637" t="s">
        <v>120</v>
      </c>
      <c r="D25" s="751">
        <v>0</v>
      </c>
      <c r="E25" s="752">
        <v>0</v>
      </c>
      <c r="F25" s="752">
        <v>0</v>
      </c>
      <c r="G25" s="752">
        <v>0</v>
      </c>
      <c r="H25" s="753">
        <v>0</v>
      </c>
      <c r="I25" s="751">
        <v>0.1</v>
      </c>
      <c r="J25" s="752">
        <v>0.1</v>
      </c>
      <c r="K25" s="752">
        <v>0.1</v>
      </c>
      <c r="L25" s="752">
        <v>0.1</v>
      </c>
      <c r="M25" s="753">
        <v>0.1</v>
      </c>
      <c r="N25" s="1589"/>
      <c r="O25" s="507">
        <f t="shared" si="0"/>
        <v>0</v>
      </c>
      <c r="P25" s="508">
        <f t="shared" si="1"/>
        <v>0</v>
      </c>
      <c r="Q25" s="509">
        <f t="shared" si="2"/>
        <v>0</v>
      </c>
      <c r="R25" s="1007"/>
      <c r="S25" s="507">
        <f t="shared" si="3"/>
        <v>0.5</v>
      </c>
      <c r="T25" s="1367" t="str">
        <f t="shared" si="4"/>
        <v>0</v>
      </c>
    </row>
    <row r="26" spans="1:20" s="1623" customFormat="1" ht="15" customHeight="1">
      <c r="A26" s="1621"/>
      <c r="B26" s="1943"/>
      <c r="C26" s="1637" t="s">
        <v>223</v>
      </c>
      <c r="D26" s="751">
        <v>0.5</v>
      </c>
      <c r="E26" s="752">
        <v>1.3</v>
      </c>
      <c r="F26" s="752">
        <v>1.9</v>
      </c>
      <c r="G26" s="752">
        <v>1.0752565247729677</v>
      </c>
      <c r="H26" s="753">
        <v>1.5185396316376227</v>
      </c>
      <c r="I26" s="751">
        <v>0.65</v>
      </c>
      <c r="J26" s="752">
        <v>0.66</v>
      </c>
      <c r="K26" s="752">
        <v>0.67</v>
      </c>
      <c r="L26" s="752">
        <v>0.67</v>
      </c>
      <c r="M26" s="753">
        <v>0.67</v>
      </c>
      <c r="N26" s="1589"/>
      <c r="O26" s="507">
        <f t="shared" si="0"/>
        <v>4.7752565247729679</v>
      </c>
      <c r="P26" s="508">
        <f t="shared" si="1"/>
        <v>1.5185396316376227</v>
      </c>
      <c r="Q26" s="509">
        <f t="shared" si="2"/>
        <v>6.2937961564105906</v>
      </c>
      <c r="R26" s="1007"/>
      <c r="S26" s="507">
        <f t="shared" si="3"/>
        <v>3.32</v>
      </c>
      <c r="T26" s="1367">
        <f t="shared" si="4"/>
        <v>-0.47249642068270825</v>
      </c>
    </row>
    <row r="27" spans="1:20" s="1623" customFormat="1" ht="15" customHeight="1">
      <c r="A27" s="1621"/>
      <c r="B27" s="1943"/>
      <c r="C27" s="1637" t="s">
        <v>862</v>
      </c>
      <c r="D27" s="751">
        <v>0.1</v>
      </c>
      <c r="E27" s="752">
        <v>0.3</v>
      </c>
      <c r="F27" s="752">
        <v>1</v>
      </c>
      <c r="G27" s="752">
        <v>0.62191078453275839</v>
      </c>
      <c r="H27" s="753">
        <v>0.36120602888467729</v>
      </c>
      <c r="I27" s="751">
        <v>1.46</v>
      </c>
      <c r="J27" s="752">
        <v>1.52</v>
      </c>
      <c r="K27" s="752">
        <v>1.59</v>
      </c>
      <c r="L27" s="752">
        <v>1.7</v>
      </c>
      <c r="M27" s="753">
        <v>1.76</v>
      </c>
      <c r="N27" s="1589"/>
      <c r="O27" s="507">
        <f t="shared" si="0"/>
        <v>2.0219107845327584</v>
      </c>
      <c r="P27" s="508">
        <f t="shared" si="1"/>
        <v>0.36120602888467729</v>
      </c>
      <c r="Q27" s="509">
        <f t="shared" si="2"/>
        <v>2.3831168134174359</v>
      </c>
      <c r="R27" s="1007"/>
      <c r="S27" s="507">
        <f t="shared" si="3"/>
        <v>8.0300000000000011</v>
      </c>
      <c r="T27" s="1367">
        <f t="shared" si="4"/>
        <v>2.369536883290595</v>
      </c>
    </row>
    <row r="28" spans="1:20" s="1623" customFormat="1" ht="15" customHeight="1">
      <c r="A28" s="1621"/>
      <c r="B28" s="1943"/>
      <c r="C28" s="1638" t="s">
        <v>863</v>
      </c>
      <c r="D28" s="751">
        <v>0.4</v>
      </c>
      <c r="E28" s="752">
        <v>0.1</v>
      </c>
      <c r="F28" s="752">
        <v>0.3</v>
      </c>
      <c r="G28" s="752">
        <v>0.1382023965628352</v>
      </c>
      <c r="H28" s="753">
        <v>0.21272191788543676</v>
      </c>
      <c r="I28" s="751">
        <v>0.48</v>
      </c>
      <c r="J28" s="752">
        <v>0.48</v>
      </c>
      <c r="K28" s="752">
        <v>0.48</v>
      </c>
      <c r="L28" s="752">
        <v>0.48</v>
      </c>
      <c r="M28" s="753">
        <v>0.48</v>
      </c>
      <c r="N28" s="1589"/>
      <c r="O28" s="507">
        <f t="shared" si="0"/>
        <v>0.93820239656283522</v>
      </c>
      <c r="P28" s="508">
        <f t="shared" si="1"/>
        <v>0.21272191788543676</v>
      </c>
      <c r="Q28" s="509">
        <f t="shared" si="2"/>
        <v>1.1509243144482719</v>
      </c>
      <c r="R28" s="1007"/>
      <c r="S28" s="507">
        <f t="shared" si="3"/>
        <v>2.4</v>
      </c>
      <c r="T28" s="1367">
        <f t="shared" si="4"/>
        <v>1.0852804740253557</v>
      </c>
    </row>
    <row r="29" spans="1:20" s="1623" customFormat="1" ht="15" customHeight="1">
      <c r="A29" s="1621"/>
      <c r="B29" s="1943" t="s">
        <v>242</v>
      </c>
      <c r="C29" s="1637" t="s">
        <v>224</v>
      </c>
      <c r="D29" s="751">
        <v>0.5</v>
      </c>
      <c r="E29" s="752">
        <v>1.3</v>
      </c>
      <c r="F29" s="752">
        <v>1.1000000000000001</v>
      </c>
      <c r="G29" s="752">
        <v>0.88575172342544373</v>
      </c>
      <c r="H29" s="753">
        <v>0.3338259800479379</v>
      </c>
      <c r="I29" s="751">
        <v>0.6</v>
      </c>
      <c r="J29" s="752">
        <v>0.77</v>
      </c>
      <c r="K29" s="752">
        <v>0.96</v>
      </c>
      <c r="L29" s="752">
        <v>0.98</v>
      </c>
      <c r="M29" s="753">
        <v>1</v>
      </c>
      <c r="N29" s="1589"/>
      <c r="O29" s="507">
        <f t="shared" si="0"/>
        <v>3.7857517234254443</v>
      </c>
      <c r="P29" s="508">
        <f t="shared" si="1"/>
        <v>0.3338259800479379</v>
      </c>
      <c r="Q29" s="509">
        <f t="shared" si="2"/>
        <v>4.1195777034733823</v>
      </c>
      <c r="R29" s="1007"/>
      <c r="S29" s="507">
        <f t="shared" si="3"/>
        <v>4.3100000000000005</v>
      </c>
      <c r="T29" s="1367">
        <f t="shared" si="4"/>
        <v>4.6223741905891354E-2</v>
      </c>
    </row>
    <row r="30" spans="1:20" s="1623" customFormat="1" ht="15" customHeight="1">
      <c r="A30" s="1621"/>
      <c r="B30" s="1943"/>
      <c r="C30" s="1637" t="s">
        <v>872</v>
      </c>
      <c r="D30" s="751">
        <v>0</v>
      </c>
      <c r="E30" s="752">
        <v>0</v>
      </c>
      <c r="F30" s="752">
        <v>0.4</v>
      </c>
      <c r="G30" s="752">
        <v>0.13087348159359394</v>
      </c>
      <c r="H30" s="753">
        <v>0.16217413541761019</v>
      </c>
      <c r="I30" s="751">
        <v>0.36</v>
      </c>
      <c r="J30" s="752">
        <v>0.48</v>
      </c>
      <c r="K30" s="752">
        <v>0.6</v>
      </c>
      <c r="L30" s="752">
        <v>0.6</v>
      </c>
      <c r="M30" s="753">
        <v>0.71</v>
      </c>
      <c r="N30" s="1589"/>
      <c r="O30" s="507">
        <f t="shared" si="0"/>
        <v>0.53087348159359393</v>
      </c>
      <c r="P30" s="508">
        <f t="shared" si="1"/>
        <v>0.16217413541761019</v>
      </c>
      <c r="Q30" s="509">
        <f t="shared" si="2"/>
        <v>0.6930476170112041</v>
      </c>
      <c r="R30" s="1007"/>
      <c r="S30" s="507">
        <f t="shared" si="3"/>
        <v>2.75</v>
      </c>
      <c r="T30" s="1367">
        <f t="shared" si="4"/>
        <v>2.9679813226391087</v>
      </c>
    </row>
    <row r="31" spans="1:20" s="1623" customFormat="1" ht="15" customHeight="1">
      <c r="A31" s="1621"/>
      <c r="B31" s="1943"/>
      <c r="C31" s="1638" t="s">
        <v>873</v>
      </c>
      <c r="D31" s="751">
        <v>0</v>
      </c>
      <c r="E31" s="752">
        <v>0</v>
      </c>
      <c r="F31" s="752">
        <v>0</v>
      </c>
      <c r="G31" s="752">
        <v>0</v>
      </c>
      <c r="H31" s="753">
        <v>0</v>
      </c>
      <c r="I31" s="751">
        <v>0</v>
      </c>
      <c r="J31" s="752">
        <v>0</v>
      </c>
      <c r="K31" s="752">
        <v>0</v>
      </c>
      <c r="L31" s="752">
        <v>0</v>
      </c>
      <c r="M31" s="753">
        <v>0</v>
      </c>
      <c r="N31" s="1589"/>
      <c r="O31" s="507">
        <f t="shared" si="0"/>
        <v>0</v>
      </c>
      <c r="P31" s="508">
        <f t="shared" si="1"/>
        <v>0</v>
      </c>
      <c r="Q31" s="509">
        <f t="shared" si="2"/>
        <v>0</v>
      </c>
      <c r="R31" s="1007"/>
      <c r="S31" s="507">
        <f t="shared" si="3"/>
        <v>0</v>
      </c>
      <c r="T31" s="1367" t="str">
        <f t="shared" si="4"/>
        <v>0</v>
      </c>
    </row>
    <row r="32" spans="1:20" s="1623" customFormat="1" ht="15" customHeight="1">
      <c r="A32" s="1621"/>
      <c r="B32" s="1943"/>
      <c r="C32" s="1638" t="s">
        <v>223</v>
      </c>
      <c r="D32" s="751">
        <v>1</v>
      </c>
      <c r="E32" s="752">
        <v>1.8</v>
      </c>
      <c r="F32" s="752">
        <v>0.1</v>
      </c>
      <c r="G32" s="752">
        <v>0.55699753766233584</v>
      </c>
      <c r="H32" s="753">
        <v>0.13584716538228386</v>
      </c>
      <c r="I32" s="751">
        <v>0.16</v>
      </c>
      <c r="J32" s="752">
        <v>0.17</v>
      </c>
      <c r="K32" s="752">
        <v>0.18</v>
      </c>
      <c r="L32" s="752">
        <v>0.2</v>
      </c>
      <c r="M32" s="753">
        <v>0.21</v>
      </c>
      <c r="N32" s="1589"/>
      <c r="O32" s="507">
        <f t="shared" si="0"/>
        <v>3.4569975376623359</v>
      </c>
      <c r="P32" s="508">
        <f t="shared" si="1"/>
        <v>0.13584716538228386</v>
      </c>
      <c r="Q32" s="509">
        <f t="shared" si="2"/>
        <v>3.5928447030446198</v>
      </c>
      <c r="R32" s="1007"/>
      <c r="S32" s="507">
        <f t="shared" si="3"/>
        <v>0.91999999999999993</v>
      </c>
      <c r="T32" s="1367">
        <f t="shared" si="4"/>
        <v>-0.74393549511884527</v>
      </c>
    </row>
    <row r="33" spans="1:20" s="1623" customFormat="1" ht="15" customHeight="1">
      <c r="A33" s="1621"/>
      <c r="B33" s="1943"/>
      <c r="C33" s="1638" t="s">
        <v>862</v>
      </c>
      <c r="D33" s="751">
        <v>0.1</v>
      </c>
      <c r="E33" s="752">
        <v>0.6</v>
      </c>
      <c r="F33" s="752">
        <v>0.8</v>
      </c>
      <c r="G33" s="752">
        <v>1.0417529134850076</v>
      </c>
      <c r="H33" s="753">
        <v>0</v>
      </c>
      <c r="I33" s="751">
        <v>2.29</v>
      </c>
      <c r="J33" s="752">
        <v>2.29</v>
      </c>
      <c r="K33" s="752">
        <v>2.29</v>
      </c>
      <c r="L33" s="752">
        <v>2.14</v>
      </c>
      <c r="M33" s="753">
        <v>2.14</v>
      </c>
      <c r="N33" s="1589"/>
      <c r="O33" s="507">
        <f t="shared" si="0"/>
        <v>2.5417529134850074</v>
      </c>
      <c r="P33" s="508">
        <f t="shared" si="1"/>
        <v>0</v>
      </c>
      <c r="Q33" s="509">
        <f t="shared" si="2"/>
        <v>2.5417529134850074</v>
      </c>
      <c r="R33" s="1007"/>
      <c r="S33" s="507">
        <f t="shared" si="3"/>
        <v>11.15</v>
      </c>
      <c r="T33" s="1367">
        <f t="shared" si="4"/>
        <v>3.3867363900105425</v>
      </c>
    </row>
    <row r="34" spans="1:20" s="1623" customFormat="1" ht="15" customHeight="1">
      <c r="A34" s="1621"/>
      <c r="B34" s="1943"/>
      <c r="C34" s="1638" t="s">
        <v>863</v>
      </c>
      <c r="D34" s="751">
        <v>0.2</v>
      </c>
      <c r="E34" s="752">
        <v>0.2</v>
      </c>
      <c r="F34" s="752">
        <v>0.9</v>
      </c>
      <c r="G34" s="752">
        <v>0.23661925472121784</v>
      </c>
      <c r="H34" s="753">
        <v>0.1937664994600018</v>
      </c>
      <c r="I34" s="751">
        <v>0.21</v>
      </c>
      <c r="J34" s="752">
        <v>0.21</v>
      </c>
      <c r="K34" s="752">
        <v>0.21</v>
      </c>
      <c r="L34" s="752">
        <v>0.21</v>
      </c>
      <c r="M34" s="753">
        <v>0.21</v>
      </c>
      <c r="N34" s="1589"/>
      <c r="O34" s="507">
        <f t="shared" si="0"/>
        <v>1.5366192547212179</v>
      </c>
      <c r="P34" s="508">
        <f t="shared" si="1"/>
        <v>0.1937664994600018</v>
      </c>
      <c r="Q34" s="509">
        <f t="shared" si="2"/>
        <v>1.7303857541812198</v>
      </c>
      <c r="R34" s="1007"/>
      <c r="S34" s="507">
        <f t="shared" si="3"/>
        <v>1.05</v>
      </c>
      <c r="T34" s="1367">
        <f t="shared" si="4"/>
        <v>-0.39319888789951535</v>
      </c>
    </row>
    <row r="35" spans="1:20" s="1623" customFormat="1" ht="15" customHeight="1" thickBot="1">
      <c r="A35" s="1621"/>
      <c r="B35" s="1639" t="s">
        <v>874</v>
      </c>
      <c r="C35" s="1640"/>
      <c r="D35" s="1641">
        <v>11.2</v>
      </c>
      <c r="E35" s="1642">
        <v>19.095869041372989</v>
      </c>
      <c r="F35" s="1642">
        <v>22</v>
      </c>
      <c r="G35" s="1642">
        <v>17.323958590352451</v>
      </c>
      <c r="H35" s="1643">
        <v>14.399981701304355</v>
      </c>
      <c r="I35" s="1641">
        <v>21.43</v>
      </c>
      <c r="J35" s="1642">
        <v>24.9</v>
      </c>
      <c r="K35" s="1642">
        <v>28.5</v>
      </c>
      <c r="L35" s="1642">
        <v>29</v>
      </c>
      <c r="M35" s="1643">
        <v>29.74</v>
      </c>
      <c r="N35" s="1589"/>
      <c r="O35" s="1644">
        <f t="shared" si="0"/>
        <v>69.619827631725443</v>
      </c>
      <c r="P35" s="1645">
        <f t="shared" si="1"/>
        <v>14.399981701304355</v>
      </c>
      <c r="Q35" s="1646">
        <f t="shared" si="2"/>
        <v>84.019809333029798</v>
      </c>
      <c r="R35" s="1007"/>
      <c r="S35" s="1644">
        <f t="shared" si="3"/>
        <v>133.57</v>
      </c>
      <c r="T35" s="1376">
        <f t="shared" si="4"/>
        <v>0.58974414558080968</v>
      </c>
    </row>
    <row r="36" spans="1:20" s="1623" customFormat="1">
      <c r="A36" s="1621"/>
      <c r="B36" s="1647"/>
      <c r="C36" s="1647"/>
      <c r="D36" s="1648"/>
      <c r="E36" s="1648"/>
      <c r="F36" s="1648"/>
      <c r="G36" s="1648"/>
      <c r="H36" s="1648"/>
      <c r="I36" s="1648"/>
      <c r="J36" s="1648"/>
      <c r="K36" s="1648"/>
      <c r="L36" s="1648"/>
      <c r="M36" s="1648"/>
      <c r="N36" s="1589"/>
      <c r="O36" s="1589"/>
      <c r="P36" s="1589"/>
      <c r="Q36" s="1589"/>
    </row>
    <row r="37" spans="1:20" s="1623" customFormat="1">
      <c r="A37" s="1621"/>
      <c r="B37" s="1589"/>
      <c r="C37" s="1589"/>
      <c r="D37" s="354"/>
      <c r="E37" s="354"/>
      <c r="F37" s="354"/>
      <c r="G37" s="354"/>
      <c r="H37" s="354"/>
      <c r="I37" s="354"/>
      <c r="J37" s="354"/>
      <c r="K37" s="354"/>
      <c r="L37" s="354"/>
      <c r="M37" s="354"/>
      <c r="N37" s="1589"/>
      <c r="O37" s="1589"/>
      <c r="P37" s="1589"/>
      <c r="Q37" s="1589"/>
    </row>
    <row r="38" spans="1:20" s="1623" customFormat="1" ht="15" customHeight="1">
      <c r="A38" s="1621"/>
      <c r="B38" s="1011" t="s">
        <v>878</v>
      </c>
      <c r="C38" s="1589"/>
      <c r="D38" s="354"/>
      <c r="E38" s="354"/>
      <c r="F38" s="354"/>
      <c r="G38" s="354"/>
      <c r="H38" s="354"/>
      <c r="I38" s="354"/>
      <c r="J38" s="354"/>
      <c r="K38" s="354"/>
      <c r="L38" s="354"/>
      <c r="M38" s="354"/>
      <c r="O38" s="1589"/>
      <c r="P38" s="1589"/>
      <c r="Q38" s="1589"/>
    </row>
    <row r="39" spans="1:20" s="1623" customFormat="1" ht="15" thickBot="1">
      <c r="A39" s="1621"/>
      <c r="B39" s="1589"/>
      <c r="C39" s="1589"/>
      <c r="D39" s="354"/>
      <c r="E39" s="354"/>
      <c r="F39" s="354"/>
      <c r="G39" s="354"/>
      <c r="H39" s="354"/>
      <c r="I39" s="354"/>
      <c r="J39" s="354"/>
      <c r="K39" s="354"/>
      <c r="L39" s="354"/>
      <c r="M39" s="354"/>
      <c r="N39" s="1007"/>
      <c r="O39" s="1589"/>
      <c r="P39" s="1589"/>
      <c r="Q39" s="1589"/>
    </row>
    <row r="40" spans="1:20" s="1623" customFormat="1" ht="15" customHeight="1">
      <c r="A40" s="1621"/>
      <c r="B40" s="1935" t="s">
        <v>113</v>
      </c>
      <c r="C40" s="1936"/>
      <c r="D40" s="1649" t="s">
        <v>114</v>
      </c>
      <c r="E40" s="1649"/>
      <c r="F40" s="1649"/>
      <c r="G40" s="1649"/>
      <c r="H40" s="1650"/>
      <c r="I40" s="1651" t="s">
        <v>115</v>
      </c>
      <c r="J40" s="1649"/>
      <c r="K40" s="1649"/>
      <c r="L40" s="1649"/>
      <c r="M40" s="1650"/>
      <c r="N40" s="1007"/>
      <c r="O40" s="1353" t="s">
        <v>116</v>
      </c>
      <c r="P40" s="1354"/>
      <c r="Q40" s="1355"/>
      <c r="R40" s="1007"/>
      <c r="S40" s="1353" t="s">
        <v>117</v>
      </c>
      <c r="T40" s="1355"/>
    </row>
    <row r="41" spans="1:20" s="1623" customFormat="1" ht="15" customHeight="1">
      <c r="A41" s="1621"/>
      <c r="B41" s="1937"/>
      <c r="C41" s="1938"/>
      <c r="D41" s="1652" t="s">
        <v>32</v>
      </c>
      <c r="E41" s="1653" t="s">
        <v>33</v>
      </c>
      <c r="F41" s="1653" t="s">
        <v>29</v>
      </c>
      <c r="G41" s="1653" t="s">
        <v>34</v>
      </c>
      <c r="H41" s="1654" t="s">
        <v>35</v>
      </c>
      <c r="I41" s="1655" t="s">
        <v>118</v>
      </c>
      <c r="J41" s="1653" t="s">
        <v>136</v>
      </c>
      <c r="K41" s="1653" t="s">
        <v>137</v>
      </c>
      <c r="L41" s="1653" t="s">
        <v>138</v>
      </c>
      <c r="M41" s="1654" t="s">
        <v>139</v>
      </c>
      <c r="N41" s="1007"/>
      <c r="O41" s="1360" t="s">
        <v>126</v>
      </c>
      <c r="P41" s="1361" t="s">
        <v>127</v>
      </c>
      <c r="Q41" s="1362" t="s">
        <v>245</v>
      </c>
      <c r="R41" s="1007"/>
      <c r="S41" s="1360" t="s">
        <v>127</v>
      </c>
      <c r="T41" s="1362" t="s">
        <v>128</v>
      </c>
    </row>
    <row r="42" spans="1:20" s="1623" customFormat="1" ht="15" customHeight="1">
      <c r="A42" s="1621"/>
      <c r="B42" s="1939"/>
      <c r="C42" s="1940"/>
      <c r="D42" s="1652" t="s">
        <v>14</v>
      </c>
      <c r="E42" s="1653" t="s">
        <v>14</v>
      </c>
      <c r="F42" s="1653" t="s">
        <v>14</v>
      </c>
      <c r="G42" s="1653" t="s">
        <v>14</v>
      </c>
      <c r="H42" s="1654" t="s">
        <v>14</v>
      </c>
      <c r="I42" s="1652" t="s">
        <v>14</v>
      </c>
      <c r="J42" s="1653" t="s">
        <v>14</v>
      </c>
      <c r="K42" s="1653" t="s">
        <v>14</v>
      </c>
      <c r="L42" s="1653" t="s">
        <v>14</v>
      </c>
      <c r="M42" s="1654" t="s">
        <v>14</v>
      </c>
      <c r="N42" s="1589"/>
      <c r="O42" s="1631"/>
      <c r="P42" s="1632"/>
      <c r="Q42" s="1633"/>
      <c r="R42" s="1007"/>
      <c r="S42" s="1634"/>
      <c r="T42" s="1635"/>
    </row>
    <row r="43" spans="1:20" s="1623" customFormat="1" ht="15" customHeight="1">
      <c r="A43" s="1621"/>
      <c r="B43" s="1946" t="s">
        <v>103</v>
      </c>
      <c r="C43" s="1636" t="s">
        <v>104</v>
      </c>
      <c r="D43" s="754">
        <v>1</v>
      </c>
      <c r="E43" s="754">
        <v>0.9</v>
      </c>
      <c r="F43" s="754">
        <v>1.5</v>
      </c>
      <c r="G43" s="754">
        <v>0.97998063017283144</v>
      </c>
      <c r="H43" s="755">
        <v>0.4485690832677206</v>
      </c>
      <c r="I43" s="756">
        <v>0.82</v>
      </c>
      <c r="J43" s="757">
        <v>0.89</v>
      </c>
      <c r="K43" s="757">
        <v>1</v>
      </c>
      <c r="L43" s="757">
        <v>1</v>
      </c>
      <c r="M43" s="758">
        <v>1</v>
      </c>
      <c r="N43" s="1589"/>
      <c r="O43" s="507">
        <f t="shared" ref="O43:O68" si="5">SUM(D43:G43)</f>
        <v>4.379980630172831</v>
      </c>
      <c r="P43" s="508">
        <f t="shared" ref="P43:P68" si="6">H43</f>
        <v>0.4485690832677206</v>
      </c>
      <c r="Q43" s="509">
        <f t="shared" ref="Q43:Q68" si="7">SUM(D43:H43)</f>
        <v>4.8285497134405517</v>
      </c>
      <c r="R43" s="1007"/>
      <c r="S43" s="507">
        <f t="shared" ref="S43:S68" si="8">SUM(I43:M43)</f>
        <v>4.71</v>
      </c>
      <c r="T43" s="1367">
        <f t="shared" ref="T43:T68" si="9">IF(Q43&lt;&gt;0,(S43-Q43)/Q43,"0")</f>
        <v>-2.4551826216174532E-2</v>
      </c>
    </row>
    <row r="44" spans="1:20" s="1623" customFormat="1" ht="15" customHeight="1">
      <c r="A44" s="1621"/>
      <c r="B44" s="1947"/>
      <c r="C44" s="1637" t="s">
        <v>105</v>
      </c>
      <c r="D44" s="759">
        <v>0.5</v>
      </c>
      <c r="E44" s="759">
        <v>0.7</v>
      </c>
      <c r="F44" s="759">
        <v>0.6</v>
      </c>
      <c r="G44" s="759">
        <v>0.67949511643393978</v>
      </c>
      <c r="H44" s="760">
        <v>0.39907437960130709</v>
      </c>
      <c r="I44" s="761">
        <v>1.04</v>
      </c>
      <c r="J44" s="762">
        <v>1.18</v>
      </c>
      <c r="K44" s="762">
        <v>1.32</v>
      </c>
      <c r="L44" s="762">
        <v>1.47</v>
      </c>
      <c r="M44" s="763">
        <v>1.62</v>
      </c>
      <c r="N44" s="1589"/>
      <c r="O44" s="507">
        <f t="shared" si="5"/>
        <v>2.4794951164339398</v>
      </c>
      <c r="P44" s="508">
        <f t="shared" si="6"/>
        <v>0.39907437960130709</v>
      </c>
      <c r="Q44" s="509">
        <f t="shared" si="7"/>
        <v>2.8785694960352468</v>
      </c>
      <c r="R44" s="1007"/>
      <c r="S44" s="507">
        <f t="shared" si="8"/>
        <v>6.63</v>
      </c>
      <c r="T44" s="1367">
        <f t="shared" si="9"/>
        <v>1.3032273527290996</v>
      </c>
    </row>
    <row r="45" spans="1:20" s="1623" customFormat="1" ht="15" customHeight="1">
      <c r="A45" s="1621"/>
      <c r="B45" s="1947" t="s">
        <v>106</v>
      </c>
      <c r="C45" s="1637" t="s">
        <v>104</v>
      </c>
      <c r="D45" s="759">
        <v>0</v>
      </c>
      <c r="E45" s="759">
        <v>0</v>
      </c>
      <c r="F45" s="759">
        <v>0</v>
      </c>
      <c r="G45" s="759">
        <v>9.4228906747387629E-3</v>
      </c>
      <c r="H45" s="760">
        <v>3.1592364042391595E-2</v>
      </c>
      <c r="I45" s="761">
        <v>0</v>
      </c>
      <c r="J45" s="762">
        <v>0</v>
      </c>
      <c r="K45" s="762">
        <v>0</v>
      </c>
      <c r="L45" s="762">
        <v>0</v>
      </c>
      <c r="M45" s="763">
        <v>0</v>
      </c>
      <c r="N45" s="1589"/>
      <c r="O45" s="507">
        <f t="shared" si="5"/>
        <v>9.4228906747387629E-3</v>
      </c>
      <c r="P45" s="508">
        <f t="shared" si="6"/>
        <v>3.1592364042391595E-2</v>
      </c>
      <c r="Q45" s="509">
        <f t="shared" si="7"/>
        <v>4.1015254717130356E-2</v>
      </c>
      <c r="R45" s="1007"/>
      <c r="S45" s="507">
        <f t="shared" si="8"/>
        <v>0</v>
      </c>
      <c r="T45" s="1367">
        <f t="shared" si="9"/>
        <v>-1</v>
      </c>
    </row>
    <row r="46" spans="1:20" s="1623" customFormat="1" ht="15" customHeight="1">
      <c r="A46" s="1621"/>
      <c r="B46" s="1947"/>
      <c r="C46" s="1637" t="s">
        <v>105</v>
      </c>
      <c r="D46" s="759">
        <v>0</v>
      </c>
      <c r="E46" s="762">
        <v>-0.10413095862701416</v>
      </c>
      <c r="F46" s="762">
        <v>-0.2</v>
      </c>
      <c r="G46" s="762">
        <v>-3.4053020369104861E-2</v>
      </c>
      <c r="H46" s="763">
        <v>-5.3770690340651767E-2</v>
      </c>
      <c r="I46" s="761">
        <v>-0.1</v>
      </c>
      <c r="J46" s="762">
        <v>-0.1</v>
      </c>
      <c r="K46" s="762">
        <v>-0.1</v>
      </c>
      <c r="L46" s="762">
        <v>-0.1</v>
      </c>
      <c r="M46" s="763">
        <v>-0.1</v>
      </c>
      <c r="N46" s="1589"/>
      <c r="O46" s="507">
        <f t="shared" si="5"/>
        <v>-0.33818397899611902</v>
      </c>
      <c r="P46" s="508">
        <f t="shared" si="6"/>
        <v>-5.3770690340651767E-2</v>
      </c>
      <c r="Q46" s="509">
        <f t="shared" si="7"/>
        <v>-0.39195466933677081</v>
      </c>
      <c r="R46" s="1007"/>
      <c r="S46" s="507">
        <f t="shared" si="8"/>
        <v>-0.5</v>
      </c>
      <c r="T46" s="1367">
        <f t="shared" si="9"/>
        <v>0.27565772043500192</v>
      </c>
    </row>
    <row r="47" spans="1:20" s="1623" customFormat="1" ht="15" customHeight="1">
      <c r="A47" s="1621"/>
      <c r="B47" s="1943" t="s">
        <v>842</v>
      </c>
      <c r="C47" s="1637" t="s">
        <v>129</v>
      </c>
      <c r="D47" s="764">
        <v>1.7</v>
      </c>
      <c r="E47" s="765">
        <v>1.7</v>
      </c>
      <c r="F47" s="765">
        <v>2</v>
      </c>
      <c r="G47" s="765">
        <v>1.457407091026262</v>
      </c>
      <c r="H47" s="766">
        <v>1.4107007325510907</v>
      </c>
      <c r="I47" s="767">
        <v>1.61</v>
      </c>
      <c r="J47" s="765">
        <v>1.76</v>
      </c>
      <c r="K47" s="765">
        <v>1.94</v>
      </c>
      <c r="L47" s="765">
        <v>1.94</v>
      </c>
      <c r="M47" s="766">
        <v>1.94</v>
      </c>
      <c r="N47" s="1589"/>
      <c r="O47" s="507">
        <f t="shared" si="5"/>
        <v>6.8574070910262623</v>
      </c>
      <c r="P47" s="508">
        <f t="shared" si="6"/>
        <v>1.4107007325510907</v>
      </c>
      <c r="Q47" s="509">
        <f t="shared" si="7"/>
        <v>8.2681078235773526</v>
      </c>
      <c r="R47" s="1007"/>
      <c r="S47" s="507">
        <f t="shared" si="8"/>
        <v>9.19</v>
      </c>
      <c r="T47" s="1367">
        <f t="shared" si="9"/>
        <v>0.11149977674381281</v>
      </c>
    </row>
    <row r="48" spans="1:20" s="1623" customFormat="1" ht="15" customHeight="1">
      <c r="A48" s="1621"/>
      <c r="B48" s="1943"/>
      <c r="C48" s="1637" t="s">
        <v>130</v>
      </c>
      <c r="D48" s="759">
        <v>0.2</v>
      </c>
      <c r="E48" s="762">
        <v>0.2</v>
      </c>
      <c r="F48" s="762">
        <v>0.2</v>
      </c>
      <c r="G48" s="762">
        <v>8.008191067278525E-2</v>
      </c>
      <c r="H48" s="763">
        <v>0.12106157602826106</v>
      </c>
      <c r="I48" s="761">
        <v>0.48</v>
      </c>
      <c r="J48" s="762">
        <v>0.56999999999999995</v>
      </c>
      <c r="K48" s="762">
        <v>0.65</v>
      </c>
      <c r="L48" s="762">
        <v>0.73</v>
      </c>
      <c r="M48" s="763">
        <v>0.83</v>
      </c>
      <c r="N48" s="1656"/>
      <c r="O48" s="507">
        <f t="shared" si="5"/>
        <v>0.68008191067278534</v>
      </c>
      <c r="P48" s="508">
        <f t="shared" si="6"/>
        <v>0.12106157602826106</v>
      </c>
      <c r="Q48" s="509">
        <f t="shared" si="7"/>
        <v>0.8011434867010464</v>
      </c>
      <c r="R48" s="1007"/>
      <c r="S48" s="507">
        <f t="shared" si="8"/>
        <v>3.26</v>
      </c>
      <c r="T48" s="1367">
        <f t="shared" si="9"/>
        <v>3.0691836782247934</v>
      </c>
    </row>
    <row r="49" spans="1:20" s="1623" customFormat="1" ht="15" customHeight="1">
      <c r="A49" s="1621"/>
      <c r="B49" s="1943"/>
      <c r="C49" s="1638" t="s">
        <v>223</v>
      </c>
      <c r="D49" s="759">
        <v>0.2</v>
      </c>
      <c r="E49" s="762">
        <v>0.1</v>
      </c>
      <c r="F49" s="762">
        <v>0.1</v>
      </c>
      <c r="G49" s="762">
        <v>0.26593491459818286</v>
      </c>
      <c r="H49" s="763">
        <v>0.30855208881402457</v>
      </c>
      <c r="I49" s="761">
        <v>0.47</v>
      </c>
      <c r="J49" s="762">
        <v>0.51</v>
      </c>
      <c r="K49" s="762">
        <v>0.56000000000000005</v>
      </c>
      <c r="L49" s="762">
        <v>0.61</v>
      </c>
      <c r="M49" s="763">
        <v>0.66</v>
      </c>
      <c r="N49" s="1656"/>
      <c r="O49" s="507">
        <f t="shared" si="5"/>
        <v>0.66593491459818288</v>
      </c>
      <c r="P49" s="508">
        <f t="shared" si="6"/>
        <v>0.30855208881402457</v>
      </c>
      <c r="Q49" s="509">
        <f t="shared" si="7"/>
        <v>0.97448700341220751</v>
      </c>
      <c r="R49" s="1007"/>
      <c r="S49" s="507">
        <f t="shared" si="8"/>
        <v>2.81</v>
      </c>
      <c r="T49" s="1367">
        <f t="shared" si="9"/>
        <v>1.8835684726021651</v>
      </c>
    </row>
    <row r="50" spans="1:20" s="1623" customFormat="1" ht="15" customHeight="1">
      <c r="A50" s="1621"/>
      <c r="B50" s="1943" t="s">
        <v>238</v>
      </c>
      <c r="C50" s="1637" t="s">
        <v>224</v>
      </c>
      <c r="D50" s="764">
        <v>1.9</v>
      </c>
      <c r="E50" s="765">
        <v>5.2</v>
      </c>
      <c r="F50" s="765">
        <v>5</v>
      </c>
      <c r="G50" s="765">
        <v>3.4246972663411661</v>
      </c>
      <c r="H50" s="766">
        <v>3.2169433076456775</v>
      </c>
      <c r="I50" s="767">
        <v>5.15</v>
      </c>
      <c r="J50" s="765">
        <v>7.1</v>
      </c>
      <c r="K50" s="765">
        <v>9.07</v>
      </c>
      <c r="L50" s="765">
        <v>9.07</v>
      </c>
      <c r="M50" s="766">
        <v>9.07</v>
      </c>
      <c r="N50" s="1589"/>
      <c r="O50" s="507">
        <f t="shared" si="5"/>
        <v>15.524697266341166</v>
      </c>
      <c r="P50" s="508">
        <f t="shared" si="6"/>
        <v>3.2169433076456775</v>
      </c>
      <c r="Q50" s="509">
        <f t="shared" si="7"/>
        <v>18.741640573986842</v>
      </c>
      <c r="R50" s="1007"/>
      <c r="S50" s="507">
        <f t="shared" si="8"/>
        <v>39.46</v>
      </c>
      <c r="T50" s="1367">
        <f t="shared" si="9"/>
        <v>1.1054720286744788</v>
      </c>
    </row>
    <row r="51" spans="1:20" s="1623" customFormat="1" ht="15" customHeight="1">
      <c r="A51" s="1621"/>
      <c r="B51" s="1943"/>
      <c r="C51" s="1637" t="s">
        <v>872</v>
      </c>
      <c r="D51" s="759">
        <v>0.2</v>
      </c>
      <c r="E51" s="762">
        <v>0.6</v>
      </c>
      <c r="F51" s="762">
        <v>1.1000000000000001</v>
      </c>
      <c r="G51" s="762">
        <v>0.43135899533248562</v>
      </c>
      <c r="H51" s="763">
        <v>0.24747351833206749</v>
      </c>
      <c r="I51" s="761">
        <v>0.43</v>
      </c>
      <c r="J51" s="762">
        <v>0.48</v>
      </c>
      <c r="K51" s="762">
        <v>0.55000000000000004</v>
      </c>
      <c r="L51" s="762">
        <v>0.61</v>
      </c>
      <c r="M51" s="763">
        <v>0.69</v>
      </c>
      <c r="N51" s="1589"/>
      <c r="O51" s="507">
        <f t="shared" si="5"/>
        <v>2.3313589953324856</v>
      </c>
      <c r="P51" s="508">
        <f t="shared" si="6"/>
        <v>0.24747351833206749</v>
      </c>
      <c r="Q51" s="509">
        <f t="shared" si="7"/>
        <v>2.5788325136645529</v>
      </c>
      <c r="R51" s="1007"/>
      <c r="S51" s="507">
        <f t="shared" si="8"/>
        <v>2.76</v>
      </c>
      <c r="T51" s="1367">
        <f t="shared" si="9"/>
        <v>7.0251745848358971E-2</v>
      </c>
    </row>
    <row r="52" spans="1:20" s="1623" customFormat="1" ht="15" customHeight="1">
      <c r="A52" s="1621"/>
      <c r="B52" s="1943"/>
      <c r="C52" s="1638" t="s">
        <v>120</v>
      </c>
      <c r="D52" s="759">
        <v>0</v>
      </c>
      <c r="E52" s="762">
        <v>0</v>
      </c>
      <c r="F52" s="762">
        <v>0</v>
      </c>
      <c r="G52" s="762">
        <v>0</v>
      </c>
      <c r="H52" s="763">
        <v>0</v>
      </c>
      <c r="I52" s="761">
        <v>0</v>
      </c>
      <c r="J52" s="762">
        <v>0</v>
      </c>
      <c r="K52" s="762">
        <v>0</v>
      </c>
      <c r="L52" s="762">
        <v>0</v>
      </c>
      <c r="M52" s="763">
        <v>0</v>
      </c>
      <c r="N52" s="1589"/>
      <c r="O52" s="507">
        <f t="shared" si="5"/>
        <v>0</v>
      </c>
      <c r="P52" s="508">
        <f t="shared" si="6"/>
        <v>0</v>
      </c>
      <c r="Q52" s="509">
        <f t="shared" si="7"/>
        <v>0</v>
      </c>
      <c r="R52" s="1007"/>
      <c r="S52" s="507">
        <f t="shared" si="8"/>
        <v>0</v>
      </c>
      <c r="T52" s="1367" t="str">
        <f t="shared" si="9"/>
        <v>0</v>
      </c>
    </row>
    <row r="53" spans="1:20" s="1623" customFormat="1" ht="15" customHeight="1">
      <c r="A53" s="1621"/>
      <c r="B53" s="1943"/>
      <c r="C53" s="1638" t="s">
        <v>223</v>
      </c>
      <c r="D53" s="759">
        <v>0.9</v>
      </c>
      <c r="E53" s="762">
        <v>1.1000000000000001</v>
      </c>
      <c r="F53" s="762">
        <v>2.5</v>
      </c>
      <c r="G53" s="762">
        <v>1.8861359566643816</v>
      </c>
      <c r="H53" s="763">
        <v>2.4316014385969797</v>
      </c>
      <c r="I53" s="761">
        <v>1.71</v>
      </c>
      <c r="J53" s="762">
        <v>1.78</v>
      </c>
      <c r="K53" s="762">
        <v>1.84</v>
      </c>
      <c r="L53" s="762">
        <v>1.89</v>
      </c>
      <c r="M53" s="763">
        <v>1.94</v>
      </c>
      <c r="N53" s="1589"/>
      <c r="O53" s="507">
        <f t="shared" si="5"/>
        <v>6.3861359566643818</v>
      </c>
      <c r="P53" s="508">
        <f t="shared" si="6"/>
        <v>2.4316014385969797</v>
      </c>
      <c r="Q53" s="509">
        <f t="shared" si="7"/>
        <v>8.8177373952613607</v>
      </c>
      <c r="R53" s="1007"/>
      <c r="S53" s="507">
        <f t="shared" si="8"/>
        <v>9.16</v>
      </c>
      <c r="T53" s="1367">
        <f t="shared" si="9"/>
        <v>3.8815241302442377E-2</v>
      </c>
    </row>
    <row r="54" spans="1:20" s="1623" customFormat="1" ht="15" customHeight="1">
      <c r="A54" s="1621"/>
      <c r="B54" s="1943"/>
      <c r="C54" s="1637" t="s">
        <v>862</v>
      </c>
      <c r="D54" s="759">
        <v>0.1</v>
      </c>
      <c r="E54" s="762">
        <v>0.8</v>
      </c>
      <c r="F54" s="762">
        <v>0.7</v>
      </c>
      <c r="G54" s="762">
        <v>0.38475537582267194</v>
      </c>
      <c r="H54" s="763">
        <v>0.81512547842794325</v>
      </c>
      <c r="I54" s="761">
        <v>1.66</v>
      </c>
      <c r="J54" s="762">
        <v>1.75</v>
      </c>
      <c r="K54" s="762">
        <v>1.83</v>
      </c>
      <c r="L54" s="762">
        <v>1.91</v>
      </c>
      <c r="M54" s="763">
        <v>1.98</v>
      </c>
      <c r="N54" s="1589"/>
      <c r="O54" s="507">
        <f t="shared" si="5"/>
        <v>1.9847553758226719</v>
      </c>
      <c r="P54" s="508">
        <f t="shared" si="6"/>
        <v>0.81512547842794325</v>
      </c>
      <c r="Q54" s="509">
        <f t="shared" si="7"/>
        <v>2.7998808542506151</v>
      </c>
      <c r="R54" s="1007"/>
      <c r="S54" s="507">
        <f t="shared" si="8"/>
        <v>9.1300000000000008</v>
      </c>
      <c r="T54" s="1367">
        <f t="shared" si="9"/>
        <v>2.2608530417068891</v>
      </c>
    </row>
    <row r="55" spans="1:20" s="1623" customFormat="1" ht="15" customHeight="1">
      <c r="A55" s="1621"/>
      <c r="B55" s="1943"/>
      <c r="C55" s="1637" t="s">
        <v>863</v>
      </c>
      <c r="D55" s="759">
        <v>0.6</v>
      </c>
      <c r="E55" s="762">
        <v>1</v>
      </c>
      <c r="F55" s="762">
        <v>0.8</v>
      </c>
      <c r="G55" s="762">
        <v>0.6470384929987284</v>
      </c>
      <c r="H55" s="763">
        <v>0.48757548505424364</v>
      </c>
      <c r="I55" s="761">
        <v>0.7</v>
      </c>
      <c r="J55" s="762">
        <v>0.7</v>
      </c>
      <c r="K55" s="762">
        <v>0.7</v>
      </c>
      <c r="L55" s="762">
        <v>0.7</v>
      </c>
      <c r="M55" s="763">
        <v>0.7</v>
      </c>
      <c r="N55" s="1589"/>
      <c r="O55" s="507">
        <f t="shared" si="5"/>
        <v>3.0470384929987286</v>
      </c>
      <c r="P55" s="508">
        <f t="shared" si="6"/>
        <v>0.48757548505424364</v>
      </c>
      <c r="Q55" s="509">
        <f t="shared" si="7"/>
        <v>3.5346139780529722</v>
      </c>
      <c r="R55" s="1007"/>
      <c r="S55" s="507">
        <f t="shared" si="8"/>
        <v>3.5</v>
      </c>
      <c r="T55" s="1367">
        <f t="shared" si="9"/>
        <v>-9.7928594941049663E-3</v>
      </c>
    </row>
    <row r="56" spans="1:20" s="1623" customFormat="1" ht="15" customHeight="1">
      <c r="A56" s="1621"/>
      <c r="B56" s="1943" t="s">
        <v>244</v>
      </c>
      <c r="C56" s="1637" t="s">
        <v>224</v>
      </c>
      <c r="D56" s="764">
        <v>0.3</v>
      </c>
      <c r="E56" s="765">
        <v>0.4</v>
      </c>
      <c r="F56" s="765">
        <v>0.9</v>
      </c>
      <c r="G56" s="765">
        <v>2.0772238998535228</v>
      </c>
      <c r="H56" s="766">
        <v>1.2089344640221851</v>
      </c>
      <c r="I56" s="767">
        <v>0.66</v>
      </c>
      <c r="J56" s="765">
        <v>1.08</v>
      </c>
      <c r="K56" s="765">
        <v>1.51</v>
      </c>
      <c r="L56" s="765">
        <v>1.51</v>
      </c>
      <c r="M56" s="766">
        <v>1.52</v>
      </c>
      <c r="N56" s="1589"/>
      <c r="O56" s="507">
        <f t="shared" si="5"/>
        <v>3.6772238998535229</v>
      </c>
      <c r="P56" s="508">
        <f t="shared" si="6"/>
        <v>1.2089344640221851</v>
      </c>
      <c r="Q56" s="509">
        <f t="shared" si="7"/>
        <v>4.8861583638757082</v>
      </c>
      <c r="R56" s="1007"/>
      <c r="S56" s="507">
        <f t="shared" si="8"/>
        <v>6.2799999999999994</v>
      </c>
      <c r="T56" s="1367">
        <f t="shared" si="9"/>
        <v>0.28526329527696559</v>
      </c>
    </row>
    <row r="57" spans="1:20" s="1623" customFormat="1" ht="15" customHeight="1">
      <c r="A57" s="1621"/>
      <c r="B57" s="1943"/>
      <c r="C57" s="1637" t="s">
        <v>872</v>
      </c>
      <c r="D57" s="759">
        <v>0.8</v>
      </c>
      <c r="E57" s="762">
        <v>0.9</v>
      </c>
      <c r="F57" s="762">
        <v>0</v>
      </c>
      <c r="G57" s="762">
        <v>4.7114453373693813E-2</v>
      </c>
      <c r="H57" s="763">
        <v>0.10846711654554447</v>
      </c>
      <c r="I57" s="761">
        <v>0.14000000000000001</v>
      </c>
      <c r="J57" s="762">
        <v>0.17</v>
      </c>
      <c r="K57" s="762">
        <v>0.2</v>
      </c>
      <c r="L57" s="762">
        <v>0.23</v>
      </c>
      <c r="M57" s="763">
        <v>0.26</v>
      </c>
      <c r="N57" s="1589"/>
      <c r="O57" s="507">
        <f t="shared" si="5"/>
        <v>1.747114453373694</v>
      </c>
      <c r="P57" s="508">
        <f t="shared" si="6"/>
        <v>0.10846711654554447</v>
      </c>
      <c r="Q57" s="509">
        <f t="shared" si="7"/>
        <v>1.8555815699192384</v>
      </c>
      <c r="R57" s="1007"/>
      <c r="S57" s="507">
        <f t="shared" si="8"/>
        <v>1</v>
      </c>
      <c r="T57" s="1367">
        <f t="shared" si="9"/>
        <v>-0.46108539974153567</v>
      </c>
    </row>
    <row r="58" spans="1:20" s="1623" customFormat="1" ht="15" customHeight="1">
      <c r="A58" s="1621"/>
      <c r="B58" s="1943"/>
      <c r="C58" s="1637" t="s">
        <v>120</v>
      </c>
      <c r="D58" s="759">
        <v>0</v>
      </c>
      <c r="E58" s="762">
        <v>0</v>
      </c>
      <c r="F58" s="762">
        <v>0</v>
      </c>
      <c r="G58" s="762">
        <v>0</v>
      </c>
      <c r="H58" s="763">
        <v>0</v>
      </c>
      <c r="I58" s="761">
        <v>0</v>
      </c>
      <c r="J58" s="762">
        <v>0</v>
      </c>
      <c r="K58" s="762">
        <v>0</v>
      </c>
      <c r="L58" s="762">
        <v>0</v>
      </c>
      <c r="M58" s="763">
        <v>0</v>
      </c>
      <c r="N58" s="1589"/>
      <c r="O58" s="507">
        <f t="shared" si="5"/>
        <v>0</v>
      </c>
      <c r="P58" s="508">
        <f t="shared" si="6"/>
        <v>0</v>
      </c>
      <c r="Q58" s="509">
        <f t="shared" si="7"/>
        <v>0</v>
      </c>
      <c r="R58" s="1007"/>
      <c r="S58" s="507">
        <f t="shared" si="8"/>
        <v>0</v>
      </c>
      <c r="T58" s="1367" t="str">
        <f t="shared" si="9"/>
        <v>0</v>
      </c>
    </row>
    <row r="59" spans="1:20" s="1623" customFormat="1" ht="15" customHeight="1">
      <c r="A59" s="1621"/>
      <c r="B59" s="1943"/>
      <c r="C59" s="1637" t="s">
        <v>223</v>
      </c>
      <c r="D59" s="759">
        <v>0.5</v>
      </c>
      <c r="E59" s="762">
        <v>1.3</v>
      </c>
      <c r="F59" s="762">
        <v>1.9</v>
      </c>
      <c r="G59" s="762">
        <v>1.0752565247729677</v>
      </c>
      <c r="H59" s="763">
        <v>1.5185396316376227</v>
      </c>
      <c r="I59" s="761">
        <v>0.65</v>
      </c>
      <c r="J59" s="762">
        <v>0.66</v>
      </c>
      <c r="K59" s="762">
        <v>0.67</v>
      </c>
      <c r="L59" s="762">
        <v>0.67</v>
      </c>
      <c r="M59" s="763">
        <v>0.67</v>
      </c>
      <c r="N59" s="1589"/>
      <c r="O59" s="507">
        <f t="shared" si="5"/>
        <v>4.7752565247729679</v>
      </c>
      <c r="P59" s="508">
        <f t="shared" si="6"/>
        <v>1.5185396316376227</v>
      </c>
      <c r="Q59" s="509">
        <f t="shared" si="7"/>
        <v>6.2937961564105906</v>
      </c>
      <c r="R59" s="1007"/>
      <c r="S59" s="507">
        <f t="shared" si="8"/>
        <v>3.32</v>
      </c>
      <c r="T59" s="1367">
        <f t="shared" si="9"/>
        <v>-0.47249642068270825</v>
      </c>
    </row>
    <row r="60" spans="1:20" s="1623" customFormat="1" ht="15" customHeight="1">
      <c r="A60" s="1621"/>
      <c r="B60" s="1943"/>
      <c r="C60" s="1637" t="s">
        <v>862</v>
      </c>
      <c r="D60" s="759">
        <v>0.1</v>
      </c>
      <c r="E60" s="762">
        <v>0.3</v>
      </c>
      <c r="F60" s="762">
        <v>0.8</v>
      </c>
      <c r="G60" s="762">
        <v>0.42191078453275838</v>
      </c>
      <c r="H60" s="763">
        <v>0.16120602888467728</v>
      </c>
      <c r="I60" s="761">
        <v>1.26</v>
      </c>
      <c r="J60" s="762">
        <v>1.32</v>
      </c>
      <c r="K60" s="762">
        <v>1.39</v>
      </c>
      <c r="L60" s="762">
        <v>1.5</v>
      </c>
      <c r="M60" s="763">
        <v>1.56</v>
      </c>
      <c r="N60" s="1589"/>
      <c r="O60" s="507">
        <f t="shared" si="5"/>
        <v>1.6219107845327585</v>
      </c>
      <c r="P60" s="508">
        <f t="shared" si="6"/>
        <v>0.16120602888467728</v>
      </c>
      <c r="Q60" s="509">
        <f t="shared" si="7"/>
        <v>1.7831168134174358</v>
      </c>
      <c r="R60" s="1007"/>
      <c r="S60" s="507">
        <f t="shared" si="8"/>
        <v>7.0299999999999994</v>
      </c>
      <c r="T60" s="1367">
        <f t="shared" si="9"/>
        <v>2.9425347498836265</v>
      </c>
    </row>
    <row r="61" spans="1:20" s="1623" customFormat="1" ht="15" customHeight="1">
      <c r="A61" s="1621"/>
      <c r="B61" s="1943"/>
      <c r="C61" s="1638" t="s">
        <v>863</v>
      </c>
      <c r="D61" s="759">
        <v>0.4</v>
      </c>
      <c r="E61" s="762">
        <v>0.1</v>
      </c>
      <c r="F61" s="762">
        <v>0.3</v>
      </c>
      <c r="G61" s="762">
        <v>0.1382023965628352</v>
      </c>
      <c r="H61" s="763">
        <v>0.21272191788543676</v>
      </c>
      <c r="I61" s="761">
        <v>0.48</v>
      </c>
      <c r="J61" s="762">
        <v>0.48</v>
      </c>
      <c r="K61" s="762">
        <v>0.48</v>
      </c>
      <c r="L61" s="762">
        <v>0.48</v>
      </c>
      <c r="M61" s="763">
        <v>0.48</v>
      </c>
      <c r="N61" s="1589"/>
      <c r="O61" s="507">
        <f t="shared" si="5"/>
        <v>0.93820239656283522</v>
      </c>
      <c r="P61" s="508">
        <f t="shared" si="6"/>
        <v>0.21272191788543676</v>
      </c>
      <c r="Q61" s="509">
        <f t="shared" si="7"/>
        <v>1.1509243144482719</v>
      </c>
      <c r="R61" s="1007"/>
      <c r="S61" s="507">
        <f t="shared" si="8"/>
        <v>2.4</v>
      </c>
      <c r="T61" s="1367">
        <f t="shared" si="9"/>
        <v>1.0852804740253557</v>
      </c>
    </row>
    <row r="62" spans="1:20" s="1623" customFormat="1" ht="15" customHeight="1">
      <c r="A62" s="1621"/>
      <c r="B62" s="1943" t="s">
        <v>242</v>
      </c>
      <c r="C62" s="1637" t="s">
        <v>224</v>
      </c>
      <c r="D62" s="764">
        <v>0.5</v>
      </c>
      <c r="E62" s="765">
        <v>1.3</v>
      </c>
      <c r="F62" s="765">
        <v>1.1000000000000001</v>
      </c>
      <c r="G62" s="765">
        <v>0.88575172342544373</v>
      </c>
      <c r="H62" s="766">
        <v>0.3338259800479379</v>
      </c>
      <c r="I62" s="767">
        <v>0.6</v>
      </c>
      <c r="J62" s="765">
        <v>0.77</v>
      </c>
      <c r="K62" s="765">
        <v>0.96</v>
      </c>
      <c r="L62" s="765">
        <v>0.98</v>
      </c>
      <c r="M62" s="766">
        <v>1</v>
      </c>
      <c r="N62" s="1589"/>
      <c r="O62" s="507">
        <f t="shared" si="5"/>
        <v>3.7857517234254443</v>
      </c>
      <c r="P62" s="508">
        <f t="shared" si="6"/>
        <v>0.3338259800479379</v>
      </c>
      <c r="Q62" s="509">
        <f t="shared" si="7"/>
        <v>4.1195777034733823</v>
      </c>
      <c r="R62" s="1007"/>
      <c r="S62" s="507">
        <f t="shared" si="8"/>
        <v>4.3100000000000005</v>
      </c>
      <c r="T62" s="1367">
        <f t="shared" si="9"/>
        <v>4.6223741905891354E-2</v>
      </c>
    </row>
    <row r="63" spans="1:20" s="1623" customFormat="1" ht="15" customHeight="1">
      <c r="A63" s="1621"/>
      <c r="B63" s="1943"/>
      <c r="C63" s="1637" t="s">
        <v>872</v>
      </c>
      <c r="D63" s="759">
        <v>0</v>
      </c>
      <c r="E63" s="762">
        <v>0</v>
      </c>
      <c r="F63" s="762">
        <v>0.4</v>
      </c>
      <c r="G63" s="762">
        <v>0.13087348159359394</v>
      </c>
      <c r="H63" s="763">
        <v>0.16217413541761019</v>
      </c>
      <c r="I63" s="761">
        <v>0.36</v>
      </c>
      <c r="J63" s="762">
        <v>0.48</v>
      </c>
      <c r="K63" s="762">
        <v>0.6</v>
      </c>
      <c r="L63" s="762">
        <v>0.6</v>
      </c>
      <c r="M63" s="763">
        <v>0.71</v>
      </c>
      <c r="N63" s="1589"/>
      <c r="O63" s="507">
        <f t="shared" si="5"/>
        <v>0.53087348159359393</v>
      </c>
      <c r="P63" s="508">
        <f t="shared" si="6"/>
        <v>0.16217413541761019</v>
      </c>
      <c r="Q63" s="509">
        <f t="shared" si="7"/>
        <v>0.6930476170112041</v>
      </c>
      <c r="R63" s="1007"/>
      <c r="S63" s="507">
        <f t="shared" si="8"/>
        <v>2.75</v>
      </c>
      <c r="T63" s="1367">
        <f t="shared" si="9"/>
        <v>2.9679813226391087</v>
      </c>
    </row>
    <row r="64" spans="1:20" s="1623" customFormat="1" ht="15" customHeight="1">
      <c r="A64" s="1621"/>
      <c r="B64" s="1943"/>
      <c r="C64" s="1638" t="s">
        <v>873</v>
      </c>
      <c r="D64" s="759">
        <v>0</v>
      </c>
      <c r="E64" s="762">
        <v>0</v>
      </c>
      <c r="F64" s="762">
        <v>0</v>
      </c>
      <c r="G64" s="762">
        <v>0</v>
      </c>
      <c r="H64" s="763">
        <v>0</v>
      </c>
      <c r="I64" s="761">
        <v>0</v>
      </c>
      <c r="J64" s="762">
        <v>0</v>
      </c>
      <c r="K64" s="762">
        <v>0</v>
      </c>
      <c r="L64" s="762">
        <v>0</v>
      </c>
      <c r="M64" s="763">
        <v>0</v>
      </c>
      <c r="N64" s="1589"/>
      <c r="O64" s="507">
        <f t="shared" si="5"/>
        <v>0</v>
      </c>
      <c r="P64" s="508">
        <f t="shared" si="6"/>
        <v>0</v>
      </c>
      <c r="Q64" s="509">
        <f t="shared" si="7"/>
        <v>0</v>
      </c>
      <c r="R64" s="1007"/>
      <c r="S64" s="507">
        <f t="shared" si="8"/>
        <v>0</v>
      </c>
      <c r="T64" s="1367" t="str">
        <f t="shared" si="9"/>
        <v>0</v>
      </c>
    </row>
    <row r="65" spans="1:20" s="1623" customFormat="1" ht="15" customHeight="1">
      <c r="A65" s="1621"/>
      <c r="B65" s="1943"/>
      <c r="C65" s="1638" t="s">
        <v>223</v>
      </c>
      <c r="D65" s="759">
        <v>1</v>
      </c>
      <c r="E65" s="762">
        <v>1.8</v>
      </c>
      <c r="F65" s="762">
        <v>0.1</v>
      </c>
      <c r="G65" s="762">
        <v>0.55699753766233584</v>
      </c>
      <c r="H65" s="763">
        <v>0.13584716538228386</v>
      </c>
      <c r="I65" s="761">
        <v>0.16</v>
      </c>
      <c r="J65" s="762">
        <v>0.17</v>
      </c>
      <c r="K65" s="762">
        <v>0.18</v>
      </c>
      <c r="L65" s="762">
        <v>0.2</v>
      </c>
      <c r="M65" s="763">
        <v>0.21</v>
      </c>
      <c r="N65" s="1589"/>
      <c r="O65" s="507">
        <f t="shared" si="5"/>
        <v>3.4569975376623359</v>
      </c>
      <c r="P65" s="508">
        <f t="shared" si="6"/>
        <v>0.13584716538228386</v>
      </c>
      <c r="Q65" s="509">
        <f t="shared" si="7"/>
        <v>3.5928447030446198</v>
      </c>
      <c r="R65" s="1007"/>
      <c r="S65" s="507">
        <f t="shared" si="8"/>
        <v>0.91999999999999993</v>
      </c>
      <c r="T65" s="1367">
        <f t="shared" si="9"/>
        <v>-0.74393549511884527</v>
      </c>
    </row>
    <row r="66" spans="1:20" s="1623" customFormat="1" ht="15" customHeight="1">
      <c r="A66" s="1621"/>
      <c r="B66" s="1943"/>
      <c r="C66" s="1638" t="s">
        <v>862</v>
      </c>
      <c r="D66" s="759">
        <v>0.1</v>
      </c>
      <c r="E66" s="762">
        <v>0.6</v>
      </c>
      <c r="F66" s="762">
        <v>0.8</v>
      </c>
      <c r="G66" s="762">
        <v>1.0417529134850076</v>
      </c>
      <c r="H66" s="763">
        <v>0</v>
      </c>
      <c r="I66" s="761">
        <v>2.29</v>
      </c>
      <c r="J66" s="762">
        <v>2.29</v>
      </c>
      <c r="K66" s="762">
        <v>2.29</v>
      </c>
      <c r="L66" s="762">
        <v>2.14</v>
      </c>
      <c r="M66" s="763">
        <v>2.14</v>
      </c>
      <c r="N66" s="1589"/>
      <c r="O66" s="507">
        <f t="shared" si="5"/>
        <v>2.5417529134850074</v>
      </c>
      <c r="P66" s="508">
        <f t="shared" si="6"/>
        <v>0</v>
      </c>
      <c r="Q66" s="509">
        <f t="shared" si="7"/>
        <v>2.5417529134850074</v>
      </c>
      <c r="R66" s="1007"/>
      <c r="S66" s="507">
        <f t="shared" si="8"/>
        <v>11.15</v>
      </c>
      <c r="T66" s="1367">
        <f t="shared" si="9"/>
        <v>3.3867363900105425</v>
      </c>
    </row>
    <row r="67" spans="1:20" s="1623" customFormat="1" ht="15" customHeight="1" thickBot="1">
      <c r="A67" s="1621"/>
      <c r="B67" s="1948"/>
      <c r="C67" s="1657" t="s">
        <v>863</v>
      </c>
      <c r="D67" s="768">
        <v>0.2</v>
      </c>
      <c r="E67" s="769">
        <v>0.2</v>
      </c>
      <c r="F67" s="769">
        <v>0.9</v>
      </c>
      <c r="G67" s="769">
        <v>0.23661925472121784</v>
      </c>
      <c r="H67" s="770">
        <v>0.1937664994600018</v>
      </c>
      <c r="I67" s="771">
        <v>0.21</v>
      </c>
      <c r="J67" s="769">
        <v>0.21</v>
      </c>
      <c r="K67" s="769">
        <v>0.21</v>
      </c>
      <c r="L67" s="769">
        <v>0.21</v>
      </c>
      <c r="M67" s="770">
        <v>0.21</v>
      </c>
      <c r="N67" s="1589"/>
      <c r="O67" s="507">
        <f t="shared" si="5"/>
        <v>1.5366192547212179</v>
      </c>
      <c r="P67" s="508">
        <f t="shared" si="6"/>
        <v>0.1937664994600018</v>
      </c>
      <c r="Q67" s="509">
        <f t="shared" si="7"/>
        <v>1.7303857541812198</v>
      </c>
      <c r="R67" s="1007"/>
      <c r="S67" s="507">
        <f t="shared" si="8"/>
        <v>1.05</v>
      </c>
      <c r="T67" s="1367">
        <f t="shared" si="9"/>
        <v>-0.39319888789951535</v>
      </c>
    </row>
    <row r="68" spans="1:20" s="1623" customFormat="1" ht="15" customHeight="1" thickBot="1">
      <c r="A68" s="1621"/>
      <c r="B68" s="1658" t="s">
        <v>614</v>
      </c>
      <c r="C68" s="1659"/>
      <c r="D68" s="1660">
        <v>11.2</v>
      </c>
      <c r="E68" s="1661">
        <v>19.095869041372989</v>
      </c>
      <c r="F68" s="1661">
        <v>21.5</v>
      </c>
      <c r="G68" s="1661">
        <v>16.823958590352451</v>
      </c>
      <c r="H68" s="1662">
        <v>13.899981701304355</v>
      </c>
      <c r="I68" s="1663">
        <v>20.78</v>
      </c>
      <c r="J68" s="1661">
        <v>24.25</v>
      </c>
      <c r="K68" s="1661">
        <v>27.85</v>
      </c>
      <c r="L68" s="1661">
        <v>28.35</v>
      </c>
      <c r="M68" s="1662">
        <v>29.09</v>
      </c>
      <c r="N68" s="1589"/>
      <c r="O68" s="1644">
        <f t="shared" si="5"/>
        <v>68.619827631725443</v>
      </c>
      <c r="P68" s="1645">
        <f t="shared" si="6"/>
        <v>13.899981701304355</v>
      </c>
      <c r="Q68" s="1646">
        <f t="shared" si="7"/>
        <v>82.519809333029798</v>
      </c>
      <c r="R68" s="1007"/>
      <c r="S68" s="1644">
        <f t="shared" si="8"/>
        <v>130.32</v>
      </c>
      <c r="T68" s="1376">
        <f t="shared" si="9"/>
        <v>0.57925716325955501</v>
      </c>
    </row>
    <row r="69" spans="1:20" s="1623" customFormat="1" ht="12.75">
      <c r="A69" s="1621"/>
      <c r="B69" s="1647"/>
      <c r="C69" s="1647"/>
      <c r="D69" s="235"/>
      <c r="E69" s="235"/>
      <c r="F69" s="235"/>
      <c r="G69" s="235"/>
      <c r="H69" s="235"/>
      <c r="I69" s="235"/>
      <c r="J69" s="235"/>
      <c r="K69" s="235"/>
      <c r="L69" s="235"/>
      <c r="M69" s="235"/>
      <c r="N69" s="1589"/>
      <c r="O69" s="1589"/>
      <c r="P69" s="1589"/>
      <c r="Q69" s="1589"/>
    </row>
    <row r="70" spans="1:20" s="1623" customFormat="1">
      <c r="A70" s="1621"/>
      <c r="B70" s="1589"/>
      <c r="C70" s="1589"/>
      <c r="D70" s="354"/>
      <c r="E70" s="354"/>
      <c r="F70" s="354"/>
      <c r="G70" s="354"/>
      <c r="H70" s="354"/>
      <c r="I70" s="354"/>
      <c r="J70" s="354"/>
      <c r="K70" s="354"/>
      <c r="L70" s="354"/>
      <c r="M70" s="354"/>
      <c r="N70" s="1589"/>
      <c r="O70" s="1589"/>
      <c r="P70" s="1589"/>
      <c r="Q70" s="1589"/>
    </row>
    <row r="71" spans="1:20" s="1623" customFormat="1">
      <c r="A71" s="1621"/>
      <c r="B71" s="1011" t="s">
        <v>615</v>
      </c>
      <c r="C71" s="1589"/>
      <c r="D71" s="354"/>
      <c r="E71" s="354"/>
      <c r="F71" s="354"/>
      <c r="G71" s="354"/>
      <c r="H71" s="354"/>
      <c r="I71" s="354"/>
      <c r="J71" s="354"/>
      <c r="K71" s="354"/>
      <c r="L71" s="354"/>
      <c r="M71" s="354"/>
      <c r="N71" s="1007"/>
      <c r="O71" s="1589"/>
      <c r="P71" s="1589"/>
      <c r="Q71" s="1589"/>
    </row>
    <row r="72" spans="1:20" s="1623" customFormat="1" ht="15" thickBot="1">
      <c r="A72" s="1621"/>
      <c r="B72" s="1589"/>
      <c r="C72" s="1589"/>
      <c r="D72" s="354"/>
      <c r="E72" s="354"/>
      <c r="F72" s="354"/>
      <c r="G72" s="354"/>
      <c r="H72" s="354"/>
      <c r="I72" s="354"/>
      <c r="J72" s="354"/>
      <c r="K72" s="354"/>
      <c r="L72" s="354"/>
      <c r="M72" s="354"/>
      <c r="N72" s="1007"/>
      <c r="O72" s="1589"/>
      <c r="P72" s="1589"/>
      <c r="Q72" s="1589"/>
    </row>
    <row r="73" spans="1:20" s="1623" customFormat="1" ht="15">
      <c r="A73" s="1621"/>
      <c r="B73" s="1935" t="s">
        <v>113</v>
      </c>
      <c r="C73" s="1936"/>
      <c r="D73" s="1649" t="s">
        <v>114</v>
      </c>
      <c r="E73" s="1649"/>
      <c r="F73" s="1649"/>
      <c r="G73" s="1649"/>
      <c r="H73" s="1650"/>
      <c r="I73" s="1651" t="s">
        <v>115</v>
      </c>
      <c r="J73" s="1649"/>
      <c r="K73" s="1649"/>
      <c r="L73" s="1649"/>
      <c r="M73" s="1650"/>
      <c r="N73" s="1007"/>
      <c r="O73" s="1353" t="s">
        <v>116</v>
      </c>
      <c r="P73" s="1354"/>
      <c r="Q73" s="1355"/>
      <c r="R73" s="1007"/>
      <c r="S73" s="1353" t="s">
        <v>117</v>
      </c>
      <c r="T73" s="1355"/>
    </row>
    <row r="74" spans="1:20" s="1623" customFormat="1" ht="15">
      <c r="A74" s="1621"/>
      <c r="B74" s="1937"/>
      <c r="C74" s="1938"/>
      <c r="D74" s="1652" t="s">
        <v>32</v>
      </c>
      <c r="E74" s="1653" t="s">
        <v>33</v>
      </c>
      <c r="F74" s="1653" t="s">
        <v>29</v>
      </c>
      <c r="G74" s="1653" t="s">
        <v>34</v>
      </c>
      <c r="H74" s="1654" t="s">
        <v>35</v>
      </c>
      <c r="I74" s="1655" t="s">
        <v>118</v>
      </c>
      <c r="J74" s="1653" t="s">
        <v>136</v>
      </c>
      <c r="K74" s="1653" t="s">
        <v>137</v>
      </c>
      <c r="L74" s="1653" t="s">
        <v>138</v>
      </c>
      <c r="M74" s="1654" t="s">
        <v>139</v>
      </c>
      <c r="N74" s="1007"/>
      <c r="O74" s="1360" t="s">
        <v>126</v>
      </c>
      <c r="P74" s="1361" t="s">
        <v>127</v>
      </c>
      <c r="Q74" s="1362" t="s">
        <v>245</v>
      </c>
      <c r="R74" s="1007"/>
      <c r="S74" s="1360" t="s">
        <v>127</v>
      </c>
      <c r="T74" s="1362" t="s">
        <v>128</v>
      </c>
    </row>
    <row r="75" spans="1:20" s="1623" customFormat="1" ht="15">
      <c r="A75" s="1621"/>
      <c r="B75" s="1939"/>
      <c r="C75" s="1940"/>
      <c r="D75" s="1652" t="s">
        <v>14</v>
      </c>
      <c r="E75" s="1653" t="s">
        <v>14</v>
      </c>
      <c r="F75" s="1653" t="s">
        <v>14</v>
      </c>
      <c r="G75" s="1653" t="s">
        <v>14</v>
      </c>
      <c r="H75" s="1654" t="s">
        <v>14</v>
      </c>
      <c r="I75" s="1655" t="s">
        <v>14</v>
      </c>
      <c r="J75" s="1653" t="s">
        <v>14</v>
      </c>
      <c r="K75" s="1653" t="s">
        <v>14</v>
      </c>
      <c r="L75" s="1653" t="s">
        <v>14</v>
      </c>
      <c r="M75" s="1654" t="s">
        <v>14</v>
      </c>
      <c r="N75" s="1589"/>
      <c r="O75" s="1631"/>
      <c r="P75" s="1632"/>
      <c r="Q75" s="1633"/>
      <c r="R75" s="1007"/>
      <c r="S75" s="1634"/>
      <c r="T75" s="1635"/>
    </row>
    <row r="76" spans="1:20" s="1623" customFormat="1" ht="14.25" customHeight="1">
      <c r="A76" s="1621"/>
      <c r="B76" s="1946" t="s">
        <v>103</v>
      </c>
      <c r="C76" s="1636" t="s">
        <v>104</v>
      </c>
      <c r="D76" s="754">
        <v>0</v>
      </c>
      <c r="E76" s="754">
        <v>0</v>
      </c>
      <c r="F76" s="754">
        <v>0</v>
      </c>
      <c r="G76" s="754">
        <v>0</v>
      </c>
      <c r="H76" s="755">
        <v>0</v>
      </c>
      <c r="I76" s="756">
        <v>0</v>
      </c>
      <c r="J76" s="757">
        <v>0</v>
      </c>
      <c r="K76" s="757">
        <v>0</v>
      </c>
      <c r="L76" s="757">
        <v>0</v>
      </c>
      <c r="M76" s="758">
        <v>0</v>
      </c>
      <c r="N76" s="1589"/>
      <c r="O76" s="507">
        <f t="shared" ref="O76:O101" si="10">SUM(D76:G76)</f>
        <v>0</v>
      </c>
      <c r="P76" s="508">
        <f t="shared" ref="P76:P101" si="11">H76</f>
        <v>0</v>
      </c>
      <c r="Q76" s="509">
        <f t="shared" ref="Q76:Q101" si="12">SUM(D76:H76)</f>
        <v>0</v>
      </c>
      <c r="R76" s="1007"/>
      <c r="S76" s="507">
        <f t="shared" ref="S76:S101" si="13">SUM(I76:M76)</f>
        <v>0</v>
      </c>
      <c r="T76" s="1367" t="str">
        <f>IF(Q76&lt;&gt;0,(S76-Q76)/Q76,"0")</f>
        <v>0</v>
      </c>
    </row>
    <row r="77" spans="1:20" s="1623" customFormat="1" ht="15" customHeight="1">
      <c r="A77" s="1621"/>
      <c r="B77" s="1947"/>
      <c r="C77" s="1637" t="s">
        <v>105</v>
      </c>
      <c r="D77" s="759">
        <v>0</v>
      </c>
      <c r="E77" s="759">
        <v>0</v>
      </c>
      <c r="F77" s="759">
        <v>0</v>
      </c>
      <c r="G77" s="759">
        <v>0</v>
      </c>
      <c r="H77" s="760">
        <v>0</v>
      </c>
      <c r="I77" s="761">
        <v>0</v>
      </c>
      <c r="J77" s="762">
        <v>0</v>
      </c>
      <c r="K77" s="762">
        <v>0</v>
      </c>
      <c r="L77" s="762">
        <v>0</v>
      </c>
      <c r="M77" s="763">
        <v>0</v>
      </c>
      <c r="N77" s="1589"/>
      <c r="O77" s="507">
        <f t="shared" si="10"/>
        <v>0</v>
      </c>
      <c r="P77" s="508">
        <f t="shared" si="11"/>
        <v>0</v>
      </c>
      <c r="Q77" s="509">
        <f t="shared" si="12"/>
        <v>0</v>
      </c>
      <c r="R77" s="1007"/>
      <c r="S77" s="507">
        <f t="shared" si="13"/>
        <v>0</v>
      </c>
      <c r="T77" s="1367" t="str">
        <f t="shared" ref="T77:T101" si="14">IF(Q77&lt;&gt;0,(S77-Q77)/Q77,"0")</f>
        <v>0</v>
      </c>
    </row>
    <row r="78" spans="1:20" s="1623" customFormat="1" ht="14.25" customHeight="1">
      <c r="A78" s="1621"/>
      <c r="B78" s="1947" t="s">
        <v>106</v>
      </c>
      <c r="C78" s="1637" t="s">
        <v>104</v>
      </c>
      <c r="D78" s="759">
        <v>0</v>
      </c>
      <c r="E78" s="759">
        <v>0</v>
      </c>
      <c r="F78" s="759">
        <v>0</v>
      </c>
      <c r="G78" s="759">
        <v>0</v>
      </c>
      <c r="H78" s="760">
        <v>0</v>
      </c>
      <c r="I78" s="761">
        <v>0</v>
      </c>
      <c r="J78" s="762">
        <v>0</v>
      </c>
      <c r="K78" s="762">
        <v>0</v>
      </c>
      <c r="L78" s="762">
        <v>0</v>
      </c>
      <c r="M78" s="763">
        <v>0</v>
      </c>
      <c r="N78" s="1589"/>
      <c r="O78" s="507">
        <f t="shared" si="10"/>
        <v>0</v>
      </c>
      <c r="P78" s="508">
        <f t="shared" si="11"/>
        <v>0</v>
      </c>
      <c r="Q78" s="509">
        <f t="shared" si="12"/>
        <v>0</v>
      </c>
      <c r="R78" s="1007"/>
      <c r="S78" s="507">
        <f t="shared" si="13"/>
        <v>0</v>
      </c>
      <c r="T78" s="1367" t="str">
        <f t="shared" si="14"/>
        <v>0</v>
      </c>
    </row>
    <row r="79" spans="1:20" s="1623" customFormat="1" ht="15" customHeight="1">
      <c r="A79" s="1621"/>
      <c r="B79" s="1947"/>
      <c r="C79" s="1637" t="s">
        <v>105</v>
      </c>
      <c r="D79" s="759">
        <v>0</v>
      </c>
      <c r="E79" s="759">
        <v>0</v>
      </c>
      <c r="F79" s="759">
        <v>0</v>
      </c>
      <c r="G79" s="759">
        <v>0</v>
      </c>
      <c r="H79" s="760">
        <v>0</v>
      </c>
      <c r="I79" s="761">
        <v>0</v>
      </c>
      <c r="J79" s="762">
        <v>0</v>
      </c>
      <c r="K79" s="762">
        <v>0</v>
      </c>
      <c r="L79" s="762">
        <v>0</v>
      </c>
      <c r="M79" s="763">
        <v>0</v>
      </c>
      <c r="N79" s="1589"/>
      <c r="O79" s="507">
        <f t="shared" si="10"/>
        <v>0</v>
      </c>
      <c r="P79" s="508">
        <f t="shared" si="11"/>
        <v>0</v>
      </c>
      <c r="Q79" s="509">
        <f t="shared" si="12"/>
        <v>0</v>
      </c>
      <c r="R79" s="1007"/>
      <c r="S79" s="507">
        <f t="shared" si="13"/>
        <v>0</v>
      </c>
      <c r="T79" s="1367" t="str">
        <f t="shared" si="14"/>
        <v>0</v>
      </c>
    </row>
    <row r="80" spans="1:20" s="1623" customFormat="1" ht="14.25" customHeight="1">
      <c r="A80" s="1621"/>
      <c r="B80" s="1943" t="s">
        <v>842</v>
      </c>
      <c r="C80" s="1637" t="s">
        <v>129</v>
      </c>
      <c r="D80" s="759">
        <v>0</v>
      </c>
      <c r="E80" s="759">
        <v>0</v>
      </c>
      <c r="F80" s="759">
        <v>0</v>
      </c>
      <c r="G80" s="759">
        <v>0</v>
      </c>
      <c r="H80" s="760">
        <v>0</v>
      </c>
      <c r="I80" s="761">
        <v>0</v>
      </c>
      <c r="J80" s="762">
        <v>0</v>
      </c>
      <c r="K80" s="762">
        <v>0</v>
      </c>
      <c r="L80" s="762">
        <v>0</v>
      </c>
      <c r="M80" s="763">
        <v>0</v>
      </c>
      <c r="N80" s="1589"/>
      <c r="O80" s="507">
        <f t="shared" si="10"/>
        <v>0</v>
      </c>
      <c r="P80" s="508">
        <f t="shared" si="11"/>
        <v>0</v>
      </c>
      <c r="Q80" s="509">
        <f t="shared" si="12"/>
        <v>0</v>
      </c>
      <c r="R80" s="1007"/>
      <c r="S80" s="507">
        <f t="shared" si="13"/>
        <v>0</v>
      </c>
      <c r="T80" s="1367" t="str">
        <f t="shared" si="14"/>
        <v>0</v>
      </c>
    </row>
    <row r="81" spans="1:20" s="1623" customFormat="1" ht="14.25" customHeight="1">
      <c r="A81" s="1621"/>
      <c r="B81" s="1943"/>
      <c r="C81" s="1637" t="s">
        <v>130</v>
      </c>
      <c r="D81" s="759">
        <v>0</v>
      </c>
      <c r="E81" s="759">
        <v>0</v>
      </c>
      <c r="F81" s="759">
        <v>0.1</v>
      </c>
      <c r="G81" s="759">
        <v>0.1</v>
      </c>
      <c r="H81" s="760">
        <v>0.1</v>
      </c>
      <c r="I81" s="761">
        <v>0.1</v>
      </c>
      <c r="J81" s="762">
        <v>0.1</v>
      </c>
      <c r="K81" s="762">
        <v>0.1</v>
      </c>
      <c r="L81" s="762">
        <v>0.1</v>
      </c>
      <c r="M81" s="763">
        <v>0.1</v>
      </c>
      <c r="N81" s="1589"/>
      <c r="O81" s="507">
        <f t="shared" si="10"/>
        <v>0.2</v>
      </c>
      <c r="P81" s="508">
        <f t="shared" si="11"/>
        <v>0.1</v>
      </c>
      <c r="Q81" s="509">
        <f t="shared" si="12"/>
        <v>0.30000000000000004</v>
      </c>
      <c r="R81" s="1007"/>
      <c r="S81" s="507">
        <f t="shared" si="13"/>
        <v>0.5</v>
      </c>
      <c r="T81" s="1367">
        <f t="shared" si="14"/>
        <v>0.66666666666666641</v>
      </c>
    </row>
    <row r="82" spans="1:20" s="1623" customFormat="1" ht="15" customHeight="1">
      <c r="A82" s="1621"/>
      <c r="B82" s="1943"/>
      <c r="C82" s="1638" t="s">
        <v>223</v>
      </c>
      <c r="D82" s="759">
        <v>0</v>
      </c>
      <c r="E82" s="759">
        <v>0</v>
      </c>
      <c r="F82" s="759">
        <v>0</v>
      </c>
      <c r="G82" s="759">
        <v>0</v>
      </c>
      <c r="H82" s="760">
        <v>0</v>
      </c>
      <c r="I82" s="761">
        <v>0</v>
      </c>
      <c r="J82" s="762">
        <v>0</v>
      </c>
      <c r="K82" s="762">
        <v>0</v>
      </c>
      <c r="L82" s="762">
        <v>0</v>
      </c>
      <c r="M82" s="763">
        <v>0</v>
      </c>
      <c r="N82" s="1589"/>
      <c r="O82" s="507">
        <f t="shared" si="10"/>
        <v>0</v>
      </c>
      <c r="P82" s="508">
        <f t="shared" si="11"/>
        <v>0</v>
      </c>
      <c r="Q82" s="509">
        <f t="shared" si="12"/>
        <v>0</v>
      </c>
      <c r="R82" s="1007"/>
      <c r="S82" s="507">
        <f t="shared" si="13"/>
        <v>0</v>
      </c>
      <c r="T82" s="1367" t="str">
        <f t="shared" si="14"/>
        <v>0</v>
      </c>
    </row>
    <row r="83" spans="1:20" s="1623" customFormat="1" ht="14.25" customHeight="1">
      <c r="A83" s="1621"/>
      <c r="B83" s="1943" t="s">
        <v>238</v>
      </c>
      <c r="C83" s="1637" t="s">
        <v>224</v>
      </c>
      <c r="D83" s="759">
        <v>0</v>
      </c>
      <c r="E83" s="759">
        <v>0</v>
      </c>
      <c r="F83" s="759">
        <v>0</v>
      </c>
      <c r="G83" s="759">
        <v>0</v>
      </c>
      <c r="H83" s="760">
        <v>0</v>
      </c>
      <c r="I83" s="761">
        <v>0</v>
      </c>
      <c r="J83" s="762">
        <v>0</v>
      </c>
      <c r="K83" s="762">
        <v>0</v>
      </c>
      <c r="L83" s="762">
        <v>0</v>
      </c>
      <c r="M83" s="763">
        <v>0</v>
      </c>
      <c r="N83" s="1589"/>
      <c r="O83" s="507">
        <f t="shared" si="10"/>
        <v>0</v>
      </c>
      <c r="P83" s="508">
        <f t="shared" si="11"/>
        <v>0</v>
      </c>
      <c r="Q83" s="509">
        <f t="shared" si="12"/>
        <v>0</v>
      </c>
      <c r="R83" s="1007"/>
      <c r="S83" s="507">
        <f t="shared" si="13"/>
        <v>0</v>
      </c>
      <c r="T83" s="1367" t="str">
        <f t="shared" si="14"/>
        <v>0</v>
      </c>
    </row>
    <row r="84" spans="1:20" s="1623" customFormat="1" ht="14.25" customHeight="1">
      <c r="A84" s="1621"/>
      <c r="B84" s="1943"/>
      <c r="C84" s="1637" t="s">
        <v>872</v>
      </c>
      <c r="D84" s="759">
        <v>0</v>
      </c>
      <c r="E84" s="759">
        <v>0</v>
      </c>
      <c r="F84" s="759">
        <v>0</v>
      </c>
      <c r="G84" s="759">
        <v>0</v>
      </c>
      <c r="H84" s="760">
        <v>0</v>
      </c>
      <c r="I84" s="761">
        <v>0</v>
      </c>
      <c r="J84" s="762">
        <v>0</v>
      </c>
      <c r="K84" s="762">
        <v>0</v>
      </c>
      <c r="L84" s="762">
        <v>0</v>
      </c>
      <c r="M84" s="763">
        <v>0</v>
      </c>
      <c r="N84" s="1589"/>
      <c r="O84" s="507">
        <f t="shared" si="10"/>
        <v>0</v>
      </c>
      <c r="P84" s="508">
        <f t="shared" si="11"/>
        <v>0</v>
      </c>
      <c r="Q84" s="509">
        <f t="shared" si="12"/>
        <v>0</v>
      </c>
      <c r="R84" s="1007"/>
      <c r="S84" s="507">
        <f t="shared" si="13"/>
        <v>0</v>
      </c>
      <c r="T84" s="1367" t="str">
        <f t="shared" si="14"/>
        <v>0</v>
      </c>
    </row>
    <row r="85" spans="1:20" s="1623" customFormat="1" ht="14.25" customHeight="1">
      <c r="A85" s="1621"/>
      <c r="B85" s="1943"/>
      <c r="C85" s="1638" t="s">
        <v>120</v>
      </c>
      <c r="D85" s="759">
        <v>0</v>
      </c>
      <c r="E85" s="759">
        <v>0</v>
      </c>
      <c r="F85" s="759">
        <v>0</v>
      </c>
      <c r="G85" s="759">
        <v>0</v>
      </c>
      <c r="H85" s="760">
        <v>0</v>
      </c>
      <c r="I85" s="761">
        <v>0.05</v>
      </c>
      <c r="J85" s="762">
        <v>0.05</v>
      </c>
      <c r="K85" s="762">
        <v>0.05</v>
      </c>
      <c r="L85" s="762">
        <v>0.05</v>
      </c>
      <c r="M85" s="763">
        <v>0.05</v>
      </c>
      <c r="N85" s="1589"/>
      <c r="O85" s="507">
        <f t="shared" si="10"/>
        <v>0</v>
      </c>
      <c r="P85" s="508">
        <f t="shared" si="11"/>
        <v>0</v>
      </c>
      <c r="Q85" s="509">
        <f t="shared" si="12"/>
        <v>0</v>
      </c>
      <c r="R85" s="1007"/>
      <c r="S85" s="507">
        <f t="shared" si="13"/>
        <v>0.25</v>
      </c>
      <c r="T85" s="1367" t="str">
        <f t="shared" si="14"/>
        <v>0</v>
      </c>
    </row>
    <row r="86" spans="1:20" s="1623" customFormat="1" ht="14.25" customHeight="1">
      <c r="A86" s="1621"/>
      <c r="B86" s="1943"/>
      <c r="C86" s="1638" t="s">
        <v>223</v>
      </c>
      <c r="D86" s="759">
        <v>0</v>
      </c>
      <c r="E86" s="759">
        <v>0</v>
      </c>
      <c r="F86" s="759">
        <v>0.1</v>
      </c>
      <c r="G86" s="759">
        <v>0.1</v>
      </c>
      <c r="H86" s="760">
        <v>0.1</v>
      </c>
      <c r="I86" s="761">
        <v>0.1</v>
      </c>
      <c r="J86" s="762">
        <v>0.1</v>
      </c>
      <c r="K86" s="762">
        <v>0.1</v>
      </c>
      <c r="L86" s="762">
        <v>0.1</v>
      </c>
      <c r="M86" s="763">
        <v>0.1</v>
      </c>
      <c r="N86" s="1589"/>
      <c r="O86" s="507">
        <f t="shared" si="10"/>
        <v>0.2</v>
      </c>
      <c r="P86" s="508">
        <f t="shared" si="11"/>
        <v>0.1</v>
      </c>
      <c r="Q86" s="509">
        <f t="shared" si="12"/>
        <v>0.30000000000000004</v>
      </c>
      <c r="R86" s="1007"/>
      <c r="S86" s="507">
        <f t="shared" si="13"/>
        <v>0.5</v>
      </c>
      <c r="T86" s="1367">
        <f t="shared" si="14"/>
        <v>0.66666666666666641</v>
      </c>
    </row>
    <row r="87" spans="1:20" s="1623" customFormat="1" ht="14.25" customHeight="1">
      <c r="A87" s="1621"/>
      <c r="B87" s="1943"/>
      <c r="C87" s="1637" t="s">
        <v>862</v>
      </c>
      <c r="D87" s="759">
        <v>0</v>
      </c>
      <c r="E87" s="759">
        <v>0</v>
      </c>
      <c r="F87" s="759">
        <v>0.1</v>
      </c>
      <c r="G87" s="759">
        <v>0.1</v>
      </c>
      <c r="H87" s="760">
        <v>0.1</v>
      </c>
      <c r="I87" s="761">
        <v>0.1</v>
      </c>
      <c r="J87" s="762">
        <v>0.1</v>
      </c>
      <c r="K87" s="762">
        <v>0.1</v>
      </c>
      <c r="L87" s="762">
        <v>0.1</v>
      </c>
      <c r="M87" s="763">
        <v>0.1</v>
      </c>
      <c r="N87" s="1589"/>
      <c r="O87" s="507">
        <f t="shared" si="10"/>
        <v>0.2</v>
      </c>
      <c r="P87" s="508">
        <f t="shared" si="11"/>
        <v>0.1</v>
      </c>
      <c r="Q87" s="509">
        <f t="shared" si="12"/>
        <v>0.30000000000000004</v>
      </c>
      <c r="R87" s="1007"/>
      <c r="S87" s="507">
        <f t="shared" si="13"/>
        <v>0.5</v>
      </c>
      <c r="T87" s="1367">
        <f t="shared" si="14"/>
        <v>0.66666666666666641</v>
      </c>
    </row>
    <row r="88" spans="1:20" s="1623" customFormat="1" ht="15" customHeight="1">
      <c r="A88" s="1621"/>
      <c r="B88" s="1943"/>
      <c r="C88" s="1637" t="s">
        <v>863</v>
      </c>
      <c r="D88" s="759">
        <v>0</v>
      </c>
      <c r="E88" s="759">
        <v>0</v>
      </c>
      <c r="F88" s="759">
        <v>0</v>
      </c>
      <c r="G88" s="759">
        <v>0</v>
      </c>
      <c r="H88" s="760">
        <v>0</v>
      </c>
      <c r="I88" s="761">
        <v>0</v>
      </c>
      <c r="J88" s="762">
        <v>0</v>
      </c>
      <c r="K88" s="762">
        <v>0</v>
      </c>
      <c r="L88" s="762">
        <v>0</v>
      </c>
      <c r="M88" s="763">
        <v>0</v>
      </c>
      <c r="N88" s="1589"/>
      <c r="O88" s="507">
        <f t="shared" si="10"/>
        <v>0</v>
      </c>
      <c r="P88" s="508">
        <f t="shared" si="11"/>
        <v>0</v>
      </c>
      <c r="Q88" s="509">
        <f t="shared" si="12"/>
        <v>0</v>
      </c>
      <c r="R88" s="1007"/>
      <c r="S88" s="507">
        <f t="shared" si="13"/>
        <v>0</v>
      </c>
      <c r="T88" s="1367" t="str">
        <f t="shared" si="14"/>
        <v>0</v>
      </c>
    </row>
    <row r="89" spans="1:20" s="1623" customFormat="1" ht="14.25" customHeight="1">
      <c r="A89" s="1621"/>
      <c r="B89" s="1943" t="s">
        <v>244</v>
      </c>
      <c r="C89" s="1637" t="s">
        <v>224</v>
      </c>
      <c r="D89" s="759">
        <v>0</v>
      </c>
      <c r="E89" s="759">
        <v>0</v>
      </c>
      <c r="F89" s="759">
        <v>0</v>
      </c>
      <c r="G89" s="759">
        <v>0</v>
      </c>
      <c r="H89" s="760">
        <v>0</v>
      </c>
      <c r="I89" s="761">
        <v>0</v>
      </c>
      <c r="J89" s="762">
        <v>0</v>
      </c>
      <c r="K89" s="762">
        <v>0</v>
      </c>
      <c r="L89" s="762">
        <v>0</v>
      </c>
      <c r="M89" s="763">
        <v>0</v>
      </c>
      <c r="N89" s="1589"/>
      <c r="O89" s="507">
        <f t="shared" si="10"/>
        <v>0</v>
      </c>
      <c r="P89" s="508">
        <f t="shared" si="11"/>
        <v>0</v>
      </c>
      <c r="Q89" s="509">
        <f t="shared" si="12"/>
        <v>0</v>
      </c>
      <c r="R89" s="1007"/>
      <c r="S89" s="507">
        <f t="shared" si="13"/>
        <v>0</v>
      </c>
      <c r="T89" s="1367" t="str">
        <f t="shared" si="14"/>
        <v>0</v>
      </c>
    </row>
    <row r="90" spans="1:20" s="1623" customFormat="1" ht="14.25" customHeight="1">
      <c r="A90" s="1621"/>
      <c r="B90" s="1943"/>
      <c r="C90" s="1637" t="s">
        <v>872</v>
      </c>
      <c r="D90" s="759">
        <v>0</v>
      </c>
      <c r="E90" s="759">
        <v>0</v>
      </c>
      <c r="F90" s="759">
        <v>0</v>
      </c>
      <c r="G90" s="759">
        <v>0</v>
      </c>
      <c r="H90" s="760">
        <v>0</v>
      </c>
      <c r="I90" s="761">
        <v>0</v>
      </c>
      <c r="J90" s="762">
        <v>0</v>
      </c>
      <c r="K90" s="762">
        <v>0</v>
      </c>
      <c r="L90" s="762">
        <v>0</v>
      </c>
      <c r="M90" s="763">
        <v>0</v>
      </c>
      <c r="N90" s="1589"/>
      <c r="O90" s="507">
        <f t="shared" si="10"/>
        <v>0</v>
      </c>
      <c r="P90" s="508">
        <f t="shared" si="11"/>
        <v>0</v>
      </c>
      <c r="Q90" s="509">
        <f t="shared" si="12"/>
        <v>0</v>
      </c>
      <c r="R90" s="1007"/>
      <c r="S90" s="507">
        <f t="shared" si="13"/>
        <v>0</v>
      </c>
      <c r="T90" s="1367" t="str">
        <f t="shared" si="14"/>
        <v>0</v>
      </c>
    </row>
    <row r="91" spans="1:20" s="1623" customFormat="1" ht="14.25" customHeight="1">
      <c r="A91" s="1621"/>
      <c r="B91" s="1943"/>
      <c r="C91" s="1637" t="s">
        <v>120</v>
      </c>
      <c r="D91" s="759">
        <v>0</v>
      </c>
      <c r="E91" s="759">
        <v>0</v>
      </c>
      <c r="F91" s="759">
        <v>0</v>
      </c>
      <c r="G91" s="759">
        <v>0</v>
      </c>
      <c r="H91" s="760">
        <v>0</v>
      </c>
      <c r="I91" s="761">
        <v>0.1</v>
      </c>
      <c r="J91" s="762">
        <v>0.1</v>
      </c>
      <c r="K91" s="762">
        <v>0.1</v>
      </c>
      <c r="L91" s="762">
        <v>0.1</v>
      </c>
      <c r="M91" s="763">
        <v>0.1</v>
      </c>
      <c r="N91" s="1589"/>
      <c r="O91" s="507">
        <f t="shared" si="10"/>
        <v>0</v>
      </c>
      <c r="P91" s="508">
        <f t="shared" si="11"/>
        <v>0</v>
      </c>
      <c r="Q91" s="509">
        <f t="shared" si="12"/>
        <v>0</v>
      </c>
      <c r="R91" s="1007"/>
      <c r="S91" s="507">
        <f t="shared" si="13"/>
        <v>0.5</v>
      </c>
      <c r="T91" s="1367" t="str">
        <f t="shared" si="14"/>
        <v>0</v>
      </c>
    </row>
    <row r="92" spans="1:20" s="1623" customFormat="1" ht="14.25" customHeight="1">
      <c r="A92" s="1621"/>
      <c r="B92" s="1943"/>
      <c r="C92" s="1637" t="s">
        <v>223</v>
      </c>
      <c r="D92" s="759">
        <v>0</v>
      </c>
      <c r="E92" s="759">
        <v>0</v>
      </c>
      <c r="F92" s="759">
        <v>0</v>
      </c>
      <c r="G92" s="759">
        <v>0</v>
      </c>
      <c r="H92" s="760">
        <v>0</v>
      </c>
      <c r="I92" s="761">
        <v>0</v>
      </c>
      <c r="J92" s="762">
        <v>0</v>
      </c>
      <c r="K92" s="762">
        <v>0</v>
      </c>
      <c r="L92" s="762">
        <v>0</v>
      </c>
      <c r="M92" s="763">
        <v>0</v>
      </c>
      <c r="N92" s="1589"/>
      <c r="O92" s="507">
        <f t="shared" si="10"/>
        <v>0</v>
      </c>
      <c r="P92" s="508">
        <f t="shared" si="11"/>
        <v>0</v>
      </c>
      <c r="Q92" s="509">
        <f t="shared" si="12"/>
        <v>0</v>
      </c>
      <c r="R92" s="1007"/>
      <c r="S92" s="507">
        <f t="shared" si="13"/>
        <v>0</v>
      </c>
      <c r="T92" s="1367" t="str">
        <f t="shared" si="14"/>
        <v>0</v>
      </c>
    </row>
    <row r="93" spans="1:20" s="1623" customFormat="1" ht="14.25" customHeight="1">
      <c r="A93" s="1621"/>
      <c r="B93" s="1943"/>
      <c r="C93" s="1637" t="s">
        <v>862</v>
      </c>
      <c r="D93" s="759">
        <v>0</v>
      </c>
      <c r="E93" s="759">
        <v>0</v>
      </c>
      <c r="F93" s="759">
        <v>0.2</v>
      </c>
      <c r="G93" s="759">
        <v>0.2</v>
      </c>
      <c r="H93" s="760">
        <v>0.2</v>
      </c>
      <c r="I93" s="761">
        <v>0.2</v>
      </c>
      <c r="J93" s="762">
        <v>0.2</v>
      </c>
      <c r="K93" s="762">
        <v>0.2</v>
      </c>
      <c r="L93" s="762">
        <v>0.2</v>
      </c>
      <c r="M93" s="763">
        <v>0.2</v>
      </c>
      <c r="N93" s="1589"/>
      <c r="O93" s="507">
        <f t="shared" si="10"/>
        <v>0.4</v>
      </c>
      <c r="P93" s="508">
        <f t="shared" si="11"/>
        <v>0.2</v>
      </c>
      <c r="Q93" s="509">
        <f t="shared" si="12"/>
        <v>0.60000000000000009</v>
      </c>
      <c r="R93" s="1007"/>
      <c r="S93" s="507">
        <f t="shared" si="13"/>
        <v>1</v>
      </c>
      <c r="T93" s="1367">
        <f t="shared" si="14"/>
        <v>0.66666666666666641</v>
      </c>
    </row>
    <row r="94" spans="1:20" s="1623" customFormat="1" ht="15" customHeight="1">
      <c r="A94" s="1621"/>
      <c r="B94" s="1943"/>
      <c r="C94" s="1638" t="s">
        <v>863</v>
      </c>
      <c r="D94" s="759">
        <v>0</v>
      </c>
      <c r="E94" s="759">
        <v>0</v>
      </c>
      <c r="F94" s="759">
        <v>0</v>
      </c>
      <c r="G94" s="759">
        <v>0</v>
      </c>
      <c r="H94" s="760">
        <v>0</v>
      </c>
      <c r="I94" s="761">
        <v>0</v>
      </c>
      <c r="J94" s="762">
        <v>0</v>
      </c>
      <c r="K94" s="762">
        <v>0</v>
      </c>
      <c r="L94" s="762">
        <v>0</v>
      </c>
      <c r="M94" s="763">
        <v>0</v>
      </c>
      <c r="N94" s="1589"/>
      <c r="O94" s="507">
        <f t="shared" si="10"/>
        <v>0</v>
      </c>
      <c r="P94" s="508">
        <f t="shared" si="11"/>
        <v>0</v>
      </c>
      <c r="Q94" s="509">
        <f t="shared" si="12"/>
        <v>0</v>
      </c>
      <c r="R94" s="1007"/>
      <c r="S94" s="507">
        <f t="shared" si="13"/>
        <v>0</v>
      </c>
      <c r="T94" s="1367" t="str">
        <f t="shared" si="14"/>
        <v>0</v>
      </c>
    </row>
    <row r="95" spans="1:20" s="1623" customFormat="1" ht="14.25" customHeight="1">
      <c r="A95" s="1621"/>
      <c r="B95" s="1943" t="s">
        <v>242</v>
      </c>
      <c r="C95" s="1637" t="s">
        <v>224</v>
      </c>
      <c r="D95" s="759">
        <v>0</v>
      </c>
      <c r="E95" s="759">
        <v>0</v>
      </c>
      <c r="F95" s="759">
        <v>0</v>
      </c>
      <c r="G95" s="759">
        <v>0</v>
      </c>
      <c r="H95" s="760">
        <v>0</v>
      </c>
      <c r="I95" s="761">
        <v>0</v>
      </c>
      <c r="J95" s="762">
        <v>0</v>
      </c>
      <c r="K95" s="762">
        <v>0</v>
      </c>
      <c r="L95" s="762">
        <v>0</v>
      </c>
      <c r="M95" s="763">
        <v>0</v>
      </c>
      <c r="N95" s="1589"/>
      <c r="O95" s="507">
        <f t="shared" si="10"/>
        <v>0</v>
      </c>
      <c r="P95" s="508">
        <f t="shared" si="11"/>
        <v>0</v>
      </c>
      <c r="Q95" s="509">
        <f t="shared" si="12"/>
        <v>0</v>
      </c>
      <c r="R95" s="1007"/>
      <c r="S95" s="507">
        <f t="shared" si="13"/>
        <v>0</v>
      </c>
      <c r="T95" s="1367" t="str">
        <f t="shared" si="14"/>
        <v>0</v>
      </c>
    </row>
    <row r="96" spans="1:20" s="1623" customFormat="1" ht="14.25" customHeight="1">
      <c r="A96" s="1621"/>
      <c r="B96" s="1943"/>
      <c r="C96" s="1637" t="s">
        <v>872</v>
      </c>
      <c r="D96" s="759">
        <v>0</v>
      </c>
      <c r="E96" s="759">
        <v>0</v>
      </c>
      <c r="F96" s="759">
        <v>0</v>
      </c>
      <c r="G96" s="759">
        <v>0</v>
      </c>
      <c r="H96" s="760">
        <v>0</v>
      </c>
      <c r="I96" s="761">
        <v>0</v>
      </c>
      <c r="J96" s="762">
        <v>0</v>
      </c>
      <c r="K96" s="762">
        <v>0</v>
      </c>
      <c r="L96" s="762">
        <v>0</v>
      </c>
      <c r="M96" s="763">
        <v>0</v>
      </c>
      <c r="N96" s="1589"/>
      <c r="O96" s="507">
        <f t="shared" si="10"/>
        <v>0</v>
      </c>
      <c r="P96" s="508">
        <f t="shared" si="11"/>
        <v>0</v>
      </c>
      <c r="Q96" s="509">
        <f t="shared" si="12"/>
        <v>0</v>
      </c>
      <c r="R96" s="1007"/>
      <c r="S96" s="507">
        <f t="shared" si="13"/>
        <v>0</v>
      </c>
      <c r="T96" s="1367" t="str">
        <f t="shared" si="14"/>
        <v>0</v>
      </c>
    </row>
    <row r="97" spans="1:20" s="1623" customFormat="1" ht="14.25" customHeight="1">
      <c r="A97" s="1621"/>
      <c r="B97" s="1943"/>
      <c r="C97" s="1638" t="s">
        <v>873</v>
      </c>
      <c r="D97" s="759">
        <v>0</v>
      </c>
      <c r="E97" s="759">
        <v>0</v>
      </c>
      <c r="F97" s="759">
        <v>0</v>
      </c>
      <c r="G97" s="759">
        <v>0</v>
      </c>
      <c r="H97" s="760">
        <v>0</v>
      </c>
      <c r="I97" s="761">
        <v>0</v>
      </c>
      <c r="J97" s="762">
        <v>0</v>
      </c>
      <c r="K97" s="762">
        <v>0</v>
      </c>
      <c r="L97" s="762">
        <v>0</v>
      </c>
      <c r="M97" s="763">
        <v>0</v>
      </c>
      <c r="N97" s="1589"/>
      <c r="O97" s="507">
        <f t="shared" si="10"/>
        <v>0</v>
      </c>
      <c r="P97" s="508">
        <f t="shared" si="11"/>
        <v>0</v>
      </c>
      <c r="Q97" s="509">
        <f t="shared" si="12"/>
        <v>0</v>
      </c>
      <c r="R97" s="1007"/>
      <c r="S97" s="507">
        <f t="shared" si="13"/>
        <v>0</v>
      </c>
      <c r="T97" s="1367" t="str">
        <f t="shared" si="14"/>
        <v>0</v>
      </c>
    </row>
    <row r="98" spans="1:20" s="1623" customFormat="1" ht="14.25" customHeight="1">
      <c r="A98" s="1621"/>
      <c r="B98" s="1943"/>
      <c r="C98" s="1638" t="s">
        <v>223</v>
      </c>
      <c r="D98" s="759">
        <v>0</v>
      </c>
      <c r="E98" s="759">
        <v>0</v>
      </c>
      <c r="F98" s="759">
        <v>0</v>
      </c>
      <c r="G98" s="759">
        <v>0</v>
      </c>
      <c r="H98" s="760">
        <v>0</v>
      </c>
      <c r="I98" s="761">
        <v>0</v>
      </c>
      <c r="J98" s="762">
        <v>0</v>
      </c>
      <c r="K98" s="762">
        <v>0</v>
      </c>
      <c r="L98" s="762">
        <v>0</v>
      </c>
      <c r="M98" s="763">
        <v>0</v>
      </c>
      <c r="N98" s="1589"/>
      <c r="O98" s="507">
        <f t="shared" si="10"/>
        <v>0</v>
      </c>
      <c r="P98" s="508">
        <f t="shared" si="11"/>
        <v>0</v>
      </c>
      <c r="Q98" s="509">
        <f t="shared" si="12"/>
        <v>0</v>
      </c>
      <c r="R98" s="1007"/>
      <c r="S98" s="507">
        <f t="shared" si="13"/>
        <v>0</v>
      </c>
      <c r="T98" s="1367" t="str">
        <f t="shared" si="14"/>
        <v>0</v>
      </c>
    </row>
    <row r="99" spans="1:20" s="1623" customFormat="1" ht="14.25" customHeight="1">
      <c r="A99" s="1621"/>
      <c r="B99" s="1943"/>
      <c r="C99" s="1638" t="s">
        <v>862</v>
      </c>
      <c r="D99" s="759">
        <v>0</v>
      </c>
      <c r="E99" s="759">
        <v>0</v>
      </c>
      <c r="F99" s="759">
        <v>0</v>
      </c>
      <c r="G99" s="759">
        <v>0</v>
      </c>
      <c r="H99" s="760">
        <v>0</v>
      </c>
      <c r="I99" s="761">
        <v>0</v>
      </c>
      <c r="J99" s="762">
        <v>0</v>
      </c>
      <c r="K99" s="762">
        <v>0</v>
      </c>
      <c r="L99" s="762">
        <v>0</v>
      </c>
      <c r="M99" s="763">
        <v>0</v>
      </c>
      <c r="N99" s="1589"/>
      <c r="O99" s="507">
        <f t="shared" si="10"/>
        <v>0</v>
      </c>
      <c r="P99" s="508">
        <f t="shared" si="11"/>
        <v>0</v>
      </c>
      <c r="Q99" s="509">
        <f t="shared" si="12"/>
        <v>0</v>
      </c>
      <c r="R99" s="1007"/>
      <c r="S99" s="507">
        <f t="shared" si="13"/>
        <v>0</v>
      </c>
      <c r="T99" s="1367" t="str">
        <f t="shared" si="14"/>
        <v>0</v>
      </c>
    </row>
    <row r="100" spans="1:20" s="1623" customFormat="1" ht="15" customHeight="1">
      <c r="A100" s="1621"/>
      <c r="B100" s="1943"/>
      <c r="C100" s="1638" t="s">
        <v>863</v>
      </c>
      <c r="D100" s="759">
        <v>0</v>
      </c>
      <c r="E100" s="759">
        <v>0</v>
      </c>
      <c r="F100" s="759">
        <v>0</v>
      </c>
      <c r="G100" s="759">
        <v>0</v>
      </c>
      <c r="H100" s="760">
        <v>0</v>
      </c>
      <c r="I100" s="761">
        <v>0</v>
      </c>
      <c r="J100" s="762">
        <v>0</v>
      </c>
      <c r="K100" s="762">
        <v>0</v>
      </c>
      <c r="L100" s="762">
        <v>0</v>
      </c>
      <c r="M100" s="763">
        <v>0</v>
      </c>
      <c r="N100" s="1589"/>
      <c r="O100" s="507">
        <f t="shared" si="10"/>
        <v>0</v>
      </c>
      <c r="P100" s="508">
        <f t="shared" si="11"/>
        <v>0</v>
      </c>
      <c r="Q100" s="509">
        <f t="shared" si="12"/>
        <v>0</v>
      </c>
      <c r="R100" s="1007"/>
      <c r="S100" s="507">
        <f t="shared" si="13"/>
        <v>0</v>
      </c>
      <c r="T100" s="1367" t="str">
        <f t="shared" si="14"/>
        <v>0</v>
      </c>
    </row>
    <row r="101" spans="1:20" s="1623" customFormat="1" ht="15" customHeight="1" thickBot="1">
      <c r="A101" s="1621"/>
      <c r="B101" s="1639" t="s">
        <v>616</v>
      </c>
      <c r="C101" s="1640"/>
      <c r="D101" s="1664">
        <v>0</v>
      </c>
      <c r="E101" s="1665">
        <v>0</v>
      </c>
      <c r="F101" s="1665">
        <v>0.5</v>
      </c>
      <c r="G101" s="1665">
        <v>0.5</v>
      </c>
      <c r="H101" s="1666">
        <v>0.5</v>
      </c>
      <c r="I101" s="1667">
        <v>0.65</v>
      </c>
      <c r="J101" s="1665">
        <v>0.65</v>
      </c>
      <c r="K101" s="1665">
        <v>0.65</v>
      </c>
      <c r="L101" s="1665">
        <v>0.65</v>
      </c>
      <c r="M101" s="1666">
        <v>0.65</v>
      </c>
      <c r="N101" s="1589"/>
      <c r="O101" s="1644">
        <f t="shared" si="10"/>
        <v>1</v>
      </c>
      <c r="P101" s="1645">
        <f t="shared" si="11"/>
        <v>0.5</v>
      </c>
      <c r="Q101" s="1646">
        <f t="shared" si="12"/>
        <v>1.5</v>
      </c>
      <c r="R101" s="1007"/>
      <c r="S101" s="1644">
        <f t="shared" si="13"/>
        <v>3.25</v>
      </c>
      <c r="T101" s="1376">
        <f t="shared" si="14"/>
        <v>1.1666666666666667</v>
      </c>
    </row>
    <row r="102" spans="1:20" s="1623" customFormat="1" ht="15" customHeight="1">
      <c r="A102" s="1621"/>
      <c r="B102" s="1589"/>
      <c r="C102" s="1589"/>
      <c r="D102" s="354"/>
      <c r="E102" s="354"/>
      <c r="F102" s="354"/>
      <c r="G102" s="354"/>
      <c r="H102" s="354"/>
      <c r="I102" s="354"/>
      <c r="J102" s="354"/>
      <c r="K102" s="354"/>
      <c r="L102" s="354"/>
      <c r="M102" s="354"/>
      <c r="N102" s="1589"/>
      <c r="O102" s="1589"/>
      <c r="P102" s="1589"/>
      <c r="Q102" s="1589"/>
    </row>
    <row r="103" spans="1:20" s="1623" customFormat="1" ht="15" customHeight="1">
      <c r="A103" s="1621"/>
      <c r="B103" s="1589"/>
      <c r="C103" s="1589"/>
      <c r="D103" s="354"/>
      <c r="E103" s="354"/>
      <c r="F103" s="354"/>
      <c r="G103" s="354"/>
      <c r="H103" s="354"/>
      <c r="I103" s="354"/>
      <c r="J103" s="354"/>
      <c r="K103" s="354"/>
      <c r="L103" s="354"/>
      <c r="M103" s="354"/>
      <c r="N103" s="1589"/>
      <c r="O103" s="1589"/>
      <c r="P103" s="1589"/>
      <c r="Q103" s="1589"/>
    </row>
    <row r="104" spans="1:20" s="1623" customFormat="1" ht="15" customHeight="1">
      <c r="A104" s="1621"/>
      <c r="B104" s="1011" t="s">
        <v>617</v>
      </c>
      <c r="C104" s="1589"/>
      <c r="D104" s="354"/>
      <c r="E104" s="354"/>
      <c r="F104" s="354"/>
      <c r="G104" s="354"/>
      <c r="H104" s="354"/>
      <c r="I104" s="354"/>
      <c r="J104" s="354"/>
      <c r="K104" s="354"/>
      <c r="L104" s="354"/>
      <c r="M104" s="354"/>
      <c r="N104" s="1589"/>
      <c r="O104" s="1589"/>
      <c r="P104" s="1589"/>
      <c r="Q104" s="1589"/>
    </row>
    <row r="105" spans="1:20" s="1623" customFormat="1" ht="15" customHeight="1" thickBot="1">
      <c r="A105" s="1621"/>
      <c r="B105" s="1589"/>
      <c r="C105" s="1589"/>
      <c r="D105" s="354"/>
      <c r="E105" s="354"/>
      <c r="F105" s="354"/>
      <c r="G105" s="354"/>
      <c r="H105" s="354"/>
      <c r="I105" s="354"/>
      <c r="J105" s="354"/>
      <c r="K105" s="354"/>
      <c r="L105" s="354"/>
      <c r="M105" s="354"/>
      <c r="N105" s="1589"/>
      <c r="O105" s="1589"/>
      <c r="P105" s="1589"/>
      <c r="Q105" s="1589"/>
    </row>
    <row r="106" spans="1:20" s="1623" customFormat="1" ht="15" customHeight="1">
      <c r="A106" s="1621"/>
      <c r="B106" s="1935" t="s">
        <v>113</v>
      </c>
      <c r="C106" s="1936"/>
      <c r="D106" s="1649" t="s">
        <v>114</v>
      </c>
      <c r="E106" s="1649"/>
      <c r="F106" s="1649"/>
      <c r="G106" s="1649"/>
      <c r="H106" s="1650"/>
      <c r="I106" s="1651" t="s">
        <v>115</v>
      </c>
      <c r="J106" s="1649"/>
      <c r="K106" s="1649"/>
      <c r="L106" s="1649"/>
      <c r="M106" s="1650"/>
      <c r="N106" s="1589"/>
      <c r="O106" s="1353" t="s">
        <v>116</v>
      </c>
      <c r="P106" s="1354"/>
      <c r="Q106" s="1355"/>
      <c r="R106" s="1007"/>
      <c r="S106" s="1353" t="s">
        <v>117</v>
      </c>
      <c r="T106" s="1355"/>
    </row>
    <row r="107" spans="1:20" s="1623" customFormat="1" ht="15" customHeight="1">
      <c r="A107" s="1621"/>
      <c r="B107" s="1937"/>
      <c r="C107" s="1938"/>
      <c r="D107" s="1652" t="s">
        <v>32</v>
      </c>
      <c r="E107" s="1653" t="s">
        <v>33</v>
      </c>
      <c r="F107" s="1653" t="s">
        <v>29</v>
      </c>
      <c r="G107" s="1653" t="s">
        <v>34</v>
      </c>
      <c r="H107" s="1654" t="s">
        <v>35</v>
      </c>
      <c r="I107" s="1655" t="s">
        <v>118</v>
      </c>
      <c r="J107" s="1653" t="s">
        <v>136</v>
      </c>
      <c r="K107" s="1653" t="s">
        <v>137</v>
      </c>
      <c r="L107" s="1653" t="s">
        <v>138</v>
      </c>
      <c r="M107" s="1654" t="s">
        <v>618</v>
      </c>
      <c r="N107" s="1589"/>
      <c r="O107" s="1360" t="s">
        <v>126</v>
      </c>
      <c r="P107" s="1361" t="s">
        <v>127</v>
      </c>
      <c r="Q107" s="1362" t="s">
        <v>245</v>
      </c>
      <c r="R107" s="1007"/>
      <c r="S107" s="1360" t="s">
        <v>127</v>
      </c>
      <c r="T107" s="1362" t="s">
        <v>128</v>
      </c>
    </row>
    <row r="108" spans="1:20" s="1623" customFormat="1" ht="15" customHeight="1">
      <c r="A108" s="1621"/>
      <c r="B108" s="1939"/>
      <c r="C108" s="1940"/>
      <c r="D108" s="1652" t="s">
        <v>14</v>
      </c>
      <c r="E108" s="1653" t="s">
        <v>14</v>
      </c>
      <c r="F108" s="1653" t="s">
        <v>14</v>
      </c>
      <c r="G108" s="1653" t="s">
        <v>14</v>
      </c>
      <c r="H108" s="1654" t="s">
        <v>14</v>
      </c>
      <c r="I108" s="1655" t="s">
        <v>14</v>
      </c>
      <c r="J108" s="1653" t="s">
        <v>14</v>
      </c>
      <c r="K108" s="1653" t="s">
        <v>14</v>
      </c>
      <c r="L108" s="1653" t="s">
        <v>14</v>
      </c>
      <c r="M108" s="1654" t="s">
        <v>14</v>
      </c>
      <c r="N108" s="1589"/>
      <c r="O108" s="1631"/>
      <c r="P108" s="1632"/>
      <c r="Q108" s="1633"/>
      <c r="R108" s="1007"/>
      <c r="S108" s="1634"/>
      <c r="T108" s="1635"/>
    </row>
    <row r="109" spans="1:20" s="1623" customFormat="1" ht="15" customHeight="1">
      <c r="A109" s="1621"/>
      <c r="B109" s="1942" t="s">
        <v>619</v>
      </c>
      <c r="C109" s="1668" t="s">
        <v>620</v>
      </c>
      <c r="D109" s="754">
        <v>0.5</v>
      </c>
      <c r="E109" s="757">
        <v>0.6</v>
      </c>
      <c r="F109" s="757">
        <v>0.7</v>
      </c>
      <c r="G109" s="757">
        <v>0.63238066306024587</v>
      </c>
      <c r="H109" s="758">
        <v>0.580033988907392</v>
      </c>
      <c r="I109" s="756">
        <v>0.35</v>
      </c>
      <c r="J109" s="757">
        <v>0.43</v>
      </c>
      <c r="K109" s="757">
        <v>0.52</v>
      </c>
      <c r="L109" s="757">
        <v>0.52</v>
      </c>
      <c r="M109" s="758">
        <v>0.52</v>
      </c>
      <c r="N109" s="1589"/>
      <c r="O109" s="507">
        <f t="shared" ref="O109:O138" si="15">SUM(D109:G109)</f>
        <v>2.432380663060246</v>
      </c>
      <c r="P109" s="508">
        <f t="shared" ref="P109:P138" si="16">H109</f>
        <v>0.580033988907392</v>
      </c>
      <c r="Q109" s="509">
        <f t="shared" ref="Q109:Q138" si="17">SUM(D109:H109)</f>
        <v>3.0124146519676378</v>
      </c>
      <c r="R109" s="1007"/>
      <c r="S109" s="507">
        <f t="shared" ref="S109:S138" si="18">SUM(I109:M109)</f>
        <v>2.34</v>
      </c>
      <c r="T109" s="1669">
        <f>IF(Q109&lt;&gt;0,(S109-Q109)/Q109,"0")</f>
        <v>-0.22321450718228072</v>
      </c>
    </row>
    <row r="110" spans="1:20" s="1623" customFormat="1" ht="15" customHeight="1">
      <c r="A110" s="1621"/>
      <c r="B110" s="1944"/>
      <c r="C110" s="1668" t="s">
        <v>621</v>
      </c>
      <c r="D110" s="759">
        <v>0</v>
      </c>
      <c r="E110" s="762">
        <v>0</v>
      </c>
      <c r="F110" s="762">
        <v>0</v>
      </c>
      <c r="G110" s="762">
        <v>0</v>
      </c>
      <c r="H110" s="763">
        <v>0</v>
      </c>
      <c r="I110" s="761">
        <v>0</v>
      </c>
      <c r="J110" s="762">
        <v>0</v>
      </c>
      <c r="K110" s="762">
        <v>0</v>
      </c>
      <c r="L110" s="762">
        <v>0</v>
      </c>
      <c r="M110" s="763">
        <v>0</v>
      </c>
      <c r="N110" s="1589"/>
      <c r="O110" s="507">
        <f t="shared" si="15"/>
        <v>0</v>
      </c>
      <c r="P110" s="508">
        <f t="shared" si="16"/>
        <v>0</v>
      </c>
      <c r="Q110" s="509">
        <f t="shared" si="17"/>
        <v>0</v>
      </c>
      <c r="R110" s="1007"/>
      <c r="S110" s="507">
        <f t="shared" si="18"/>
        <v>0</v>
      </c>
      <c r="T110" s="1669" t="str">
        <f t="shared" ref="T110:T138" si="19">IF(Q110&lt;&gt;0,(S110-Q110)/Q110,"0")</f>
        <v>0</v>
      </c>
    </row>
    <row r="111" spans="1:20" s="1623" customFormat="1" ht="15" customHeight="1">
      <c r="A111" s="1621"/>
      <c r="B111" s="1944"/>
      <c r="C111" s="1668" t="s">
        <v>622</v>
      </c>
      <c r="D111" s="759">
        <v>0</v>
      </c>
      <c r="E111" s="762">
        <v>0</v>
      </c>
      <c r="F111" s="762">
        <v>0</v>
      </c>
      <c r="G111" s="762">
        <v>0</v>
      </c>
      <c r="H111" s="763">
        <v>0</v>
      </c>
      <c r="I111" s="761">
        <v>0</v>
      </c>
      <c r="J111" s="762">
        <v>0</v>
      </c>
      <c r="K111" s="762">
        <v>0</v>
      </c>
      <c r="L111" s="762">
        <v>0</v>
      </c>
      <c r="M111" s="763">
        <v>0</v>
      </c>
      <c r="N111" s="1589"/>
      <c r="O111" s="507">
        <f t="shared" si="15"/>
        <v>0</v>
      </c>
      <c r="P111" s="508">
        <f t="shared" si="16"/>
        <v>0</v>
      </c>
      <c r="Q111" s="509">
        <f t="shared" si="17"/>
        <v>0</v>
      </c>
      <c r="R111" s="1007"/>
      <c r="S111" s="507">
        <f t="shared" si="18"/>
        <v>0</v>
      </c>
      <c r="T111" s="1669" t="str">
        <f t="shared" si="19"/>
        <v>0</v>
      </c>
    </row>
    <row r="112" spans="1:20" s="1623" customFormat="1" ht="15" customHeight="1">
      <c r="A112" s="1621"/>
      <c r="B112" s="1944"/>
      <c r="C112" s="1668" t="s">
        <v>623</v>
      </c>
      <c r="D112" s="759">
        <v>0</v>
      </c>
      <c r="E112" s="762">
        <v>0</v>
      </c>
      <c r="F112" s="762">
        <v>0</v>
      </c>
      <c r="G112" s="762">
        <v>0</v>
      </c>
      <c r="H112" s="763">
        <v>0</v>
      </c>
      <c r="I112" s="761">
        <v>0</v>
      </c>
      <c r="J112" s="762">
        <v>0</v>
      </c>
      <c r="K112" s="762">
        <v>0</v>
      </c>
      <c r="L112" s="762">
        <v>0</v>
      </c>
      <c r="M112" s="763">
        <v>0</v>
      </c>
      <c r="N112" s="1589"/>
      <c r="O112" s="507">
        <f t="shared" si="15"/>
        <v>0</v>
      </c>
      <c r="P112" s="508">
        <f t="shared" si="16"/>
        <v>0</v>
      </c>
      <c r="Q112" s="509">
        <f t="shared" si="17"/>
        <v>0</v>
      </c>
      <c r="R112" s="1007"/>
      <c r="S112" s="507">
        <f t="shared" si="18"/>
        <v>0</v>
      </c>
      <c r="T112" s="1669" t="str">
        <f t="shared" si="19"/>
        <v>0</v>
      </c>
    </row>
    <row r="113" spans="1:20" s="1623" customFormat="1" ht="15" customHeight="1">
      <c r="A113" s="1621"/>
      <c r="B113" s="1944"/>
      <c r="C113" s="1668" t="s">
        <v>624</v>
      </c>
      <c r="D113" s="759">
        <v>1.2</v>
      </c>
      <c r="E113" s="762">
        <v>1.1000000000000001</v>
      </c>
      <c r="F113" s="762">
        <v>1.3</v>
      </c>
      <c r="G113" s="762">
        <v>0.82502642796601622</v>
      </c>
      <c r="H113" s="763">
        <v>0.83066674364369875</v>
      </c>
      <c r="I113" s="761">
        <v>1.26</v>
      </c>
      <c r="J113" s="762">
        <v>1.33</v>
      </c>
      <c r="K113" s="762">
        <v>1.42</v>
      </c>
      <c r="L113" s="762">
        <v>1.42</v>
      </c>
      <c r="M113" s="763">
        <v>1.42</v>
      </c>
      <c r="N113" s="1589"/>
      <c r="O113" s="507">
        <f t="shared" si="15"/>
        <v>4.4250264279660154</v>
      </c>
      <c r="P113" s="508">
        <f t="shared" si="16"/>
        <v>0.83066674364369875</v>
      </c>
      <c r="Q113" s="509">
        <f t="shared" si="17"/>
        <v>5.2556931716097139</v>
      </c>
      <c r="R113" s="1007"/>
      <c r="S113" s="507">
        <f t="shared" si="18"/>
        <v>6.85</v>
      </c>
      <c r="T113" s="1669">
        <f t="shared" si="19"/>
        <v>0.30334853583204541</v>
      </c>
    </row>
    <row r="114" spans="1:20" s="1623" customFormat="1" ht="15" customHeight="1">
      <c r="A114" s="1621"/>
      <c r="B114" s="1945"/>
      <c r="C114" s="1670" t="s">
        <v>711</v>
      </c>
      <c r="D114" s="772">
        <v>1.7</v>
      </c>
      <c r="E114" s="772">
        <v>1.7</v>
      </c>
      <c r="F114" s="772">
        <v>2</v>
      </c>
      <c r="G114" s="772">
        <v>1.457407091026262</v>
      </c>
      <c r="H114" s="773">
        <v>1.4107007325510907</v>
      </c>
      <c r="I114" s="774">
        <v>1.61</v>
      </c>
      <c r="J114" s="772">
        <v>1.76</v>
      </c>
      <c r="K114" s="772">
        <v>1.94</v>
      </c>
      <c r="L114" s="772">
        <v>1.94</v>
      </c>
      <c r="M114" s="773">
        <v>1.94</v>
      </c>
      <c r="N114" s="1589"/>
      <c r="O114" s="507">
        <f t="shared" si="15"/>
        <v>6.8574070910262623</v>
      </c>
      <c r="P114" s="508">
        <f t="shared" si="16"/>
        <v>1.4107007325510907</v>
      </c>
      <c r="Q114" s="509">
        <f t="shared" si="17"/>
        <v>8.2681078235773526</v>
      </c>
      <c r="R114" s="1007"/>
      <c r="S114" s="507">
        <f t="shared" si="18"/>
        <v>9.19</v>
      </c>
      <c r="T114" s="1669">
        <f t="shared" si="19"/>
        <v>0.11149977674381281</v>
      </c>
    </row>
    <row r="115" spans="1:20" s="1623" customFormat="1" ht="15" customHeight="1">
      <c r="A115" s="1621"/>
      <c r="B115" s="1942" t="s">
        <v>238</v>
      </c>
      <c r="C115" s="1668" t="s">
        <v>620</v>
      </c>
      <c r="D115" s="759">
        <v>1.3</v>
      </c>
      <c r="E115" s="762">
        <v>4.3</v>
      </c>
      <c r="F115" s="762">
        <v>3.9</v>
      </c>
      <c r="G115" s="762">
        <v>2.6698190245093163</v>
      </c>
      <c r="H115" s="763">
        <v>2.3452064907468695</v>
      </c>
      <c r="I115" s="761">
        <v>3.9</v>
      </c>
      <c r="J115" s="762">
        <v>4.43</v>
      </c>
      <c r="K115" s="762">
        <v>5.04</v>
      </c>
      <c r="L115" s="762">
        <v>5.04</v>
      </c>
      <c r="M115" s="763">
        <v>5.04</v>
      </c>
      <c r="N115" s="1589"/>
      <c r="O115" s="507">
        <f t="shared" si="15"/>
        <v>12.169819024509316</v>
      </c>
      <c r="P115" s="508">
        <f t="shared" si="16"/>
        <v>2.3452064907468695</v>
      </c>
      <c r="Q115" s="509">
        <f t="shared" si="17"/>
        <v>14.515025515256186</v>
      </c>
      <c r="R115" s="1007"/>
      <c r="S115" s="507">
        <f t="shared" si="18"/>
        <v>23.45</v>
      </c>
      <c r="T115" s="1669">
        <f t="shared" si="19"/>
        <v>0.61556725996469008</v>
      </c>
    </row>
    <row r="116" spans="1:20" s="1623" customFormat="1" ht="15" customHeight="1">
      <c r="A116" s="1621"/>
      <c r="B116" s="1944"/>
      <c r="C116" s="1668" t="s">
        <v>621</v>
      </c>
      <c r="D116" s="759">
        <v>0</v>
      </c>
      <c r="E116" s="762">
        <v>0</v>
      </c>
      <c r="F116" s="762">
        <v>0</v>
      </c>
      <c r="G116" s="762">
        <v>0</v>
      </c>
      <c r="H116" s="763">
        <v>0</v>
      </c>
      <c r="I116" s="761">
        <v>0</v>
      </c>
      <c r="J116" s="762">
        <v>0</v>
      </c>
      <c r="K116" s="762">
        <v>0</v>
      </c>
      <c r="L116" s="762">
        <v>0</v>
      </c>
      <c r="M116" s="763">
        <v>0</v>
      </c>
      <c r="N116" s="1589"/>
      <c r="O116" s="507">
        <f t="shared" si="15"/>
        <v>0</v>
      </c>
      <c r="P116" s="508">
        <f t="shared" si="16"/>
        <v>0</v>
      </c>
      <c r="Q116" s="509">
        <f t="shared" si="17"/>
        <v>0</v>
      </c>
      <c r="R116" s="1007"/>
      <c r="S116" s="507">
        <f t="shared" si="18"/>
        <v>0</v>
      </c>
      <c r="T116" s="1669" t="str">
        <f t="shared" si="19"/>
        <v>0</v>
      </c>
    </row>
    <row r="117" spans="1:20" s="1623" customFormat="1" ht="15" customHeight="1">
      <c r="A117" s="1621"/>
      <c r="B117" s="1944"/>
      <c r="C117" s="1668" t="s">
        <v>622</v>
      </c>
      <c r="D117" s="759">
        <v>0</v>
      </c>
      <c r="E117" s="762">
        <v>0</v>
      </c>
      <c r="F117" s="762">
        <v>0</v>
      </c>
      <c r="G117" s="762">
        <v>0</v>
      </c>
      <c r="H117" s="763">
        <v>0</v>
      </c>
      <c r="I117" s="761">
        <v>0</v>
      </c>
      <c r="J117" s="762">
        <v>0</v>
      </c>
      <c r="K117" s="762">
        <v>0</v>
      </c>
      <c r="L117" s="762">
        <v>0</v>
      </c>
      <c r="M117" s="763">
        <v>0</v>
      </c>
      <c r="N117" s="1589"/>
      <c r="O117" s="507">
        <f t="shared" si="15"/>
        <v>0</v>
      </c>
      <c r="P117" s="508">
        <f t="shared" si="16"/>
        <v>0</v>
      </c>
      <c r="Q117" s="509">
        <f t="shared" si="17"/>
        <v>0</v>
      </c>
      <c r="R117" s="1007"/>
      <c r="S117" s="507">
        <f t="shared" si="18"/>
        <v>0</v>
      </c>
      <c r="T117" s="1669" t="str">
        <f t="shared" si="19"/>
        <v>0</v>
      </c>
    </row>
    <row r="118" spans="1:20" s="1623" customFormat="1" ht="15" customHeight="1">
      <c r="A118" s="1621"/>
      <c r="B118" s="1944"/>
      <c r="C118" s="1668" t="s">
        <v>623</v>
      </c>
      <c r="D118" s="759">
        <v>0</v>
      </c>
      <c r="E118" s="762">
        <v>0</v>
      </c>
      <c r="F118" s="762">
        <v>0</v>
      </c>
      <c r="G118" s="762">
        <v>0</v>
      </c>
      <c r="H118" s="763">
        <v>0</v>
      </c>
      <c r="I118" s="761">
        <v>0</v>
      </c>
      <c r="J118" s="762">
        <v>0</v>
      </c>
      <c r="K118" s="762">
        <v>0</v>
      </c>
      <c r="L118" s="762">
        <v>0</v>
      </c>
      <c r="M118" s="763">
        <v>0</v>
      </c>
      <c r="N118" s="1589"/>
      <c r="O118" s="507">
        <f t="shared" si="15"/>
        <v>0</v>
      </c>
      <c r="P118" s="508">
        <f t="shared" si="16"/>
        <v>0</v>
      </c>
      <c r="Q118" s="509">
        <f t="shared" si="17"/>
        <v>0</v>
      </c>
      <c r="R118" s="1007"/>
      <c r="S118" s="507">
        <f t="shared" si="18"/>
        <v>0</v>
      </c>
      <c r="T118" s="1669" t="str">
        <f t="shared" si="19"/>
        <v>0</v>
      </c>
    </row>
    <row r="119" spans="1:20" s="1623" customFormat="1" ht="15" customHeight="1">
      <c r="A119" s="1621"/>
      <c r="B119" s="1944"/>
      <c r="C119" s="1668" t="s">
        <v>624</v>
      </c>
      <c r="D119" s="759">
        <v>0.6</v>
      </c>
      <c r="E119" s="762">
        <v>0.9</v>
      </c>
      <c r="F119" s="762">
        <v>1.1000000000000001</v>
      </c>
      <c r="G119" s="762">
        <v>0.75487824183184982</v>
      </c>
      <c r="H119" s="763">
        <v>0.87173681689880778</v>
      </c>
      <c r="I119" s="761">
        <v>1.25</v>
      </c>
      <c r="J119" s="762">
        <v>2.67</v>
      </c>
      <c r="K119" s="762">
        <v>4.03</v>
      </c>
      <c r="L119" s="762">
        <v>4.03</v>
      </c>
      <c r="M119" s="763">
        <v>4.03</v>
      </c>
      <c r="N119" s="1589"/>
      <c r="O119" s="507">
        <f t="shared" si="15"/>
        <v>3.3548782418318499</v>
      </c>
      <c r="P119" s="508">
        <f t="shared" si="16"/>
        <v>0.87173681689880778</v>
      </c>
      <c r="Q119" s="509">
        <f t="shared" si="17"/>
        <v>4.2266150587306575</v>
      </c>
      <c r="R119" s="1007"/>
      <c r="S119" s="507">
        <f t="shared" si="18"/>
        <v>16.010000000000002</v>
      </c>
      <c r="T119" s="1669">
        <f t="shared" si="19"/>
        <v>2.7879011401639553</v>
      </c>
    </row>
    <row r="120" spans="1:20" s="1623" customFormat="1" ht="15" customHeight="1">
      <c r="A120" s="1621"/>
      <c r="B120" s="1945"/>
      <c r="C120" s="1670" t="s">
        <v>711</v>
      </c>
      <c r="D120" s="772">
        <v>1.9</v>
      </c>
      <c r="E120" s="772">
        <v>5.2</v>
      </c>
      <c r="F120" s="772">
        <v>5</v>
      </c>
      <c r="G120" s="772">
        <v>3.4246972663411661</v>
      </c>
      <c r="H120" s="773">
        <v>3.2169433076456775</v>
      </c>
      <c r="I120" s="774">
        <v>5.15</v>
      </c>
      <c r="J120" s="772">
        <v>7.1</v>
      </c>
      <c r="K120" s="772">
        <v>9.07</v>
      </c>
      <c r="L120" s="772">
        <v>9.07</v>
      </c>
      <c r="M120" s="773">
        <v>9.07</v>
      </c>
      <c r="N120" s="1589"/>
      <c r="O120" s="507">
        <f t="shared" si="15"/>
        <v>15.524697266341166</v>
      </c>
      <c r="P120" s="508">
        <f t="shared" si="16"/>
        <v>3.2169433076456775</v>
      </c>
      <c r="Q120" s="509">
        <f t="shared" si="17"/>
        <v>18.741640573986842</v>
      </c>
      <c r="R120" s="1007"/>
      <c r="S120" s="507">
        <f t="shared" si="18"/>
        <v>39.46</v>
      </c>
      <c r="T120" s="1669">
        <f t="shared" si="19"/>
        <v>1.1054720286744788</v>
      </c>
    </row>
    <row r="121" spans="1:20" s="1623" customFormat="1" ht="15" customHeight="1">
      <c r="A121" s="1621"/>
      <c r="B121" s="1941" t="s">
        <v>712</v>
      </c>
      <c r="C121" s="1668" t="s">
        <v>620</v>
      </c>
      <c r="D121" s="759">
        <v>0</v>
      </c>
      <c r="E121" s="762">
        <v>0.1</v>
      </c>
      <c r="F121" s="762">
        <v>0.4</v>
      </c>
      <c r="G121" s="762">
        <v>1.6908853821892336</v>
      </c>
      <c r="H121" s="763">
        <v>1.1394312631289236</v>
      </c>
      <c r="I121" s="761">
        <v>0.24</v>
      </c>
      <c r="J121" s="762">
        <v>0.38</v>
      </c>
      <c r="K121" s="762">
        <v>0.52</v>
      </c>
      <c r="L121" s="762">
        <v>0.52</v>
      </c>
      <c r="M121" s="763">
        <v>0.52</v>
      </c>
      <c r="N121" s="1589"/>
      <c r="O121" s="507">
        <f t="shared" si="15"/>
        <v>2.1908853821892338</v>
      </c>
      <c r="P121" s="508">
        <f t="shared" si="16"/>
        <v>1.1394312631289236</v>
      </c>
      <c r="Q121" s="509">
        <f t="shared" si="17"/>
        <v>3.3303166453181574</v>
      </c>
      <c r="R121" s="1007"/>
      <c r="S121" s="507">
        <f t="shared" si="18"/>
        <v>2.1800000000000002</v>
      </c>
      <c r="T121" s="1669">
        <f t="shared" si="19"/>
        <v>-0.34540758967628538</v>
      </c>
    </row>
    <row r="122" spans="1:20" s="1623" customFormat="1" ht="15" customHeight="1">
      <c r="A122" s="1621"/>
      <c r="B122" s="1942"/>
      <c r="C122" s="1668" t="s">
        <v>621</v>
      </c>
      <c r="D122" s="759">
        <v>0</v>
      </c>
      <c r="E122" s="762">
        <v>0</v>
      </c>
      <c r="F122" s="762">
        <v>0</v>
      </c>
      <c r="G122" s="762">
        <v>0</v>
      </c>
      <c r="H122" s="763">
        <v>0</v>
      </c>
      <c r="I122" s="761">
        <v>0</v>
      </c>
      <c r="J122" s="762">
        <v>0</v>
      </c>
      <c r="K122" s="762">
        <v>0</v>
      </c>
      <c r="L122" s="762">
        <v>0</v>
      </c>
      <c r="M122" s="763">
        <v>0</v>
      </c>
      <c r="N122" s="1589"/>
      <c r="O122" s="507">
        <f t="shared" si="15"/>
        <v>0</v>
      </c>
      <c r="P122" s="508">
        <f t="shared" si="16"/>
        <v>0</v>
      </c>
      <c r="Q122" s="509">
        <f t="shared" si="17"/>
        <v>0</v>
      </c>
      <c r="R122" s="1007"/>
      <c r="S122" s="507">
        <f t="shared" si="18"/>
        <v>0</v>
      </c>
      <c r="T122" s="1669" t="str">
        <f t="shared" si="19"/>
        <v>0</v>
      </c>
    </row>
    <row r="123" spans="1:20" s="1623" customFormat="1" ht="15" customHeight="1">
      <c r="A123" s="1621"/>
      <c r="B123" s="1942"/>
      <c r="C123" s="1668" t="s">
        <v>622</v>
      </c>
      <c r="D123" s="759">
        <v>0</v>
      </c>
      <c r="E123" s="762">
        <v>0</v>
      </c>
      <c r="F123" s="762">
        <v>0</v>
      </c>
      <c r="G123" s="762">
        <v>0</v>
      </c>
      <c r="H123" s="763">
        <v>0</v>
      </c>
      <c r="I123" s="761">
        <v>0</v>
      </c>
      <c r="J123" s="762">
        <v>0</v>
      </c>
      <c r="K123" s="762">
        <v>0</v>
      </c>
      <c r="L123" s="762">
        <v>0</v>
      </c>
      <c r="M123" s="763">
        <v>0</v>
      </c>
      <c r="N123" s="1589"/>
      <c r="O123" s="507">
        <f t="shared" si="15"/>
        <v>0</v>
      </c>
      <c r="P123" s="508">
        <f t="shared" si="16"/>
        <v>0</v>
      </c>
      <c r="Q123" s="509">
        <f t="shared" si="17"/>
        <v>0</v>
      </c>
      <c r="R123" s="1007"/>
      <c r="S123" s="507">
        <f t="shared" si="18"/>
        <v>0</v>
      </c>
      <c r="T123" s="1669" t="str">
        <f t="shared" si="19"/>
        <v>0</v>
      </c>
    </row>
    <row r="124" spans="1:20" s="1623" customFormat="1" ht="15" customHeight="1">
      <c r="A124" s="1621"/>
      <c r="B124" s="1942"/>
      <c r="C124" s="1668" t="s">
        <v>624</v>
      </c>
      <c r="D124" s="759">
        <v>0.3</v>
      </c>
      <c r="E124" s="762">
        <v>0.3</v>
      </c>
      <c r="F124" s="762">
        <v>0.5</v>
      </c>
      <c r="G124" s="762">
        <v>0.38633851766428928</v>
      </c>
      <c r="H124" s="763">
        <v>6.9503200893261521E-2</v>
      </c>
      <c r="I124" s="761">
        <v>0.27</v>
      </c>
      <c r="J124" s="762">
        <v>0.53</v>
      </c>
      <c r="K124" s="762">
        <v>0.8</v>
      </c>
      <c r="L124" s="762">
        <v>0.8</v>
      </c>
      <c r="M124" s="763">
        <v>0.8</v>
      </c>
      <c r="N124" s="1589"/>
      <c r="O124" s="507">
        <f t="shared" si="15"/>
        <v>1.4863385176642894</v>
      </c>
      <c r="P124" s="508">
        <f t="shared" si="16"/>
        <v>6.9503200893261521E-2</v>
      </c>
      <c r="Q124" s="509">
        <f t="shared" si="17"/>
        <v>1.5558417185575508</v>
      </c>
      <c r="R124" s="1007"/>
      <c r="S124" s="507">
        <f t="shared" si="18"/>
        <v>3.2</v>
      </c>
      <c r="T124" s="1669">
        <f t="shared" si="19"/>
        <v>1.0567644907778784</v>
      </c>
    </row>
    <row r="125" spans="1:20" s="1623" customFormat="1" ht="15" customHeight="1">
      <c r="A125" s="1621"/>
      <c r="B125" s="1941" t="s">
        <v>713</v>
      </c>
      <c r="C125" s="1668" t="s">
        <v>714</v>
      </c>
      <c r="D125" s="759">
        <v>0</v>
      </c>
      <c r="E125" s="762">
        <v>0</v>
      </c>
      <c r="F125" s="762">
        <v>0</v>
      </c>
      <c r="G125" s="762">
        <v>0</v>
      </c>
      <c r="H125" s="763">
        <v>0</v>
      </c>
      <c r="I125" s="761">
        <v>0</v>
      </c>
      <c r="J125" s="762">
        <v>0</v>
      </c>
      <c r="K125" s="762">
        <v>0</v>
      </c>
      <c r="L125" s="762">
        <v>0</v>
      </c>
      <c r="M125" s="763">
        <v>0</v>
      </c>
      <c r="N125" s="1589"/>
      <c r="O125" s="507">
        <f t="shared" si="15"/>
        <v>0</v>
      </c>
      <c r="P125" s="508">
        <f t="shared" si="16"/>
        <v>0</v>
      </c>
      <c r="Q125" s="509">
        <f t="shared" si="17"/>
        <v>0</v>
      </c>
      <c r="R125" s="1007"/>
      <c r="S125" s="507">
        <f t="shared" si="18"/>
        <v>0</v>
      </c>
      <c r="T125" s="1669" t="str">
        <f t="shared" si="19"/>
        <v>0</v>
      </c>
    </row>
    <row r="126" spans="1:20" s="1623" customFormat="1" ht="15" customHeight="1">
      <c r="A126" s="1621"/>
      <c r="B126" s="1942"/>
      <c r="C126" s="1670" t="s">
        <v>715</v>
      </c>
      <c r="D126" s="759">
        <v>0</v>
      </c>
      <c r="E126" s="762">
        <v>0</v>
      </c>
      <c r="F126" s="762">
        <v>0</v>
      </c>
      <c r="G126" s="762">
        <v>0</v>
      </c>
      <c r="H126" s="763">
        <v>0</v>
      </c>
      <c r="I126" s="761">
        <v>0.12</v>
      </c>
      <c r="J126" s="762">
        <v>0.11</v>
      </c>
      <c r="K126" s="762">
        <v>0.1</v>
      </c>
      <c r="L126" s="762">
        <v>0.1</v>
      </c>
      <c r="M126" s="763">
        <v>0.1</v>
      </c>
      <c r="N126" s="1589"/>
      <c r="O126" s="507">
        <f t="shared" si="15"/>
        <v>0</v>
      </c>
      <c r="P126" s="508">
        <f t="shared" si="16"/>
        <v>0</v>
      </c>
      <c r="Q126" s="509">
        <f t="shared" si="17"/>
        <v>0</v>
      </c>
      <c r="R126" s="1007"/>
      <c r="S126" s="507">
        <f t="shared" si="18"/>
        <v>0.52999999999999992</v>
      </c>
      <c r="T126" s="1669" t="str">
        <f t="shared" si="19"/>
        <v>0</v>
      </c>
    </row>
    <row r="127" spans="1:20" s="1623" customFormat="1" ht="15" customHeight="1">
      <c r="A127" s="1621"/>
      <c r="B127" s="1942"/>
      <c r="C127" s="1668" t="s">
        <v>622</v>
      </c>
      <c r="D127" s="759">
        <v>0</v>
      </c>
      <c r="E127" s="759">
        <v>0</v>
      </c>
      <c r="F127" s="759">
        <v>0</v>
      </c>
      <c r="G127" s="759">
        <v>0</v>
      </c>
      <c r="H127" s="760">
        <v>0</v>
      </c>
      <c r="I127" s="761">
        <v>0</v>
      </c>
      <c r="J127" s="759">
        <v>0</v>
      </c>
      <c r="K127" s="759">
        <v>0</v>
      </c>
      <c r="L127" s="759">
        <v>0</v>
      </c>
      <c r="M127" s="760">
        <v>0</v>
      </c>
      <c r="N127" s="1589"/>
      <c r="O127" s="507">
        <f t="shared" si="15"/>
        <v>0</v>
      </c>
      <c r="P127" s="508">
        <f t="shared" si="16"/>
        <v>0</v>
      </c>
      <c r="Q127" s="509">
        <f t="shared" si="17"/>
        <v>0</v>
      </c>
      <c r="R127" s="1007"/>
      <c r="S127" s="507">
        <f t="shared" si="18"/>
        <v>0</v>
      </c>
      <c r="T127" s="1669" t="str">
        <f t="shared" si="19"/>
        <v>0</v>
      </c>
    </row>
    <row r="128" spans="1:20" s="1623" customFormat="1" ht="15" customHeight="1">
      <c r="A128" s="1621"/>
      <c r="B128" s="1942"/>
      <c r="C128" s="1668" t="s">
        <v>716</v>
      </c>
      <c r="D128" s="759">
        <v>0</v>
      </c>
      <c r="E128" s="759">
        <v>0</v>
      </c>
      <c r="F128" s="759">
        <v>0</v>
      </c>
      <c r="G128" s="759">
        <v>0</v>
      </c>
      <c r="H128" s="760">
        <v>0</v>
      </c>
      <c r="I128" s="761">
        <v>0.03</v>
      </c>
      <c r="J128" s="759">
        <v>0.06</v>
      </c>
      <c r="K128" s="759">
        <v>0.09</v>
      </c>
      <c r="L128" s="759">
        <v>0.09</v>
      </c>
      <c r="M128" s="760">
        <v>0.1</v>
      </c>
      <c r="N128" s="1589"/>
      <c r="O128" s="507">
        <f t="shared" si="15"/>
        <v>0</v>
      </c>
      <c r="P128" s="508">
        <f t="shared" si="16"/>
        <v>0</v>
      </c>
      <c r="Q128" s="509">
        <f t="shared" si="17"/>
        <v>0</v>
      </c>
      <c r="R128" s="1007"/>
      <c r="S128" s="507">
        <f t="shared" si="18"/>
        <v>0.37</v>
      </c>
      <c r="T128" s="1669" t="str">
        <f t="shared" si="19"/>
        <v>0</v>
      </c>
    </row>
    <row r="129" spans="1:20" s="1623" customFormat="1" ht="15" customHeight="1">
      <c r="A129" s="1621"/>
      <c r="B129" s="1671" t="s">
        <v>717</v>
      </c>
      <c r="C129" s="1670" t="s">
        <v>711</v>
      </c>
      <c r="D129" s="772">
        <v>0.3</v>
      </c>
      <c r="E129" s="772">
        <v>0.4</v>
      </c>
      <c r="F129" s="772">
        <v>0.9</v>
      </c>
      <c r="G129" s="772">
        <v>2.0772238998535228</v>
      </c>
      <c r="H129" s="773">
        <v>1.2089344640221851</v>
      </c>
      <c r="I129" s="774">
        <v>0.66</v>
      </c>
      <c r="J129" s="772">
        <v>1.08</v>
      </c>
      <c r="K129" s="772">
        <v>1.51</v>
      </c>
      <c r="L129" s="772">
        <v>1.51</v>
      </c>
      <c r="M129" s="773">
        <v>1.52</v>
      </c>
      <c r="N129" s="1589"/>
      <c r="O129" s="507">
        <f t="shared" si="15"/>
        <v>3.6772238998535229</v>
      </c>
      <c r="P129" s="508">
        <f t="shared" si="16"/>
        <v>1.2089344640221851</v>
      </c>
      <c r="Q129" s="509">
        <f t="shared" si="17"/>
        <v>4.8861583638757082</v>
      </c>
      <c r="R129" s="1007"/>
      <c r="S129" s="507">
        <f t="shared" si="18"/>
        <v>6.2799999999999994</v>
      </c>
      <c r="T129" s="1669">
        <f t="shared" si="19"/>
        <v>0.28526329527696559</v>
      </c>
    </row>
    <row r="130" spans="1:20" s="1623" customFormat="1" ht="15" customHeight="1">
      <c r="A130" s="1621"/>
      <c r="B130" s="1941" t="s">
        <v>718</v>
      </c>
      <c r="C130" s="1668" t="s">
        <v>620</v>
      </c>
      <c r="D130" s="759">
        <v>0</v>
      </c>
      <c r="E130" s="762">
        <v>0</v>
      </c>
      <c r="F130" s="762">
        <v>0</v>
      </c>
      <c r="G130" s="762">
        <v>0</v>
      </c>
      <c r="H130" s="763">
        <v>0</v>
      </c>
      <c r="I130" s="761">
        <v>0</v>
      </c>
      <c r="J130" s="762">
        <v>0</v>
      </c>
      <c r="K130" s="762">
        <v>0</v>
      </c>
      <c r="L130" s="762">
        <v>0</v>
      </c>
      <c r="M130" s="763">
        <v>0</v>
      </c>
      <c r="N130" s="1589"/>
      <c r="O130" s="507">
        <f t="shared" si="15"/>
        <v>0</v>
      </c>
      <c r="P130" s="508">
        <f t="shared" si="16"/>
        <v>0</v>
      </c>
      <c r="Q130" s="509">
        <f t="shared" si="17"/>
        <v>0</v>
      </c>
      <c r="R130" s="1007"/>
      <c r="S130" s="507">
        <f t="shared" si="18"/>
        <v>0</v>
      </c>
      <c r="T130" s="1669" t="str">
        <f t="shared" si="19"/>
        <v>0</v>
      </c>
    </row>
    <row r="131" spans="1:20" s="1623" customFormat="1" ht="15" customHeight="1">
      <c r="A131" s="1621"/>
      <c r="B131" s="1942"/>
      <c r="C131" s="1668" t="s">
        <v>621</v>
      </c>
      <c r="D131" s="759">
        <v>0</v>
      </c>
      <c r="E131" s="762">
        <v>0</v>
      </c>
      <c r="F131" s="762">
        <v>0</v>
      </c>
      <c r="G131" s="762">
        <v>0</v>
      </c>
      <c r="H131" s="763">
        <v>0</v>
      </c>
      <c r="I131" s="761">
        <v>0</v>
      </c>
      <c r="J131" s="762">
        <v>0</v>
      </c>
      <c r="K131" s="762">
        <v>0</v>
      </c>
      <c r="L131" s="762">
        <v>0</v>
      </c>
      <c r="M131" s="763">
        <v>0</v>
      </c>
      <c r="N131" s="1589"/>
      <c r="O131" s="507">
        <f t="shared" si="15"/>
        <v>0</v>
      </c>
      <c r="P131" s="508">
        <f t="shared" si="16"/>
        <v>0</v>
      </c>
      <c r="Q131" s="509">
        <f t="shared" si="17"/>
        <v>0</v>
      </c>
      <c r="R131" s="1007"/>
      <c r="S131" s="507">
        <f t="shared" si="18"/>
        <v>0</v>
      </c>
      <c r="T131" s="1669" t="str">
        <f t="shared" si="19"/>
        <v>0</v>
      </c>
    </row>
    <row r="132" spans="1:20" s="1623" customFormat="1" ht="15" customHeight="1">
      <c r="A132" s="1621"/>
      <c r="B132" s="1942"/>
      <c r="C132" s="1668" t="s">
        <v>622</v>
      </c>
      <c r="D132" s="759">
        <v>0</v>
      </c>
      <c r="E132" s="762">
        <v>0</v>
      </c>
      <c r="F132" s="762">
        <v>0</v>
      </c>
      <c r="G132" s="762">
        <v>0</v>
      </c>
      <c r="H132" s="763">
        <v>0</v>
      </c>
      <c r="I132" s="761">
        <v>0</v>
      </c>
      <c r="J132" s="762">
        <v>0</v>
      </c>
      <c r="K132" s="762">
        <v>0</v>
      </c>
      <c r="L132" s="762">
        <v>0</v>
      </c>
      <c r="M132" s="763">
        <v>0</v>
      </c>
      <c r="N132" s="1589"/>
      <c r="O132" s="507">
        <f t="shared" si="15"/>
        <v>0</v>
      </c>
      <c r="P132" s="508">
        <f t="shared" si="16"/>
        <v>0</v>
      </c>
      <c r="Q132" s="509">
        <f t="shared" si="17"/>
        <v>0</v>
      </c>
      <c r="R132" s="1007"/>
      <c r="S132" s="507">
        <f t="shared" si="18"/>
        <v>0</v>
      </c>
      <c r="T132" s="1669" t="str">
        <f t="shared" si="19"/>
        <v>0</v>
      </c>
    </row>
    <row r="133" spans="1:20" s="1623" customFormat="1" ht="15" customHeight="1">
      <c r="A133" s="1621"/>
      <c r="B133" s="1942"/>
      <c r="C133" s="1668" t="s">
        <v>624</v>
      </c>
      <c r="D133" s="759">
        <v>0</v>
      </c>
      <c r="E133" s="762">
        <v>0</v>
      </c>
      <c r="F133" s="762">
        <v>0</v>
      </c>
      <c r="G133" s="762">
        <v>0</v>
      </c>
      <c r="H133" s="763">
        <v>0</v>
      </c>
      <c r="I133" s="761">
        <v>0.04</v>
      </c>
      <c r="J133" s="762">
        <v>0.06</v>
      </c>
      <c r="K133" s="762">
        <v>0.08</v>
      </c>
      <c r="L133" s="762">
        <v>0.08</v>
      </c>
      <c r="M133" s="763">
        <v>0.08</v>
      </c>
      <c r="N133" s="1589"/>
      <c r="O133" s="507">
        <f t="shared" si="15"/>
        <v>0</v>
      </c>
      <c r="P133" s="508">
        <f t="shared" si="16"/>
        <v>0</v>
      </c>
      <c r="Q133" s="509">
        <f t="shared" si="17"/>
        <v>0</v>
      </c>
      <c r="R133" s="1007"/>
      <c r="S133" s="507">
        <f t="shared" si="18"/>
        <v>0.34</v>
      </c>
      <c r="T133" s="1669" t="str">
        <f t="shared" si="19"/>
        <v>0</v>
      </c>
    </row>
    <row r="134" spans="1:20" s="1623" customFormat="1" ht="15" customHeight="1">
      <c r="A134" s="1621"/>
      <c r="B134" s="1941" t="s">
        <v>719</v>
      </c>
      <c r="C134" s="1668" t="s">
        <v>714</v>
      </c>
      <c r="D134" s="759">
        <v>0</v>
      </c>
      <c r="E134" s="762">
        <v>0</v>
      </c>
      <c r="F134" s="762">
        <v>0</v>
      </c>
      <c r="G134" s="762">
        <v>0</v>
      </c>
      <c r="H134" s="763">
        <v>0</v>
      </c>
      <c r="I134" s="761">
        <v>0.27</v>
      </c>
      <c r="J134" s="762">
        <v>0.28999999999999998</v>
      </c>
      <c r="K134" s="762">
        <v>0.31</v>
      </c>
      <c r="L134" s="762">
        <v>0.31</v>
      </c>
      <c r="M134" s="763">
        <v>0.31</v>
      </c>
      <c r="N134" s="1589"/>
      <c r="O134" s="507">
        <f t="shared" si="15"/>
        <v>0</v>
      </c>
      <c r="P134" s="508">
        <f t="shared" si="16"/>
        <v>0</v>
      </c>
      <c r="Q134" s="509">
        <f t="shared" si="17"/>
        <v>0</v>
      </c>
      <c r="R134" s="1007"/>
      <c r="S134" s="507">
        <f t="shared" si="18"/>
        <v>1.4900000000000002</v>
      </c>
      <c r="T134" s="1669" t="str">
        <f t="shared" si="19"/>
        <v>0</v>
      </c>
    </row>
    <row r="135" spans="1:20" s="1623" customFormat="1" ht="15" customHeight="1">
      <c r="A135" s="1621"/>
      <c r="B135" s="1942"/>
      <c r="C135" s="1670" t="s">
        <v>715</v>
      </c>
      <c r="D135" s="759">
        <v>0.5</v>
      </c>
      <c r="E135" s="762">
        <v>1.3</v>
      </c>
      <c r="F135" s="762">
        <v>1.1000000000000001</v>
      </c>
      <c r="G135" s="762">
        <v>0.88575172342544373</v>
      </c>
      <c r="H135" s="763">
        <v>0.3338259800479379</v>
      </c>
      <c r="I135" s="761">
        <v>0.2</v>
      </c>
      <c r="J135" s="762">
        <v>0.33</v>
      </c>
      <c r="K135" s="762">
        <v>0.46</v>
      </c>
      <c r="L135" s="762">
        <v>0.46</v>
      </c>
      <c r="M135" s="763">
        <v>0.46</v>
      </c>
      <c r="N135" s="1589"/>
      <c r="O135" s="507">
        <f t="shared" si="15"/>
        <v>3.7857517234254443</v>
      </c>
      <c r="P135" s="508">
        <f t="shared" si="16"/>
        <v>0.3338259800479379</v>
      </c>
      <c r="Q135" s="509">
        <f t="shared" si="17"/>
        <v>4.1195777034733823</v>
      </c>
      <c r="R135" s="1007"/>
      <c r="S135" s="507">
        <f t="shared" si="18"/>
        <v>1.91</v>
      </c>
      <c r="T135" s="1669">
        <f t="shared" si="19"/>
        <v>-0.53636024430620599</v>
      </c>
    </row>
    <row r="136" spans="1:20" s="1623" customFormat="1" ht="15" customHeight="1">
      <c r="A136" s="1621"/>
      <c r="B136" s="1942"/>
      <c r="C136" s="1668" t="s">
        <v>622</v>
      </c>
      <c r="D136" s="759">
        <v>0</v>
      </c>
      <c r="E136" s="762">
        <v>0</v>
      </c>
      <c r="F136" s="762">
        <v>0</v>
      </c>
      <c r="G136" s="762">
        <v>0</v>
      </c>
      <c r="H136" s="763">
        <v>0</v>
      </c>
      <c r="I136" s="761">
        <v>0</v>
      </c>
      <c r="J136" s="762">
        <v>0</v>
      </c>
      <c r="K136" s="762">
        <v>0</v>
      </c>
      <c r="L136" s="762">
        <v>0</v>
      </c>
      <c r="M136" s="763">
        <v>0</v>
      </c>
      <c r="N136" s="1589"/>
      <c r="O136" s="507">
        <f t="shared" si="15"/>
        <v>0</v>
      </c>
      <c r="P136" s="508">
        <f t="shared" si="16"/>
        <v>0</v>
      </c>
      <c r="Q136" s="509">
        <f t="shared" si="17"/>
        <v>0</v>
      </c>
      <c r="R136" s="1007"/>
      <c r="S136" s="507">
        <f t="shared" si="18"/>
        <v>0</v>
      </c>
      <c r="T136" s="1669" t="str">
        <f t="shared" si="19"/>
        <v>0</v>
      </c>
    </row>
    <row r="137" spans="1:20" s="1623" customFormat="1" ht="15" customHeight="1">
      <c r="A137" s="1621"/>
      <c r="B137" s="1942"/>
      <c r="C137" s="1668" t="s">
        <v>716</v>
      </c>
      <c r="D137" s="759">
        <v>0</v>
      </c>
      <c r="E137" s="762">
        <v>0</v>
      </c>
      <c r="F137" s="762">
        <v>0</v>
      </c>
      <c r="G137" s="762">
        <v>0</v>
      </c>
      <c r="H137" s="763">
        <v>0</v>
      </c>
      <c r="I137" s="761">
        <v>0.09</v>
      </c>
      <c r="J137" s="762">
        <v>0.09</v>
      </c>
      <c r="K137" s="762">
        <v>0.11</v>
      </c>
      <c r="L137" s="762">
        <v>0.13</v>
      </c>
      <c r="M137" s="763">
        <v>0.15</v>
      </c>
      <c r="N137" s="1589"/>
      <c r="O137" s="507">
        <f t="shared" si="15"/>
        <v>0</v>
      </c>
      <c r="P137" s="508">
        <f t="shared" si="16"/>
        <v>0</v>
      </c>
      <c r="Q137" s="509">
        <f t="shared" si="17"/>
        <v>0</v>
      </c>
      <c r="R137" s="1007"/>
      <c r="S137" s="507">
        <f t="shared" si="18"/>
        <v>0.56999999999999995</v>
      </c>
      <c r="T137" s="1669" t="str">
        <f t="shared" si="19"/>
        <v>0</v>
      </c>
    </row>
    <row r="138" spans="1:20" s="1623" customFormat="1" ht="15" customHeight="1" thickBot="1">
      <c r="A138" s="1621"/>
      <c r="B138" s="671" t="s">
        <v>626</v>
      </c>
      <c r="C138" s="1672" t="s">
        <v>711</v>
      </c>
      <c r="D138" s="1673">
        <v>0.5</v>
      </c>
      <c r="E138" s="1673">
        <v>1.3</v>
      </c>
      <c r="F138" s="1673">
        <v>1.1000000000000001</v>
      </c>
      <c r="G138" s="1673">
        <v>0.88575172342544373</v>
      </c>
      <c r="H138" s="1674">
        <v>0.3338259800479379</v>
      </c>
      <c r="I138" s="1675">
        <v>0.6</v>
      </c>
      <c r="J138" s="1673">
        <v>0.77</v>
      </c>
      <c r="K138" s="1673">
        <v>0.96</v>
      </c>
      <c r="L138" s="1673">
        <v>0.98</v>
      </c>
      <c r="M138" s="1674">
        <v>1</v>
      </c>
      <c r="N138" s="1589"/>
      <c r="O138" s="1644">
        <f t="shared" si="15"/>
        <v>3.7857517234254443</v>
      </c>
      <c r="P138" s="1645">
        <f t="shared" si="16"/>
        <v>0.3338259800479379</v>
      </c>
      <c r="Q138" s="1646">
        <f t="shared" si="17"/>
        <v>4.1195777034733823</v>
      </c>
      <c r="R138" s="1007"/>
      <c r="S138" s="1644">
        <f t="shared" si="18"/>
        <v>4.3100000000000005</v>
      </c>
      <c r="T138" s="1676">
        <f t="shared" si="19"/>
        <v>4.6223741905891354E-2</v>
      </c>
    </row>
    <row r="139" spans="1:20" s="1623" customFormat="1" ht="15" customHeight="1">
      <c r="A139" s="1621"/>
      <c r="B139" s="1589"/>
      <c r="C139" s="1589"/>
      <c r="D139" s="1589"/>
      <c r="E139" s="1589"/>
      <c r="F139" s="1589"/>
      <c r="G139" s="1589"/>
      <c r="H139" s="1589"/>
      <c r="I139" s="1589"/>
      <c r="J139" s="1589"/>
      <c r="K139" s="1589"/>
      <c r="L139" s="1589"/>
      <c r="M139" s="1589"/>
      <c r="N139" s="1589"/>
      <c r="O139" s="1589"/>
      <c r="P139" s="1589"/>
      <c r="Q139" s="1589"/>
    </row>
    <row r="140" spans="1:20" s="1623" customFormat="1" ht="15" customHeight="1">
      <c r="A140" s="1621"/>
      <c r="B140" s="1011" t="s">
        <v>248</v>
      </c>
      <c r="C140" s="1589"/>
      <c r="D140" s="1589"/>
      <c r="E140" s="1589"/>
      <c r="F140" s="1589"/>
      <c r="G140" s="1589"/>
      <c r="H140" s="1589"/>
      <c r="I140" s="1589"/>
      <c r="J140" s="1589"/>
      <c r="K140" s="1589"/>
      <c r="L140" s="1589"/>
      <c r="M140" s="1589"/>
      <c r="N140" s="1589"/>
      <c r="O140" s="1589"/>
      <c r="P140" s="1589"/>
      <c r="Q140" s="1589"/>
    </row>
    <row r="141" spans="1:20" s="1623" customFormat="1" ht="15" customHeight="1" thickBot="1">
      <c r="A141" s="1621"/>
      <c r="B141" s="1589"/>
      <c r="C141" s="1589"/>
      <c r="E141" s="1589"/>
      <c r="F141" s="1589"/>
      <c r="G141" s="1589"/>
      <c r="H141" s="1589"/>
      <c r="I141" s="1589"/>
      <c r="J141" s="1589"/>
      <c r="K141" s="1589"/>
      <c r="L141" s="1589"/>
      <c r="M141" s="1589"/>
      <c r="N141" s="1589"/>
      <c r="O141" s="1589"/>
      <c r="P141" s="1589"/>
      <c r="Q141" s="1589"/>
    </row>
    <row r="142" spans="1:20" s="1623" customFormat="1" ht="15" customHeight="1">
      <c r="A142" s="1621"/>
      <c r="B142" s="1935" t="s">
        <v>113</v>
      </c>
      <c r="C142" s="1936"/>
      <c r="D142" s="1624" t="s">
        <v>114</v>
      </c>
      <c r="E142" s="1625"/>
      <c r="F142" s="1625"/>
      <c r="G142" s="1625"/>
      <c r="H142" s="1626"/>
      <c r="I142" s="1624" t="s">
        <v>115</v>
      </c>
      <c r="J142" s="1625"/>
      <c r="K142" s="1625"/>
      <c r="L142" s="1625"/>
      <c r="M142" s="1626"/>
      <c r="N142" s="1589"/>
      <c r="O142" s="1353" t="s">
        <v>116</v>
      </c>
      <c r="P142" s="1354"/>
      <c r="Q142" s="1355"/>
      <c r="R142" s="1007"/>
      <c r="S142" s="1353" t="s">
        <v>117</v>
      </c>
      <c r="T142" s="1355"/>
    </row>
    <row r="143" spans="1:20" s="1623" customFormat="1" ht="15" customHeight="1">
      <c r="A143" s="1621"/>
      <c r="B143" s="1937"/>
      <c r="C143" s="1938"/>
      <c r="D143" s="1627" t="s">
        <v>32</v>
      </c>
      <c r="E143" s="1628" t="s">
        <v>33</v>
      </c>
      <c r="F143" s="1628" t="s">
        <v>29</v>
      </c>
      <c r="G143" s="1628" t="s">
        <v>34</v>
      </c>
      <c r="H143" s="1629" t="s">
        <v>35</v>
      </c>
      <c r="I143" s="1627" t="s">
        <v>118</v>
      </c>
      <c r="J143" s="1628" t="s">
        <v>136</v>
      </c>
      <c r="K143" s="1628" t="s">
        <v>137</v>
      </c>
      <c r="L143" s="1628" t="s">
        <v>138</v>
      </c>
      <c r="M143" s="1629" t="s">
        <v>618</v>
      </c>
      <c r="N143" s="1589"/>
      <c r="O143" s="1360" t="s">
        <v>126</v>
      </c>
      <c r="P143" s="1361" t="s">
        <v>127</v>
      </c>
      <c r="Q143" s="1362" t="s">
        <v>245</v>
      </c>
      <c r="R143" s="1007"/>
      <c r="S143" s="1360" t="s">
        <v>127</v>
      </c>
      <c r="T143" s="1362" t="s">
        <v>128</v>
      </c>
    </row>
    <row r="144" spans="1:20" s="1623" customFormat="1" ht="15" customHeight="1">
      <c r="A144" s="1621"/>
      <c r="B144" s="1939"/>
      <c r="C144" s="1940"/>
      <c r="D144" s="1627" t="s">
        <v>14</v>
      </c>
      <c r="E144" s="1628" t="s">
        <v>14</v>
      </c>
      <c r="F144" s="1628" t="s">
        <v>14</v>
      </c>
      <c r="G144" s="1628" t="s">
        <v>14</v>
      </c>
      <c r="H144" s="1629" t="s">
        <v>14</v>
      </c>
      <c r="I144" s="1627" t="s">
        <v>14</v>
      </c>
      <c r="J144" s="1628" t="s">
        <v>14</v>
      </c>
      <c r="K144" s="1628" t="s">
        <v>14</v>
      </c>
      <c r="L144" s="1628" t="s">
        <v>14</v>
      </c>
      <c r="M144" s="1629" t="s">
        <v>14</v>
      </c>
      <c r="N144" s="1589"/>
      <c r="O144" s="1631"/>
      <c r="P144" s="1632"/>
      <c r="Q144" s="1633"/>
      <c r="R144" s="1007"/>
      <c r="S144" s="1634"/>
      <c r="T144" s="1635"/>
    </row>
    <row r="145" spans="1:20" s="1623" customFormat="1" ht="15" customHeight="1">
      <c r="A145" s="1621"/>
      <c r="B145" s="1677" t="s">
        <v>249</v>
      </c>
      <c r="C145" s="1678" t="s">
        <v>250</v>
      </c>
      <c r="D145" s="1679"/>
      <c r="E145" s="1589"/>
      <c r="F145" s="1589"/>
      <c r="G145" s="1589"/>
      <c r="H145" s="1680"/>
      <c r="I145" s="1681"/>
      <c r="J145" s="1589"/>
      <c r="K145" s="1589"/>
      <c r="L145" s="1589"/>
      <c r="M145" s="1680"/>
      <c r="N145" s="1589"/>
      <c r="O145" s="1681"/>
      <c r="P145" s="1589"/>
      <c r="Q145" s="1680"/>
      <c r="S145" s="1679"/>
      <c r="T145" s="1682"/>
    </row>
    <row r="146" spans="1:20" s="1623" customFormat="1" ht="15" customHeight="1">
      <c r="A146" s="1621"/>
      <c r="B146" s="1681"/>
      <c r="C146" s="1683" t="s">
        <v>251</v>
      </c>
      <c r="D146" s="1684"/>
      <c r="E146" s="1685"/>
      <c r="F146" s="1685"/>
      <c r="G146" s="1685"/>
      <c r="H146" s="1686"/>
      <c r="I146" s="1684"/>
      <c r="J146" s="1685"/>
      <c r="K146" s="1685"/>
      <c r="L146" s="1685"/>
      <c r="M146" s="1686"/>
      <c r="N146" s="1589"/>
      <c r="O146" s="507">
        <f t="shared" ref="O146:O153" si="20">SUM(D146:G146)</f>
        <v>0</v>
      </c>
      <c r="P146" s="508">
        <f t="shared" ref="P146:P153" si="21">H146</f>
        <v>0</v>
      </c>
      <c r="Q146" s="509">
        <f t="shared" ref="Q146:Q153" si="22">SUM(D146:H146)</f>
        <v>0</v>
      </c>
      <c r="R146" s="1007"/>
      <c r="S146" s="507">
        <f t="shared" ref="S146:S153" si="23">SUM(I146:M146)</f>
        <v>0</v>
      </c>
      <c r="T146" s="1669" t="str">
        <f t="shared" ref="T146:T153" si="24">IF(Q146&lt;&gt;0,(S146-Q146)/Q146,"0")</f>
        <v>0</v>
      </c>
    </row>
    <row r="147" spans="1:20" s="1623" customFormat="1" ht="15" customHeight="1">
      <c r="A147" s="1621"/>
      <c r="B147" s="1681"/>
      <c r="C147" s="1683" t="s">
        <v>252</v>
      </c>
      <c r="D147" s="668"/>
      <c r="E147" s="669"/>
      <c r="F147" s="669"/>
      <c r="G147" s="669"/>
      <c r="H147" s="670"/>
      <c r="I147" s="668"/>
      <c r="J147" s="669"/>
      <c r="K147" s="669"/>
      <c r="L147" s="669"/>
      <c r="M147" s="670"/>
      <c r="N147" s="1589"/>
      <c r="O147" s="507">
        <f t="shared" si="20"/>
        <v>0</v>
      </c>
      <c r="P147" s="508">
        <f t="shared" si="21"/>
        <v>0</v>
      </c>
      <c r="Q147" s="509">
        <f t="shared" si="22"/>
        <v>0</v>
      </c>
      <c r="R147" s="1007"/>
      <c r="S147" s="507">
        <f t="shared" si="23"/>
        <v>0</v>
      </c>
      <c r="T147" s="1669" t="str">
        <f t="shared" si="24"/>
        <v>0</v>
      </c>
    </row>
    <row r="148" spans="1:20" s="1623" customFormat="1" ht="15" customHeight="1">
      <c r="A148" s="1621"/>
      <c r="B148" s="1681"/>
      <c r="C148" s="1008"/>
      <c r="D148" s="668"/>
      <c r="E148" s="669"/>
      <c r="F148" s="669"/>
      <c r="G148" s="669"/>
      <c r="H148" s="670"/>
      <c r="I148" s="668"/>
      <c r="J148" s="669"/>
      <c r="K148" s="669"/>
      <c r="L148" s="669"/>
      <c r="M148" s="670"/>
      <c r="N148" s="1589"/>
      <c r="O148" s="507">
        <f t="shared" si="20"/>
        <v>0</v>
      </c>
      <c r="P148" s="508">
        <f t="shared" si="21"/>
        <v>0</v>
      </c>
      <c r="Q148" s="509">
        <f t="shared" si="22"/>
        <v>0</v>
      </c>
      <c r="R148" s="1007"/>
      <c r="S148" s="507">
        <f t="shared" si="23"/>
        <v>0</v>
      </c>
      <c r="T148" s="1669" t="str">
        <f t="shared" si="24"/>
        <v>0</v>
      </c>
    </row>
    <row r="149" spans="1:20" s="1623" customFormat="1" ht="15" customHeight="1">
      <c r="A149" s="1621"/>
      <c r="B149" s="1681"/>
      <c r="C149" s="1678"/>
      <c r="D149" s="1679"/>
      <c r="E149" s="1589"/>
      <c r="F149" s="1589"/>
      <c r="G149" s="1589"/>
      <c r="H149" s="1680"/>
      <c r="I149" s="1681"/>
      <c r="J149" s="1589"/>
      <c r="K149" s="1589"/>
      <c r="L149" s="1589"/>
      <c r="M149" s="1680"/>
      <c r="N149" s="1589"/>
      <c r="O149" s="1368"/>
      <c r="P149" s="1371"/>
      <c r="Q149" s="1370"/>
      <c r="R149" s="1009"/>
      <c r="S149" s="1368"/>
      <c r="T149" s="1687"/>
    </row>
    <row r="150" spans="1:20" s="1623" customFormat="1" ht="15" customHeight="1">
      <c r="A150" s="1621"/>
      <c r="B150" s="1681"/>
      <c r="C150" s="1678" t="s">
        <v>253</v>
      </c>
      <c r="D150" s="1679"/>
      <c r="E150" s="1589"/>
      <c r="F150" s="1589"/>
      <c r="G150" s="1589"/>
      <c r="H150" s="1680"/>
      <c r="I150" s="1681"/>
      <c r="J150" s="1589"/>
      <c r="K150" s="1589"/>
      <c r="L150" s="1589"/>
      <c r="M150" s="1680"/>
      <c r="N150" s="1589"/>
      <c r="O150" s="1368"/>
      <c r="P150" s="1371"/>
      <c r="Q150" s="1370"/>
      <c r="R150" s="1009"/>
      <c r="S150" s="1368"/>
      <c r="T150" s="1687"/>
    </row>
    <row r="151" spans="1:20" s="1623" customFormat="1" ht="15" customHeight="1">
      <c r="A151" s="1621"/>
      <c r="B151" s="1681"/>
      <c r="C151" s="1683" t="s">
        <v>251</v>
      </c>
      <c r="D151" s="1684"/>
      <c r="E151" s="1685"/>
      <c r="F151" s="1685"/>
      <c r="G151" s="1685"/>
      <c r="H151" s="1686"/>
      <c r="I151" s="1684"/>
      <c r="J151" s="1685"/>
      <c r="K151" s="1685"/>
      <c r="L151" s="1685"/>
      <c r="M151" s="1686"/>
      <c r="N151" s="1589"/>
      <c r="O151" s="507">
        <f t="shared" si="20"/>
        <v>0</v>
      </c>
      <c r="P151" s="508">
        <f t="shared" si="21"/>
        <v>0</v>
      </c>
      <c r="Q151" s="509">
        <f t="shared" si="22"/>
        <v>0</v>
      </c>
      <c r="R151" s="1007"/>
      <c r="S151" s="507">
        <f t="shared" si="23"/>
        <v>0</v>
      </c>
      <c r="T151" s="1669" t="str">
        <f t="shared" si="24"/>
        <v>0</v>
      </c>
    </row>
    <row r="152" spans="1:20" s="1623" customFormat="1" ht="15" customHeight="1">
      <c r="A152" s="1621"/>
      <c r="B152" s="1681"/>
      <c r="C152" s="1683" t="s">
        <v>252</v>
      </c>
      <c r="D152" s="668"/>
      <c r="E152" s="669"/>
      <c r="F152" s="669"/>
      <c r="G152" s="669"/>
      <c r="H152" s="670"/>
      <c r="I152" s="668"/>
      <c r="J152" s="669"/>
      <c r="K152" s="669"/>
      <c r="L152" s="669"/>
      <c r="M152" s="670"/>
      <c r="N152" s="1589"/>
      <c r="O152" s="507">
        <f t="shared" si="20"/>
        <v>0</v>
      </c>
      <c r="P152" s="508">
        <f t="shared" si="21"/>
        <v>0</v>
      </c>
      <c r="Q152" s="509">
        <f t="shared" si="22"/>
        <v>0</v>
      </c>
      <c r="R152" s="1007"/>
      <c r="S152" s="507">
        <f t="shared" si="23"/>
        <v>0</v>
      </c>
      <c r="T152" s="1669" t="str">
        <f t="shared" si="24"/>
        <v>0</v>
      </c>
    </row>
    <row r="153" spans="1:20" s="1623" customFormat="1" ht="15" customHeight="1" thickBot="1">
      <c r="A153" s="1621"/>
      <c r="B153" s="1688"/>
      <c r="C153" s="1010"/>
      <c r="D153" s="672"/>
      <c r="E153" s="673"/>
      <c r="F153" s="673"/>
      <c r="G153" s="673"/>
      <c r="H153" s="674"/>
      <c r="I153" s="672"/>
      <c r="J153" s="673"/>
      <c r="K153" s="673"/>
      <c r="L153" s="673"/>
      <c r="M153" s="674"/>
      <c r="N153" s="1589"/>
      <c r="O153" s="1644">
        <f t="shared" si="20"/>
        <v>0</v>
      </c>
      <c r="P153" s="1645">
        <f t="shared" si="21"/>
        <v>0</v>
      </c>
      <c r="Q153" s="1646">
        <f t="shared" si="22"/>
        <v>0</v>
      </c>
      <c r="R153" s="1007"/>
      <c r="S153" s="1644">
        <f t="shared" si="23"/>
        <v>0</v>
      </c>
      <c r="T153" s="1676" t="str">
        <f t="shared" si="24"/>
        <v>0</v>
      </c>
    </row>
    <row r="154" spans="1:20" s="1690" customFormat="1" ht="15" customHeight="1">
      <c r="A154" s="1689"/>
      <c r="B154" s="1589"/>
      <c r="E154" s="1589"/>
      <c r="F154" s="1589"/>
      <c r="G154" s="1589"/>
      <c r="H154" s="1589"/>
      <c r="I154" s="1589"/>
      <c r="J154" s="1589"/>
      <c r="K154" s="1589"/>
      <c r="L154" s="1589"/>
      <c r="M154" s="1589"/>
      <c r="N154" s="1589"/>
      <c r="O154" s="1589"/>
      <c r="P154" s="1589"/>
      <c r="Q154" s="1589"/>
    </row>
    <row r="155" spans="1:20" s="1690" customFormat="1" ht="15" customHeight="1">
      <c r="A155" s="1689"/>
      <c r="B155" s="1589"/>
      <c r="C155" s="1589"/>
      <c r="E155" s="1589"/>
      <c r="F155" s="1589"/>
      <c r="G155" s="1589"/>
      <c r="H155" s="1589"/>
      <c r="I155" s="1589"/>
      <c r="J155" s="1589"/>
      <c r="K155" s="1589"/>
      <c r="L155" s="1589"/>
      <c r="M155" s="1589"/>
      <c r="N155" s="1589"/>
      <c r="O155" s="1589"/>
      <c r="P155" s="1589"/>
      <c r="Q155" s="1589"/>
    </row>
    <row r="156" spans="1:20" s="1690" customFormat="1" ht="15" customHeight="1">
      <c r="A156" s="1689"/>
      <c r="B156" s="1589"/>
      <c r="C156" s="1589"/>
      <c r="E156" s="1589"/>
      <c r="F156" s="1589"/>
      <c r="G156" s="1589"/>
      <c r="H156" s="1589"/>
      <c r="I156" s="1589"/>
      <c r="J156" s="1589"/>
      <c r="K156" s="1589"/>
      <c r="L156" s="1589"/>
      <c r="M156" s="1589"/>
      <c r="N156" s="1589"/>
      <c r="O156" s="1589"/>
      <c r="P156" s="1589"/>
      <c r="Q156" s="1589"/>
    </row>
    <row r="157" spans="1:20" s="1690" customFormat="1" ht="15" customHeight="1">
      <c r="A157" s="1689"/>
      <c r="B157" s="1589"/>
      <c r="C157" s="1589"/>
      <c r="E157" s="1589"/>
      <c r="F157" s="1589"/>
      <c r="G157" s="1589"/>
      <c r="H157" s="1589"/>
      <c r="I157" s="1589"/>
      <c r="J157" s="1589"/>
      <c r="K157" s="1589"/>
      <c r="L157" s="1589"/>
      <c r="M157" s="1589"/>
      <c r="N157" s="1589"/>
      <c r="O157" s="1589"/>
      <c r="P157" s="1589"/>
      <c r="Q157" s="1589"/>
    </row>
    <row r="158" spans="1:20" s="1690" customFormat="1" ht="15" customHeight="1">
      <c r="A158" s="1689"/>
      <c r="B158" s="1589"/>
      <c r="C158" s="1589"/>
      <c r="E158" s="1589"/>
      <c r="F158" s="1589"/>
      <c r="G158" s="1589"/>
      <c r="H158" s="1589"/>
      <c r="I158" s="1589"/>
      <c r="J158" s="1589"/>
      <c r="K158" s="1589"/>
      <c r="L158" s="1589"/>
      <c r="M158" s="1589"/>
      <c r="N158" s="1589"/>
      <c r="O158" s="1589"/>
      <c r="P158" s="1589"/>
      <c r="Q158" s="1589"/>
    </row>
    <row r="159" spans="1:20" s="1690" customFormat="1" ht="15" customHeight="1">
      <c r="A159" s="1689"/>
      <c r="B159" s="1589"/>
      <c r="C159" s="1589"/>
      <c r="E159" s="1589"/>
      <c r="F159" s="1589"/>
      <c r="G159" s="1589"/>
      <c r="H159" s="1589"/>
      <c r="I159" s="1589"/>
      <c r="J159" s="1589"/>
      <c r="K159" s="1589"/>
      <c r="L159" s="1589"/>
      <c r="M159" s="1589"/>
      <c r="N159" s="1589"/>
      <c r="O159" s="1589"/>
      <c r="P159" s="1589"/>
      <c r="Q159" s="1589"/>
    </row>
    <row r="160" spans="1:20" s="1690" customFormat="1" ht="15" customHeight="1">
      <c r="A160" s="1689"/>
      <c r="B160" s="1589"/>
      <c r="C160" s="1589"/>
      <c r="E160" s="1589"/>
      <c r="F160" s="1589"/>
      <c r="G160" s="1589"/>
      <c r="H160" s="1589"/>
      <c r="I160" s="1589"/>
      <c r="J160" s="1589"/>
      <c r="K160" s="1589"/>
      <c r="L160" s="1589"/>
      <c r="M160" s="1589"/>
      <c r="N160" s="1589"/>
      <c r="O160" s="1589"/>
      <c r="P160" s="1589"/>
      <c r="Q160" s="1589"/>
    </row>
    <row r="161" spans="1:17" s="1690" customFormat="1" ht="15" customHeight="1">
      <c r="A161" s="1689"/>
      <c r="B161" s="1589"/>
      <c r="C161" s="1589"/>
      <c r="E161" s="1589"/>
      <c r="F161" s="1589"/>
      <c r="G161" s="1589"/>
      <c r="H161" s="1589"/>
      <c r="I161" s="1589"/>
      <c r="J161" s="1589"/>
      <c r="K161" s="1589"/>
      <c r="L161" s="1589"/>
      <c r="M161" s="1589"/>
      <c r="N161" s="1589"/>
      <c r="O161" s="1589"/>
      <c r="P161" s="1589"/>
      <c r="Q161" s="1589"/>
    </row>
    <row r="162" spans="1:17" s="1690" customFormat="1" ht="15" customHeight="1">
      <c r="A162" s="1689"/>
      <c r="B162" s="1589"/>
      <c r="C162" s="1589"/>
      <c r="E162" s="1589"/>
      <c r="F162" s="1589"/>
      <c r="G162" s="1589"/>
      <c r="H162" s="1589"/>
      <c r="I162" s="1589"/>
      <c r="J162" s="1589"/>
      <c r="K162" s="1589"/>
      <c r="L162" s="1589"/>
      <c r="M162" s="1589"/>
      <c r="N162" s="1589"/>
      <c r="O162" s="1589"/>
      <c r="P162" s="1589"/>
      <c r="Q162" s="1589"/>
    </row>
    <row r="163" spans="1:17" s="1690" customFormat="1" ht="15" customHeight="1">
      <c r="A163" s="1689"/>
      <c r="B163" s="1589"/>
      <c r="C163" s="1589"/>
      <c r="E163" s="1589"/>
      <c r="F163" s="1589"/>
      <c r="G163" s="1589"/>
      <c r="H163" s="1589"/>
      <c r="I163" s="1589"/>
      <c r="J163" s="1589"/>
      <c r="K163" s="1589"/>
      <c r="L163" s="1589"/>
      <c r="M163" s="1589"/>
      <c r="N163" s="1589"/>
      <c r="O163" s="1589"/>
      <c r="P163" s="1589"/>
      <c r="Q163" s="1589"/>
    </row>
    <row r="164" spans="1:17" s="1690" customFormat="1" ht="15" customHeight="1">
      <c r="A164" s="1689"/>
      <c r="B164" s="1589"/>
      <c r="C164" s="1589"/>
      <c r="E164" s="1589"/>
      <c r="F164" s="1589"/>
      <c r="G164" s="1589"/>
      <c r="H164" s="1589"/>
      <c r="I164" s="1589"/>
      <c r="J164" s="1589"/>
      <c r="K164" s="1589"/>
      <c r="L164" s="1589"/>
      <c r="M164" s="1589"/>
      <c r="N164" s="1589"/>
      <c r="O164" s="1589"/>
      <c r="P164" s="1589"/>
      <c r="Q164" s="1589"/>
    </row>
    <row r="165" spans="1:17" s="1690" customFormat="1" ht="15" customHeight="1">
      <c r="A165" s="1689"/>
      <c r="B165" s="1589"/>
      <c r="C165" s="1589"/>
      <c r="E165" s="1589"/>
      <c r="F165" s="1589"/>
      <c r="G165" s="1589"/>
      <c r="H165" s="1589"/>
      <c r="I165" s="1589"/>
      <c r="J165" s="1589"/>
      <c r="K165" s="1589"/>
      <c r="L165" s="1589"/>
      <c r="M165" s="1589"/>
      <c r="N165" s="1589"/>
      <c r="O165" s="1589"/>
      <c r="P165" s="1589"/>
      <c r="Q165" s="1589"/>
    </row>
    <row r="166" spans="1:17" s="1690" customFormat="1" ht="15" customHeight="1">
      <c r="A166" s="1689"/>
      <c r="B166" s="1589"/>
      <c r="C166" s="1589"/>
      <c r="E166" s="1589"/>
      <c r="F166" s="1589"/>
      <c r="G166" s="1589"/>
      <c r="H166" s="1589"/>
      <c r="I166" s="1589"/>
      <c r="J166" s="1589"/>
      <c r="K166" s="1589"/>
      <c r="L166" s="1589"/>
      <c r="M166" s="1589"/>
      <c r="N166" s="1589"/>
      <c r="O166" s="1589"/>
      <c r="P166" s="1589"/>
      <c r="Q166" s="1589"/>
    </row>
    <row r="167" spans="1:17" s="1690" customFormat="1" ht="15" customHeight="1">
      <c r="A167" s="1689"/>
      <c r="B167" s="1589"/>
      <c r="C167" s="1589"/>
      <c r="E167" s="1589"/>
      <c r="F167" s="1589"/>
      <c r="G167" s="1589"/>
      <c r="H167" s="1589"/>
      <c r="I167" s="1589"/>
      <c r="J167" s="1589"/>
      <c r="K167" s="1589"/>
      <c r="L167" s="1589"/>
      <c r="M167" s="1589"/>
      <c r="N167" s="1589"/>
      <c r="O167" s="1589"/>
      <c r="P167" s="1589"/>
      <c r="Q167" s="1589"/>
    </row>
    <row r="168" spans="1:17" s="1690" customFormat="1" ht="15" customHeight="1">
      <c r="A168" s="1689"/>
      <c r="B168" s="1589"/>
      <c r="C168" s="1589"/>
      <c r="E168" s="1589"/>
      <c r="F168" s="1589"/>
      <c r="G168" s="1589"/>
      <c r="H168" s="1589"/>
      <c r="I168" s="1589"/>
      <c r="J168" s="1589"/>
      <c r="K168" s="1589"/>
      <c r="L168" s="1589"/>
      <c r="M168" s="1589"/>
      <c r="N168" s="1589"/>
      <c r="O168" s="1589"/>
      <c r="P168" s="1589"/>
      <c r="Q168" s="1589"/>
    </row>
    <row r="169" spans="1:17" s="1690" customFormat="1" ht="15" customHeight="1">
      <c r="A169" s="1689"/>
      <c r="B169" s="1589"/>
      <c r="C169" s="1589"/>
      <c r="E169" s="1589"/>
      <c r="F169" s="1589"/>
      <c r="G169" s="1589"/>
      <c r="H169" s="1589"/>
      <c r="I169" s="1589"/>
      <c r="J169" s="1589"/>
      <c r="K169" s="1589"/>
      <c r="L169" s="1589"/>
      <c r="M169" s="1589"/>
      <c r="N169" s="1589"/>
      <c r="O169" s="1589"/>
      <c r="P169" s="1589"/>
      <c r="Q169" s="1589"/>
    </row>
    <row r="170" spans="1:17" s="1690" customFormat="1" ht="15" customHeight="1">
      <c r="A170" s="1689"/>
      <c r="B170" s="1589"/>
      <c r="C170" s="1589"/>
      <c r="E170" s="1589"/>
      <c r="F170" s="1589"/>
      <c r="G170" s="1589"/>
      <c r="H170" s="1589"/>
      <c r="I170" s="1589"/>
      <c r="J170" s="1589"/>
      <c r="K170" s="1589"/>
      <c r="L170" s="1589"/>
      <c r="M170" s="1589"/>
      <c r="N170" s="1589"/>
      <c r="O170" s="1589"/>
      <c r="P170" s="1589"/>
      <c r="Q170" s="1589"/>
    </row>
    <row r="171" spans="1:17" s="1690" customFormat="1" ht="15" customHeight="1">
      <c r="A171" s="1689"/>
      <c r="B171" s="1589"/>
      <c r="C171" s="1589"/>
      <c r="E171" s="1589"/>
      <c r="F171" s="1589"/>
      <c r="G171" s="1589"/>
      <c r="H171" s="1589"/>
      <c r="I171" s="1589"/>
      <c r="J171" s="1589"/>
      <c r="K171" s="1589"/>
      <c r="L171" s="1589"/>
      <c r="M171" s="1589"/>
      <c r="N171" s="1589"/>
      <c r="O171" s="1589"/>
      <c r="P171" s="1589"/>
      <c r="Q171" s="1589"/>
    </row>
    <row r="172" spans="1:17" s="1690" customFormat="1" ht="15" customHeight="1">
      <c r="A172" s="1689"/>
      <c r="B172" s="1589"/>
      <c r="C172" s="1589"/>
      <c r="E172" s="1589"/>
      <c r="F172" s="1589"/>
      <c r="G172" s="1589"/>
      <c r="H172" s="1589"/>
      <c r="I172" s="1589"/>
      <c r="J172" s="1589"/>
      <c r="K172" s="1589"/>
      <c r="L172" s="1589"/>
      <c r="M172" s="1589"/>
      <c r="N172" s="1589"/>
      <c r="O172" s="1589"/>
      <c r="P172" s="1589"/>
      <c r="Q172" s="1589"/>
    </row>
    <row r="173" spans="1:17" s="1690" customFormat="1" ht="15" customHeight="1">
      <c r="A173" s="1689"/>
      <c r="B173" s="1589"/>
      <c r="C173" s="1589"/>
      <c r="E173" s="1589"/>
      <c r="F173" s="1589"/>
      <c r="G173" s="1589"/>
      <c r="H173" s="1589"/>
      <c r="I173" s="1589"/>
      <c r="J173" s="1589"/>
      <c r="K173" s="1589"/>
      <c r="L173" s="1589"/>
      <c r="M173" s="1589"/>
      <c r="N173" s="1589"/>
      <c r="O173" s="1589"/>
      <c r="P173" s="1589"/>
      <c r="Q173" s="1589"/>
    </row>
    <row r="174" spans="1:17" s="1690" customFormat="1" ht="15" customHeight="1">
      <c r="A174" s="1689"/>
      <c r="B174" s="1589"/>
      <c r="C174" s="1589"/>
      <c r="E174" s="1589"/>
      <c r="F174" s="1589"/>
      <c r="G174" s="1589"/>
      <c r="H174" s="1589"/>
      <c r="I174" s="1589"/>
      <c r="J174" s="1589"/>
      <c r="K174" s="1589"/>
      <c r="L174" s="1589"/>
      <c r="M174" s="1589"/>
      <c r="N174" s="1589"/>
      <c r="O174" s="1589"/>
      <c r="P174" s="1589"/>
      <c r="Q174" s="1589"/>
    </row>
    <row r="175" spans="1:17" s="1690" customFormat="1" ht="15" customHeight="1">
      <c r="A175" s="1689"/>
      <c r="B175" s="1589"/>
      <c r="C175" s="1589"/>
      <c r="E175" s="1589"/>
      <c r="F175" s="1589"/>
      <c r="G175" s="1589"/>
      <c r="H175" s="1589"/>
      <c r="I175" s="1589"/>
      <c r="J175" s="1589"/>
      <c r="K175" s="1589"/>
      <c r="L175" s="1589"/>
      <c r="M175" s="1589"/>
      <c r="N175" s="1589"/>
      <c r="O175" s="1589"/>
      <c r="P175" s="1589"/>
      <c r="Q175" s="1589"/>
    </row>
    <row r="176" spans="1:17" s="1690" customFormat="1" ht="15" customHeight="1">
      <c r="A176" s="1689"/>
      <c r="B176" s="1589"/>
      <c r="C176" s="1589"/>
      <c r="E176" s="1589"/>
      <c r="F176" s="1589"/>
      <c r="G176" s="1589"/>
      <c r="H176" s="1589"/>
      <c r="I176" s="1589"/>
      <c r="J176" s="1589"/>
      <c r="K176" s="1589"/>
      <c r="L176" s="1589"/>
      <c r="M176" s="1589"/>
      <c r="N176" s="1589"/>
      <c r="O176" s="1589"/>
      <c r="P176" s="1589"/>
      <c r="Q176" s="1589"/>
    </row>
    <row r="177" spans="1:23" s="1690" customFormat="1" ht="15" customHeight="1">
      <c r="A177" s="1689"/>
      <c r="B177" s="1589"/>
      <c r="C177" s="1589"/>
      <c r="E177" s="1589"/>
      <c r="F177" s="1589"/>
      <c r="G177" s="1589"/>
      <c r="H177" s="1589"/>
      <c r="I177" s="1589"/>
      <c r="J177" s="1589"/>
      <c r="K177" s="1589"/>
      <c r="L177" s="1589"/>
      <c r="M177" s="1589"/>
      <c r="N177" s="1589"/>
      <c r="O177" s="1589"/>
      <c r="P177" s="1589"/>
      <c r="Q177" s="1589"/>
    </row>
    <row r="178" spans="1:23" s="1690" customFormat="1" ht="15" customHeight="1">
      <c r="A178" s="1689"/>
      <c r="B178" s="1589"/>
      <c r="C178" s="1589"/>
      <c r="E178" s="1589"/>
      <c r="F178" s="1589"/>
      <c r="G178" s="1589"/>
      <c r="H178" s="1589"/>
      <c r="I178" s="1589"/>
      <c r="J178" s="1589"/>
      <c r="K178" s="1589"/>
      <c r="L178" s="1589"/>
      <c r="M178" s="1589"/>
      <c r="N178" s="1589"/>
      <c r="O178" s="1589"/>
      <c r="P178" s="1589"/>
      <c r="Q178" s="1589"/>
    </row>
    <row r="179" spans="1:23" s="1690" customFormat="1" ht="15" customHeight="1">
      <c r="A179" s="1689"/>
      <c r="B179" s="1589"/>
      <c r="C179" s="1589"/>
      <c r="E179" s="1589"/>
      <c r="F179" s="1589"/>
      <c r="G179" s="1589"/>
      <c r="H179" s="1589"/>
      <c r="I179" s="1589"/>
      <c r="J179" s="1589"/>
      <c r="K179" s="1589"/>
      <c r="L179" s="1589"/>
      <c r="M179" s="1589"/>
      <c r="N179" s="1589"/>
      <c r="O179" s="1589"/>
      <c r="P179" s="1589"/>
      <c r="Q179" s="1589"/>
    </row>
    <row r="180" spans="1:23" s="1690" customFormat="1" ht="15" customHeight="1">
      <c r="A180" s="1689"/>
      <c r="B180" s="1589"/>
      <c r="C180" s="1589"/>
      <c r="E180" s="1589"/>
      <c r="F180" s="1589"/>
      <c r="G180" s="1589"/>
      <c r="H180" s="1589"/>
      <c r="I180" s="1589"/>
      <c r="J180" s="1589"/>
      <c r="K180" s="1589"/>
      <c r="L180" s="1589"/>
      <c r="M180" s="1589"/>
      <c r="N180" s="1589"/>
      <c r="O180" s="1589"/>
      <c r="P180" s="1589"/>
      <c r="Q180" s="1589"/>
    </row>
    <row r="181" spans="1:23" s="1690" customFormat="1" ht="15" customHeight="1">
      <c r="A181" s="1689"/>
      <c r="B181" s="1589"/>
      <c r="C181" s="1589"/>
      <c r="E181" s="1589"/>
      <c r="F181" s="1589"/>
      <c r="G181" s="1589"/>
      <c r="H181" s="1589"/>
      <c r="I181" s="1589"/>
      <c r="J181" s="1589"/>
      <c r="K181" s="1589"/>
      <c r="L181" s="1589"/>
      <c r="M181" s="1589"/>
      <c r="N181" s="1589"/>
      <c r="O181" s="1589"/>
      <c r="P181" s="1589"/>
      <c r="Q181" s="1589"/>
    </row>
    <row r="182" spans="1:23" s="1690" customFormat="1" ht="15" customHeight="1">
      <c r="A182" s="1689"/>
      <c r="B182" s="1589"/>
      <c r="C182" s="1589"/>
      <c r="E182" s="1589"/>
      <c r="F182" s="1589"/>
      <c r="G182" s="1589"/>
      <c r="H182" s="1589"/>
      <c r="I182" s="1589"/>
      <c r="J182" s="1589"/>
      <c r="K182" s="1589"/>
      <c r="L182" s="1589"/>
      <c r="M182" s="1589"/>
      <c r="N182" s="1589"/>
      <c r="O182" s="1589"/>
      <c r="P182" s="1589"/>
      <c r="Q182" s="1589"/>
    </row>
    <row r="183" spans="1:23" s="1690" customFormat="1" ht="15" customHeight="1">
      <c r="A183" s="1689"/>
      <c r="B183" s="1589"/>
      <c r="C183" s="1589"/>
      <c r="E183" s="1589"/>
      <c r="F183" s="1589"/>
      <c r="G183" s="1589"/>
      <c r="H183" s="1589"/>
      <c r="I183" s="1589"/>
      <c r="J183" s="1589"/>
      <c r="K183" s="1589"/>
      <c r="L183" s="1589"/>
      <c r="M183" s="1589"/>
      <c r="N183" s="1589"/>
      <c r="O183" s="1589"/>
      <c r="P183" s="1589"/>
      <c r="Q183" s="1589"/>
    </row>
    <row r="184" spans="1:23" ht="15" customHeight="1">
      <c r="B184" s="1692"/>
      <c r="C184" s="1692"/>
      <c r="E184" s="1692"/>
      <c r="F184" s="1692"/>
      <c r="G184" s="1692"/>
      <c r="H184" s="1692"/>
      <c r="I184" s="1692"/>
      <c r="J184" s="1692"/>
      <c r="K184" s="1692"/>
      <c r="L184" s="1692"/>
      <c r="M184" s="1692"/>
      <c r="N184" s="1692"/>
      <c r="O184" s="1692"/>
      <c r="P184" s="1692"/>
      <c r="Q184" s="1692"/>
      <c r="R184" s="1693"/>
      <c r="S184" s="1693"/>
      <c r="T184" s="1693"/>
      <c r="U184" s="1693"/>
      <c r="V184" s="1693"/>
      <c r="W184" s="1693"/>
    </row>
    <row r="185" spans="1:23" ht="15" customHeight="1">
      <c r="B185" s="1692"/>
      <c r="C185" s="1692"/>
      <c r="E185" s="1692"/>
      <c r="F185" s="1692"/>
      <c r="G185" s="1692"/>
      <c r="H185" s="1692"/>
      <c r="I185" s="1692"/>
      <c r="J185" s="1692"/>
      <c r="K185" s="1692"/>
      <c r="L185" s="1692"/>
      <c r="M185" s="1692"/>
    </row>
    <row r="186" spans="1:23">
      <c r="B186" s="1692"/>
      <c r="C186" s="1692"/>
      <c r="E186" s="1692"/>
      <c r="F186" s="1692"/>
      <c r="G186" s="1692"/>
      <c r="H186" s="1692"/>
      <c r="I186" s="1692"/>
      <c r="J186" s="1692"/>
      <c r="K186" s="1692"/>
      <c r="L186" s="1692"/>
      <c r="M186" s="1692"/>
    </row>
    <row r="187" spans="1:23">
      <c r="B187" s="1692"/>
      <c r="C187" s="1692"/>
      <c r="E187" s="1692"/>
      <c r="F187" s="1692"/>
      <c r="G187" s="1692"/>
      <c r="H187" s="1692"/>
      <c r="I187" s="1692"/>
      <c r="J187" s="1692"/>
      <c r="K187" s="1692"/>
      <c r="L187" s="1692"/>
      <c r="M187" s="1692"/>
    </row>
  </sheetData>
  <mergeCells count="29">
    <mergeCell ref="B23:B28"/>
    <mergeCell ref="B29:B34"/>
    <mergeCell ref="B43:B44"/>
    <mergeCell ref="B45:B46"/>
    <mergeCell ref="B10:B11"/>
    <mergeCell ref="B12:B13"/>
    <mergeCell ref="B14:B16"/>
    <mergeCell ref="B17:B22"/>
    <mergeCell ref="B83:B88"/>
    <mergeCell ref="B47:B49"/>
    <mergeCell ref="B50:B55"/>
    <mergeCell ref="B56:B61"/>
    <mergeCell ref="B62:B67"/>
    <mergeCell ref="B7:C9"/>
    <mergeCell ref="B40:C42"/>
    <mergeCell ref="B106:C108"/>
    <mergeCell ref="B73:C75"/>
    <mergeCell ref="B142:C144"/>
    <mergeCell ref="B121:B124"/>
    <mergeCell ref="B125:B128"/>
    <mergeCell ref="B130:B133"/>
    <mergeCell ref="B134:B137"/>
    <mergeCell ref="B89:B94"/>
    <mergeCell ref="B95:B100"/>
    <mergeCell ref="B109:B114"/>
    <mergeCell ref="B115:B120"/>
    <mergeCell ref="B76:B77"/>
    <mergeCell ref="B78:B79"/>
    <mergeCell ref="B80:B82"/>
  </mergeCells>
  <phoneticPr fontId="0" type="noConversion"/>
  <dataValidations count="1">
    <dataValidation type="decimal" operator="greaterThanOrEqual" showInputMessage="1" showErrorMessage="1" sqref="D43:M69 D10:M36 D76:M101">
      <formula1>0</formula1>
    </dataValidation>
  </dataValidations>
  <hyperlinks>
    <hyperlink ref="F1" location="Inputs!A1" display="Index"/>
  </hyperlinks>
  <pageMargins left="0.7" right="0.7" top="0.75" bottom="0.75" header="0.3" footer="0.3"/>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27</DocumentCategory>
    <DateLastActivated1 xmlns="c7312139-f4c2-453d-a4c8-c631b6303d87">2014-10-30T09:22:19+00:00</DateLastActivated1>
    <Commitees xmlns="c7312139-f4c2-453d-a4c8-c631b6303d87"/>
    <DocNotes xmlns="c7312139-f4c2-453d-a4c8-c631b6303d87" xsi:nil="true"/>
    <Activities xmlns="c7312139-f4c2-453d-a4c8-c631b6303d87"/>
    <Issues xmlns="c7312139-f4c2-453d-a4c8-c631b6303d87"/>
    <PublishDate xmlns="c7312139-f4c2-453d-a4c8-c631b6303d87">2014-03-31T23:00:00+00:00</PublishDate>
    <ChangeProposal1 xmlns="c7312139-f4c2-453d-a4c8-c631b6303d87"/>
    <Confidential1 xmlns="c7312139-f4c2-453d-a4c8-c631b6303d87">false</Confidential1>
    <DocType xmlns="c7312139-f4c2-453d-a4c8-c631b6303d87">11</DocType>
    <Restricted xmlns="830862f3-40c2-43d5-9778-1909aaa95bc7">false</Restricted>
    <DateLastDeactivated1 xmlns="c7312139-f4c2-453d-a4c8-c631b6303d87" xsi:nil="true"/>
    <DocVersion xmlns="c7312139-f4c2-453d-a4c8-c631b6303d87">1.0</DocVersion>
    <Archived xmlns="c7312139-f4c2-453d-a4c8-c631b6303d87">false</Archived>
    <SQLID xmlns="c7312139-f4c2-453d-a4c8-c631b6303d8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2" ma:contentTypeDescription="Create a new document." ma:contentTypeScope="" ma:versionID="2bd73b99a261c4fe1bbf43baf143f4bd">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1218209dd55e9575dcd0b9e0abec456c"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7B5071-9C85-4C4A-9A2F-6C6A4CB115CD}">
  <ds:schemaRefs>
    <ds:schemaRef ds:uri="http://purl.org/dc/terms/"/>
    <ds:schemaRef ds:uri="http://purl.org/dc/dcmitype/"/>
    <ds:schemaRef ds:uri="http://schemas.microsoft.com/office/infopath/2007/PartnerControls"/>
    <ds:schemaRef ds:uri="c7312139-f4c2-453d-a4c8-c631b6303d87"/>
    <ds:schemaRef ds:uri="830862f3-40c2-43d5-9778-1909aaa95bc7"/>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931B24C-7EDE-4522-A423-16D6F1D101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0C1B46-63AD-4ACE-92B6-E21723CADA89}">
  <ds:schemaRefs>
    <ds:schemaRef ds:uri="http://schemas.microsoft.com/sharepoint/events"/>
  </ds:schemaRefs>
</ds:datastoreItem>
</file>

<file path=customXml/itemProps4.xml><?xml version="1.0" encoding="utf-8"?>
<ds:datastoreItem xmlns:ds="http://schemas.openxmlformats.org/officeDocument/2006/customXml" ds:itemID="{9C2ABE8F-BD82-411C-9029-C65536321D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vt:i4>
      </vt:variant>
    </vt:vector>
  </HeadingPairs>
  <TitlesOfParts>
    <vt:vector size="28" baseType="lpstr">
      <vt:lpstr>Index</vt:lpstr>
      <vt:lpstr>Inputs</vt:lpstr>
      <vt:lpstr>Allowed revenue -DPCR4</vt:lpstr>
      <vt:lpstr>FBPQ T4</vt:lpstr>
      <vt:lpstr>FBPQ LR1</vt:lpstr>
      <vt:lpstr>FBPQ LR1 - V5 opt3</vt:lpstr>
      <vt:lpstr>FBPQ LR4</vt:lpstr>
      <vt:lpstr>FBPQ LR6</vt:lpstr>
      <vt:lpstr>FBPQ NL1</vt:lpstr>
      <vt:lpstr>NL9 - Legal &amp; Safety</vt:lpstr>
      <vt:lpstr>FBPQ C2</vt:lpstr>
      <vt:lpstr>Reductions to net capex</vt:lpstr>
      <vt:lpstr>RRP 1.3</vt:lpstr>
      <vt:lpstr>RRP 2.3</vt:lpstr>
      <vt:lpstr>RRP 2.4</vt:lpstr>
      <vt:lpstr>RRP 2.6</vt:lpstr>
      <vt:lpstr>RRP 5.1</vt:lpstr>
      <vt:lpstr>Summary of revenue</vt:lpstr>
      <vt:lpstr>Data-MEAV</vt:lpstr>
      <vt:lpstr>Calc-MEAV</vt:lpstr>
      <vt:lpstr>Calc-Units</vt:lpstr>
      <vt:lpstr>Calc-Net capex</vt:lpstr>
      <vt:lpstr>Calc DNO Opex Allocation</vt:lpstr>
      <vt:lpstr>Calc-Drivers</vt:lpstr>
      <vt:lpstr>DNO Final Allocation</vt:lpstr>
      <vt:lpstr>Allocation Summary</vt:lpstr>
      <vt:lpstr>Results</vt:lpstr>
      <vt:lpstr>'RRP 5.1'!Print_Titles</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PCDM V2 0</dc:title>
  <dc:creator>Rosalind Timperley</dc:creator>
  <cp:lastModifiedBy>Duffus, Paul P.</cp:lastModifiedBy>
  <cp:lastPrinted>2014-12-05T11:12:10Z</cp:lastPrinted>
  <dcterms:created xsi:type="dcterms:W3CDTF">2009-07-13T08:35:25Z</dcterms:created>
  <dcterms:modified xsi:type="dcterms:W3CDTF">2014-12-05T11:12:14Z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y fmtid="{D5CDD505-2E9C-101B-9397-08002B2CF9AE}" pid="3" name="SV_QUERY_LIST_4F35BF76-6C0D-4D9B-82B2-816C12CF3733">
    <vt:lpwstr>empty_477D106A-C0D6-4607-AEBD-E2C9D60EA279</vt:lpwstr>
  </property>
</Properties>
</file>