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0" yWindow="0" windowWidth="19440" windowHeight="15600" tabRatio="913" firstSheet="16" activeTab="24"/>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RP 1.3" sheetId="18" r:id="rId12"/>
    <sheet name="RRP 2.3" sheetId="4" r:id="rId13"/>
    <sheet name="RRP 2.4" sheetId="3" r:id="rId14"/>
    <sheet name="RRP 2.6" sheetId="2" r:id="rId15"/>
    <sheet name="RRP 5.1" sheetId="1" r:id="rId16"/>
    <sheet name="Summary of revenue" sheetId="21" r:id="rId17"/>
    <sheet name="Calc-MEAV" sheetId="16" r:id="rId18"/>
    <sheet name="Calc-Units" sheetId="19" r:id="rId19"/>
    <sheet name="Calc-Net capex" sheetId="12" r:id="rId20"/>
    <sheet name="Calc DNO Opex Allocation" sheetId="13" r:id="rId21"/>
    <sheet name="Calc-Drivers" sheetId="7" r:id="rId22"/>
    <sheet name="DNO Final Allocation" sheetId="17" r:id="rId23"/>
    <sheet name="Allocation Summary" sheetId="23" r:id="rId24"/>
    <sheet name="Results" sheetId="36" r:id="rId25"/>
  </sheets>
  <externalReferences>
    <externalReference r:id="rId26"/>
    <externalReference r:id="rId27"/>
    <externalReference r:id="rId28"/>
    <externalReference r:id="rId29"/>
    <externalReference r:id="rId30"/>
  </externalReferences>
  <definedNames>
    <definedName name="_xlnm._FilterDatabase" localSheetId="0" hidden="1">Index!$A$9:$B$33</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5">'RRP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32" i="7" l="1"/>
  <c r="E152" i="16" l="1"/>
  <c r="E151" i="16"/>
  <c r="E148" i="16"/>
  <c r="E147" i="16"/>
  <c r="E146" i="16"/>
  <c r="E145" i="16"/>
  <c r="E141" i="16"/>
  <c r="E134" i="16"/>
  <c r="E119" i="16"/>
  <c r="E117" i="16"/>
  <c r="E112" i="16"/>
  <c r="E110" i="16"/>
  <c r="E96" i="16"/>
  <c r="E64" i="16"/>
  <c r="E75" i="3" l="1"/>
  <c r="K34" i="4"/>
  <c r="I34" i="4"/>
  <c r="F34" i="4"/>
  <c r="E34" i="4"/>
  <c r="G33" i="4"/>
  <c r="G31" i="4"/>
  <c r="G30" i="4"/>
  <c r="G28" i="4"/>
  <c r="G27" i="4"/>
  <c r="G26" i="4"/>
  <c r="G25" i="4"/>
  <c r="G24" i="4"/>
  <c r="G23" i="4"/>
  <c r="G22" i="4"/>
  <c r="G21" i="4"/>
  <c r="G20" i="4"/>
  <c r="G19" i="4"/>
  <c r="G18" i="4"/>
  <c r="G17" i="4"/>
  <c r="G14" i="4"/>
  <c r="G13" i="4"/>
  <c r="G11" i="4"/>
  <c r="G34" i="4" s="1"/>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K110" i="28"/>
  <c r="C110" i="28"/>
  <c r="S109" i="28"/>
  <c r="G99" i="28" s="1"/>
  <c r="H99" i="28" s="1"/>
  <c r="K109" i="28"/>
  <c r="C109" i="28"/>
  <c r="D99" i="28" s="1"/>
  <c r="C99" i="28" s="1"/>
  <c r="S108" i="28"/>
  <c r="K108" i="28"/>
  <c r="K111" i="28" s="1"/>
  <c r="C108" i="28"/>
  <c r="S107" i="28"/>
  <c r="G97" i="28" s="1"/>
  <c r="G101" i="28" s="1"/>
  <c r="K107" i="28"/>
  <c r="C107" i="28"/>
  <c r="D97" i="28" s="1"/>
  <c r="E101" i="28"/>
  <c r="G100" i="28"/>
  <c r="F100" i="28"/>
  <c r="H100" i="28" s="1"/>
  <c r="D100" i="28"/>
  <c r="C100" i="28" s="1"/>
  <c r="F99" i="28"/>
  <c r="G98" i="28"/>
  <c r="D98" i="28"/>
  <c r="C98" i="28" s="1"/>
  <c r="F97" i="28"/>
  <c r="H97" i="28" s="1"/>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C82" i="28"/>
  <c r="S81" i="28"/>
  <c r="S83" i="28" s="1"/>
  <c r="K81" i="28"/>
  <c r="C81" i="28"/>
  <c r="S80" i="28"/>
  <c r="K80" i="28"/>
  <c r="K83" i="28" s="1"/>
  <c r="C80" i="28"/>
  <c r="S79" i="28"/>
  <c r="K79" i="28"/>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C64" i="28"/>
  <c r="S63" i="28"/>
  <c r="S65" i="28" s="1"/>
  <c r="K63" i="28"/>
  <c r="C63" i="28"/>
  <c r="S62" i="28"/>
  <c r="K62" i="28"/>
  <c r="K65" i="28" s="1"/>
  <c r="C62" i="28"/>
  <c r="S61" i="28"/>
  <c r="K61" i="28"/>
  <c r="C61" i="28"/>
  <c r="C65" i="28" s="1"/>
  <c r="H55" i="28"/>
  <c r="G55" i="28"/>
  <c r="F55" i="28"/>
  <c r="E55" i="28"/>
  <c r="D55" i="28"/>
  <c r="C55" i="28"/>
  <c r="M46" i="28"/>
  <c r="L46" i="28"/>
  <c r="L10" i="28" s="1"/>
  <c r="L25" i="28" s="1"/>
  <c r="K46" i="28"/>
  <c r="K10" i="28" s="1"/>
  <c r="K25" i="28" s="1"/>
  <c r="J46" i="28"/>
  <c r="I46" i="28"/>
  <c r="H46" i="28"/>
  <c r="H10" i="28" s="1"/>
  <c r="H25" i="28" s="1"/>
  <c r="G46" i="28"/>
  <c r="G10" i="28" s="1"/>
  <c r="G25" i="28" s="1"/>
  <c r="F46" i="28"/>
  <c r="E46" i="28"/>
  <c r="D46" i="28"/>
  <c r="D10" i="28" s="1"/>
  <c r="D25" i="28" s="1"/>
  <c r="M37" i="28"/>
  <c r="L37" i="28"/>
  <c r="K37" i="28"/>
  <c r="J37" i="28"/>
  <c r="I37" i="28"/>
  <c r="H37" i="28"/>
  <c r="G37" i="28"/>
  <c r="F37" i="28"/>
  <c r="E37" i="28"/>
  <c r="D37" i="28"/>
  <c r="M10" i="28"/>
  <c r="M25" i="28" s="1"/>
  <c r="J10" i="28"/>
  <c r="J25" i="28" s="1"/>
  <c r="I10" i="28"/>
  <c r="I25" i="28" s="1"/>
  <c r="F10" i="28"/>
  <c r="F25" i="28" s="1"/>
  <c r="E10" i="28"/>
  <c r="E25" i="28" s="1"/>
  <c r="S153" i="6"/>
  <c r="Q153" i="6"/>
  <c r="T153" i="6" s="1"/>
  <c r="P153" i="6"/>
  <c r="O153" i="6"/>
  <c r="T152" i="6"/>
  <c r="S152" i="6"/>
  <c r="Q152" i="6"/>
  <c r="P152" i="6"/>
  <c r="O152" i="6"/>
  <c r="T151" i="6"/>
  <c r="S151" i="6"/>
  <c r="Q151" i="6"/>
  <c r="P151" i="6"/>
  <c r="O151" i="6"/>
  <c r="S148" i="6"/>
  <c r="Q148" i="6"/>
  <c r="T148" i="6" s="1"/>
  <c r="P148" i="6"/>
  <c r="O148" i="6"/>
  <c r="S147" i="6"/>
  <c r="Q147" i="6"/>
  <c r="T147" i="6" s="1"/>
  <c r="P147" i="6"/>
  <c r="O147" i="6"/>
  <c r="T146" i="6"/>
  <c r="S146" i="6"/>
  <c r="Q146" i="6"/>
  <c r="P146" i="6"/>
  <c r="O146" i="6"/>
  <c r="T138" i="6"/>
  <c r="S138" i="6"/>
  <c r="Q138" i="6"/>
  <c r="P138" i="6"/>
  <c r="O138" i="6"/>
  <c r="S137" i="6"/>
  <c r="Q137" i="6"/>
  <c r="T137" i="6" s="1"/>
  <c r="P137" i="6"/>
  <c r="O137" i="6"/>
  <c r="S136" i="6"/>
  <c r="Q136" i="6"/>
  <c r="T136" i="6" s="1"/>
  <c r="P136" i="6"/>
  <c r="O136" i="6"/>
  <c r="S135" i="6"/>
  <c r="T135" i="6" s="1"/>
  <c r="Q135" i="6"/>
  <c r="P135" i="6"/>
  <c r="O135" i="6"/>
  <c r="T134" i="6"/>
  <c r="S134" i="6"/>
  <c r="Q134" i="6"/>
  <c r="P134" i="6"/>
  <c r="O134" i="6"/>
  <c r="S133" i="6"/>
  <c r="Q133" i="6"/>
  <c r="T133" i="6" s="1"/>
  <c r="P133" i="6"/>
  <c r="O133" i="6"/>
  <c r="S132" i="6"/>
  <c r="Q132" i="6"/>
  <c r="T132" i="6" s="1"/>
  <c r="P132" i="6"/>
  <c r="O132" i="6"/>
  <c r="T131" i="6"/>
  <c r="S131" i="6"/>
  <c r="Q131" i="6"/>
  <c r="P131" i="6"/>
  <c r="O131" i="6"/>
  <c r="T130" i="6"/>
  <c r="S130" i="6"/>
  <c r="Q130" i="6"/>
  <c r="P130" i="6"/>
  <c r="O130" i="6"/>
  <c r="S129" i="6"/>
  <c r="Q129" i="6"/>
  <c r="T129" i="6" s="1"/>
  <c r="P129" i="6"/>
  <c r="O129" i="6"/>
  <c r="S128" i="6"/>
  <c r="Q128" i="6"/>
  <c r="T128" i="6" s="1"/>
  <c r="P128" i="6"/>
  <c r="O128" i="6"/>
  <c r="T127" i="6"/>
  <c r="S127" i="6"/>
  <c r="Q127" i="6"/>
  <c r="P127" i="6"/>
  <c r="O127" i="6"/>
  <c r="T126" i="6"/>
  <c r="S126" i="6"/>
  <c r="Q126" i="6"/>
  <c r="P126" i="6"/>
  <c r="O126" i="6"/>
  <c r="S125" i="6"/>
  <c r="Q125" i="6"/>
  <c r="T125" i="6" s="1"/>
  <c r="P125" i="6"/>
  <c r="O125" i="6"/>
  <c r="S124" i="6"/>
  <c r="Q124" i="6"/>
  <c r="T124" i="6" s="1"/>
  <c r="P124" i="6"/>
  <c r="O124" i="6"/>
  <c r="T123" i="6"/>
  <c r="S123" i="6"/>
  <c r="Q123" i="6"/>
  <c r="P123" i="6"/>
  <c r="O123" i="6"/>
  <c r="T122" i="6"/>
  <c r="S122" i="6"/>
  <c r="Q122" i="6"/>
  <c r="P122" i="6"/>
  <c r="O122" i="6"/>
  <c r="S121" i="6"/>
  <c r="Q121" i="6"/>
  <c r="T121" i="6" s="1"/>
  <c r="P121" i="6"/>
  <c r="O121" i="6"/>
  <c r="S120" i="6"/>
  <c r="Q120" i="6"/>
  <c r="T120" i="6" s="1"/>
  <c r="P120" i="6"/>
  <c r="O120" i="6"/>
  <c r="T119" i="6"/>
  <c r="S119" i="6"/>
  <c r="Q119" i="6"/>
  <c r="P119" i="6"/>
  <c r="O119" i="6"/>
  <c r="T118" i="6"/>
  <c r="S118" i="6"/>
  <c r="Q118" i="6"/>
  <c r="P118" i="6"/>
  <c r="O118" i="6"/>
  <c r="S117" i="6"/>
  <c r="Q117" i="6"/>
  <c r="T117" i="6" s="1"/>
  <c r="P117" i="6"/>
  <c r="O117" i="6"/>
  <c r="S116" i="6"/>
  <c r="Q116" i="6"/>
  <c r="T116" i="6" s="1"/>
  <c r="P116" i="6"/>
  <c r="O116" i="6"/>
  <c r="S115" i="6"/>
  <c r="T115" i="6" s="1"/>
  <c r="Q115" i="6"/>
  <c r="P115" i="6"/>
  <c r="O115" i="6"/>
  <c r="T114" i="6"/>
  <c r="S114" i="6"/>
  <c r="Q114" i="6"/>
  <c r="P114" i="6"/>
  <c r="O114" i="6"/>
  <c r="S113" i="6"/>
  <c r="Q113" i="6"/>
  <c r="T113" i="6" s="1"/>
  <c r="P113" i="6"/>
  <c r="O113" i="6"/>
  <c r="S112" i="6"/>
  <c r="Q112" i="6"/>
  <c r="T112" i="6" s="1"/>
  <c r="P112" i="6"/>
  <c r="O112" i="6"/>
  <c r="S111" i="6"/>
  <c r="T111" i="6" s="1"/>
  <c r="Q111" i="6"/>
  <c r="P111" i="6"/>
  <c r="O111" i="6"/>
  <c r="T110" i="6"/>
  <c r="S110" i="6"/>
  <c r="Q110" i="6"/>
  <c r="P110" i="6"/>
  <c r="O110" i="6"/>
  <c r="S109" i="6"/>
  <c r="Q109" i="6"/>
  <c r="T109" i="6" s="1"/>
  <c r="P109" i="6"/>
  <c r="O109" i="6"/>
  <c r="S101" i="6"/>
  <c r="Q101" i="6"/>
  <c r="T101" i="6" s="1"/>
  <c r="P101" i="6"/>
  <c r="O101" i="6"/>
  <c r="T100" i="6"/>
  <c r="S100" i="6"/>
  <c r="Q100" i="6"/>
  <c r="P100" i="6"/>
  <c r="O100" i="6"/>
  <c r="T99" i="6"/>
  <c r="S99" i="6"/>
  <c r="Q99" i="6"/>
  <c r="P99" i="6"/>
  <c r="O99" i="6"/>
  <c r="S98" i="6"/>
  <c r="Q98" i="6"/>
  <c r="T98" i="6" s="1"/>
  <c r="P98" i="6"/>
  <c r="O98" i="6"/>
  <c r="S97" i="6"/>
  <c r="Q97" i="6"/>
  <c r="T97" i="6" s="1"/>
  <c r="P97" i="6"/>
  <c r="O97" i="6"/>
  <c r="T96" i="6"/>
  <c r="S96" i="6"/>
  <c r="Q96" i="6"/>
  <c r="P96" i="6"/>
  <c r="O96" i="6"/>
  <c r="T95" i="6"/>
  <c r="S95" i="6"/>
  <c r="Q95" i="6"/>
  <c r="P95" i="6"/>
  <c r="O95" i="6"/>
  <c r="S94" i="6"/>
  <c r="Q94" i="6"/>
  <c r="T94" i="6" s="1"/>
  <c r="P94" i="6"/>
  <c r="O94" i="6"/>
  <c r="S93" i="6"/>
  <c r="Q93" i="6"/>
  <c r="T93" i="6" s="1"/>
  <c r="P93" i="6"/>
  <c r="O93" i="6"/>
  <c r="T92" i="6"/>
  <c r="S92" i="6"/>
  <c r="Q92" i="6"/>
  <c r="P92" i="6"/>
  <c r="O92" i="6"/>
  <c r="T91" i="6"/>
  <c r="S91" i="6"/>
  <c r="Q91" i="6"/>
  <c r="P91" i="6"/>
  <c r="O91" i="6"/>
  <c r="S90" i="6"/>
  <c r="Q90" i="6"/>
  <c r="T90" i="6" s="1"/>
  <c r="P90" i="6"/>
  <c r="O90" i="6"/>
  <c r="S89" i="6"/>
  <c r="Q89" i="6"/>
  <c r="T89" i="6" s="1"/>
  <c r="P89" i="6"/>
  <c r="O89" i="6"/>
  <c r="S88" i="6"/>
  <c r="T88" i="6" s="1"/>
  <c r="Q88" i="6"/>
  <c r="P88" i="6"/>
  <c r="O88" i="6"/>
  <c r="T87" i="6"/>
  <c r="S87" i="6"/>
  <c r="Q87" i="6"/>
  <c r="P87" i="6"/>
  <c r="O87" i="6"/>
  <c r="S86" i="6"/>
  <c r="Q86" i="6"/>
  <c r="T86" i="6" s="1"/>
  <c r="P86" i="6"/>
  <c r="O86" i="6"/>
  <c r="S85" i="6"/>
  <c r="Q85" i="6"/>
  <c r="T85" i="6" s="1"/>
  <c r="P85" i="6"/>
  <c r="O85" i="6"/>
  <c r="S84" i="6"/>
  <c r="T84" i="6" s="1"/>
  <c r="Q84" i="6"/>
  <c r="P84" i="6"/>
  <c r="O84" i="6"/>
  <c r="T83" i="6"/>
  <c r="S83" i="6"/>
  <c r="Q83" i="6"/>
  <c r="P83" i="6"/>
  <c r="O83" i="6"/>
  <c r="S82" i="6"/>
  <c r="Q82" i="6"/>
  <c r="T82" i="6" s="1"/>
  <c r="P82" i="6"/>
  <c r="O82" i="6"/>
  <c r="S81" i="6"/>
  <c r="Q81" i="6"/>
  <c r="T81" i="6" s="1"/>
  <c r="P81" i="6"/>
  <c r="O81" i="6"/>
  <c r="T80" i="6"/>
  <c r="S80" i="6"/>
  <c r="Q80" i="6"/>
  <c r="P80" i="6"/>
  <c r="O80" i="6"/>
  <c r="T79" i="6"/>
  <c r="S79" i="6"/>
  <c r="Q79" i="6"/>
  <c r="P79" i="6"/>
  <c r="O79" i="6"/>
  <c r="S78" i="6"/>
  <c r="Q78" i="6"/>
  <c r="T78" i="6" s="1"/>
  <c r="P78" i="6"/>
  <c r="O78" i="6"/>
  <c r="S77" i="6"/>
  <c r="Q77" i="6"/>
  <c r="T77" i="6" s="1"/>
  <c r="P77" i="6"/>
  <c r="O77" i="6"/>
  <c r="T76" i="6"/>
  <c r="S76" i="6"/>
  <c r="Q76" i="6"/>
  <c r="P76" i="6"/>
  <c r="O76" i="6"/>
  <c r="T68" i="6"/>
  <c r="S68" i="6"/>
  <c r="Q68" i="6"/>
  <c r="P68" i="6"/>
  <c r="O68" i="6"/>
  <c r="S67" i="6"/>
  <c r="Q67" i="6"/>
  <c r="T67" i="6" s="1"/>
  <c r="P67" i="6"/>
  <c r="O67" i="6"/>
  <c r="S66" i="6"/>
  <c r="Q66" i="6"/>
  <c r="T66" i="6" s="1"/>
  <c r="P66" i="6"/>
  <c r="O66" i="6"/>
  <c r="S65" i="6"/>
  <c r="T65" i="6" s="1"/>
  <c r="Q65" i="6"/>
  <c r="P65" i="6"/>
  <c r="O65" i="6"/>
  <c r="T64" i="6"/>
  <c r="S64" i="6"/>
  <c r="Q64" i="6"/>
  <c r="P64" i="6"/>
  <c r="O64" i="6"/>
  <c r="S63" i="6"/>
  <c r="Q63" i="6"/>
  <c r="T63" i="6" s="1"/>
  <c r="P63" i="6"/>
  <c r="O63" i="6"/>
  <c r="S62" i="6"/>
  <c r="Q62" i="6"/>
  <c r="T62" i="6" s="1"/>
  <c r="P62" i="6"/>
  <c r="O62" i="6"/>
  <c r="S61" i="6"/>
  <c r="T61" i="6" s="1"/>
  <c r="Q61" i="6"/>
  <c r="P61" i="6"/>
  <c r="O61" i="6"/>
  <c r="T60" i="6"/>
  <c r="S60" i="6"/>
  <c r="Q60" i="6"/>
  <c r="P60" i="6"/>
  <c r="O60" i="6"/>
  <c r="S59" i="6"/>
  <c r="Q59" i="6"/>
  <c r="T59" i="6" s="1"/>
  <c r="P59" i="6"/>
  <c r="O59" i="6"/>
  <c r="S58" i="6"/>
  <c r="Q58" i="6"/>
  <c r="T58" i="6" s="1"/>
  <c r="P58" i="6"/>
  <c r="O58" i="6"/>
  <c r="S57" i="6"/>
  <c r="T57" i="6" s="1"/>
  <c r="Q57" i="6"/>
  <c r="P57" i="6"/>
  <c r="O57" i="6"/>
  <c r="T56" i="6"/>
  <c r="S56" i="6"/>
  <c r="Q56" i="6"/>
  <c r="P56" i="6"/>
  <c r="O56" i="6"/>
  <c r="S55" i="6"/>
  <c r="Q55" i="6"/>
  <c r="T55" i="6" s="1"/>
  <c r="P55" i="6"/>
  <c r="O55" i="6"/>
  <c r="S54" i="6"/>
  <c r="Q54" i="6"/>
  <c r="T54" i="6" s="1"/>
  <c r="P54" i="6"/>
  <c r="O54" i="6"/>
  <c r="S53" i="6"/>
  <c r="T53" i="6" s="1"/>
  <c r="Q53" i="6"/>
  <c r="P53" i="6"/>
  <c r="O53" i="6"/>
  <c r="T52" i="6"/>
  <c r="S52" i="6"/>
  <c r="Q52" i="6"/>
  <c r="P52" i="6"/>
  <c r="O52" i="6"/>
  <c r="S51" i="6"/>
  <c r="Q51" i="6"/>
  <c r="T51" i="6" s="1"/>
  <c r="P51" i="6"/>
  <c r="O51" i="6"/>
  <c r="S50" i="6"/>
  <c r="Q50" i="6"/>
  <c r="T50" i="6" s="1"/>
  <c r="P50" i="6"/>
  <c r="O50" i="6"/>
  <c r="S49" i="6"/>
  <c r="T49" i="6" s="1"/>
  <c r="Q49" i="6"/>
  <c r="P49" i="6"/>
  <c r="O49" i="6"/>
  <c r="T48" i="6"/>
  <c r="S48" i="6"/>
  <c r="Q48" i="6"/>
  <c r="P48" i="6"/>
  <c r="O48" i="6"/>
  <c r="S47" i="6"/>
  <c r="Q47" i="6"/>
  <c r="T47" i="6" s="1"/>
  <c r="P47" i="6"/>
  <c r="O47" i="6"/>
  <c r="S46" i="6"/>
  <c r="Q46" i="6"/>
  <c r="T46" i="6" s="1"/>
  <c r="P46" i="6"/>
  <c r="O46" i="6"/>
  <c r="T45" i="6"/>
  <c r="S45" i="6"/>
  <c r="Q45" i="6"/>
  <c r="P45" i="6"/>
  <c r="O45" i="6"/>
  <c r="T44" i="6"/>
  <c r="S44" i="6"/>
  <c r="Q44" i="6"/>
  <c r="P44" i="6"/>
  <c r="O44" i="6"/>
  <c r="S43" i="6"/>
  <c r="Q43" i="6"/>
  <c r="T43" i="6" s="1"/>
  <c r="P43" i="6"/>
  <c r="O43" i="6"/>
  <c r="S35" i="6"/>
  <c r="Q35" i="6"/>
  <c r="T35" i="6" s="1"/>
  <c r="P35" i="6"/>
  <c r="O35" i="6"/>
  <c r="S34" i="6"/>
  <c r="T34" i="6" s="1"/>
  <c r="Q34" i="6"/>
  <c r="P34" i="6"/>
  <c r="O34" i="6"/>
  <c r="T33" i="6"/>
  <c r="S33" i="6"/>
  <c r="Q33" i="6"/>
  <c r="P33" i="6"/>
  <c r="O33" i="6"/>
  <c r="S32" i="6"/>
  <c r="Q32" i="6"/>
  <c r="T32" i="6" s="1"/>
  <c r="P32" i="6"/>
  <c r="O32" i="6"/>
  <c r="S31" i="6"/>
  <c r="Q31" i="6"/>
  <c r="T31" i="6" s="1"/>
  <c r="P31" i="6"/>
  <c r="O31" i="6"/>
  <c r="S30" i="6"/>
  <c r="T30" i="6" s="1"/>
  <c r="Q30" i="6"/>
  <c r="P30" i="6"/>
  <c r="O30" i="6"/>
  <c r="T29" i="6"/>
  <c r="S29" i="6"/>
  <c r="Q29" i="6"/>
  <c r="P29" i="6"/>
  <c r="O29" i="6"/>
  <c r="S28" i="6"/>
  <c r="Q28" i="6"/>
  <c r="T28" i="6" s="1"/>
  <c r="P28" i="6"/>
  <c r="O28" i="6"/>
  <c r="S27" i="6"/>
  <c r="Q27" i="6"/>
  <c r="T27" i="6" s="1"/>
  <c r="P27" i="6"/>
  <c r="O27" i="6"/>
  <c r="S26" i="6"/>
  <c r="T26" i="6" s="1"/>
  <c r="Q26" i="6"/>
  <c r="P26" i="6"/>
  <c r="O26" i="6"/>
  <c r="T25" i="6"/>
  <c r="S25" i="6"/>
  <c r="Q25" i="6"/>
  <c r="P25" i="6"/>
  <c r="O25" i="6"/>
  <c r="S24" i="6"/>
  <c r="Q24" i="6"/>
  <c r="T24" i="6" s="1"/>
  <c r="P24" i="6"/>
  <c r="O24" i="6"/>
  <c r="S23" i="6"/>
  <c r="Q23" i="6"/>
  <c r="T23" i="6" s="1"/>
  <c r="P23" i="6"/>
  <c r="O23" i="6"/>
  <c r="S22" i="6"/>
  <c r="T22" i="6" s="1"/>
  <c r="Q22" i="6"/>
  <c r="P22" i="6"/>
  <c r="O22" i="6"/>
  <c r="T21" i="6"/>
  <c r="S21" i="6"/>
  <c r="Q21" i="6"/>
  <c r="P21" i="6"/>
  <c r="O21" i="6"/>
  <c r="S20" i="6"/>
  <c r="Q20" i="6"/>
  <c r="T20" i="6" s="1"/>
  <c r="P20" i="6"/>
  <c r="O20" i="6"/>
  <c r="S19" i="6"/>
  <c r="Q19" i="6"/>
  <c r="T19" i="6" s="1"/>
  <c r="P19" i="6"/>
  <c r="O19" i="6"/>
  <c r="S18" i="6"/>
  <c r="T18" i="6" s="1"/>
  <c r="Q18" i="6"/>
  <c r="P18" i="6"/>
  <c r="O18" i="6"/>
  <c r="T17" i="6"/>
  <c r="S17" i="6"/>
  <c r="Q17" i="6"/>
  <c r="P17" i="6"/>
  <c r="O17" i="6"/>
  <c r="S16" i="6"/>
  <c r="Q16" i="6"/>
  <c r="T16" i="6" s="1"/>
  <c r="P16" i="6"/>
  <c r="O16" i="6"/>
  <c r="S15" i="6"/>
  <c r="Q15" i="6"/>
  <c r="T15" i="6" s="1"/>
  <c r="P15" i="6"/>
  <c r="O15" i="6"/>
  <c r="S14" i="6"/>
  <c r="T14" i="6" s="1"/>
  <c r="Q14" i="6"/>
  <c r="P14" i="6"/>
  <c r="O14" i="6"/>
  <c r="T13" i="6"/>
  <c r="S13" i="6"/>
  <c r="Q13" i="6"/>
  <c r="P13" i="6"/>
  <c r="O13" i="6"/>
  <c r="S12" i="6"/>
  <c r="Q12" i="6"/>
  <c r="T12" i="6" s="1"/>
  <c r="P12" i="6"/>
  <c r="O12" i="6"/>
  <c r="S11" i="6"/>
  <c r="Q11" i="6"/>
  <c r="T11" i="6" s="1"/>
  <c r="P11" i="6"/>
  <c r="O11" i="6"/>
  <c r="S10" i="6"/>
  <c r="T10" i="6" s="1"/>
  <c r="Q10" i="6"/>
  <c r="P10" i="6"/>
  <c r="O10" i="6"/>
  <c r="AH121" i="10"/>
  <c r="AG121" i="10"/>
  <c r="AF121" i="10"/>
  <c r="AE121" i="10"/>
  <c r="AD121" i="10"/>
  <c r="AC121" i="10"/>
  <c r="AB121" i="10"/>
  <c r="AA121" i="10"/>
  <c r="Z121" i="10"/>
  <c r="Y121" i="10"/>
  <c r="X121" i="10"/>
  <c r="W121" i="10"/>
  <c r="V121" i="10"/>
  <c r="U121" i="10"/>
  <c r="T121" i="10"/>
  <c r="S121" i="10"/>
  <c r="R121" i="10"/>
  <c r="Q121" i="10"/>
  <c r="P121" i="10"/>
  <c r="O121" i="10"/>
  <c r="N121" i="10"/>
  <c r="M121" i="10"/>
  <c r="L121" i="10"/>
  <c r="K121" i="10"/>
  <c r="J121" i="10"/>
  <c r="I121"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T19" i="10"/>
  <c r="S19" i="10"/>
  <c r="Q19" i="10"/>
  <c r="P19" i="10"/>
  <c r="O19" i="10"/>
  <c r="S18" i="10"/>
  <c r="Q18" i="10"/>
  <c r="T18" i="10" s="1"/>
  <c r="P18" i="10"/>
  <c r="O18" i="10"/>
  <c r="S16" i="10"/>
  <c r="Q16" i="10"/>
  <c r="T16" i="10" s="1"/>
  <c r="P16" i="10"/>
  <c r="O16" i="10"/>
  <c r="T15" i="10"/>
  <c r="S15" i="10"/>
  <c r="Q15" i="10"/>
  <c r="P15" i="10"/>
  <c r="O15" i="10"/>
  <c r="T14" i="10"/>
  <c r="S14" i="10"/>
  <c r="Q14" i="10"/>
  <c r="P14" i="10"/>
  <c r="O14" i="10"/>
  <c r="S13" i="10"/>
  <c r="Q13" i="10"/>
  <c r="T13" i="10" s="1"/>
  <c r="P13" i="10"/>
  <c r="O13" i="10"/>
  <c r="S12" i="10"/>
  <c r="Q12" i="10"/>
  <c r="T12" i="10" s="1"/>
  <c r="P12" i="10"/>
  <c r="O12" i="10"/>
  <c r="S11" i="10"/>
  <c r="T11" i="10" s="1"/>
  <c r="Q11" i="10"/>
  <c r="P11" i="10"/>
  <c r="O11" i="10"/>
  <c r="D101" i="28" l="1"/>
  <c r="C97" i="28"/>
  <c r="C101" i="28" s="1"/>
  <c r="C111" i="28"/>
  <c r="S111" i="28"/>
  <c r="F98" i="28"/>
  <c r="H98" i="28" s="1"/>
  <c r="H101" i="28" s="1"/>
  <c r="F101" i="28"/>
  <c r="B19" i="26"/>
  <c r="A1" i="37" s="1"/>
  <c r="O29" i="17"/>
  <c r="P29" i="17"/>
  <c r="Q29" i="17"/>
  <c r="R29" i="17"/>
  <c r="S29" i="17"/>
  <c r="D32" i="7"/>
  <c r="C32" i="7"/>
  <c r="G20" i="7"/>
  <c r="F20" i="7"/>
  <c r="D20" i="7"/>
  <c r="G19" i="7"/>
  <c r="F19" i="7"/>
  <c r="D19" i="7"/>
  <c r="H27" i="7"/>
  <c r="H26" i="7"/>
  <c r="H25" i="7"/>
  <c r="H21" i="7"/>
  <c r="H20" i="7"/>
  <c r="H19" i="7"/>
  <c r="H18" i="7"/>
  <c r="F21" i="12"/>
  <c r="F22" i="12"/>
  <c r="F19" i="12"/>
  <c r="I19" i="12"/>
  <c r="C28" i="12"/>
  <c r="F28" i="12"/>
  <c r="C67" i="12"/>
  <c r="F20" i="12"/>
  <c r="I20" i="12"/>
  <c r="C29" i="12"/>
  <c r="F29" i="12"/>
  <c r="C68" i="12"/>
  <c r="I21" i="12"/>
  <c r="C30" i="12"/>
  <c r="F30" i="12"/>
  <c r="C69" i="12"/>
  <c r="I22" i="12"/>
  <c r="C31" i="12"/>
  <c r="F31" i="12"/>
  <c r="F61" i="17"/>
  <c r="P63" i="17" s="1"/>
  <c r="J65" i="21"/>
  <c r="Q61" i="17" s="1"/>
  <c r="O34" i="17"/>
  <c r="O39" i="17" s="1"/>
  <c r="P34" i="17"/>
  <c r="P39" i="17" s="1"/>
  <c r="Q34" i="17"/>
  <c r="Q39" i="17" s="1"/>
  <c r="R34" i="17"/>
  <c r="R39" i="17" s="1"/>
  <c r="S34" i="17"/>
  <c r="S39" i="17" s="1"/>
  <c r="O31" i="17"/>
  <c r="O32" i="17" s="1"/>
  <c r="P31" i="17"/>
  <c r="P32" i="17" s="1"/>
  <c r="Q31" i="17"/>
  <c r="Q32" i="17" s="1"/>
  <c r="R31" i="17"/>
  <c r="R32" i="17" s="1"/>
  <c r="S31" i="17"/>
  <c r="S32" i="17" s="1"/>
  <c r="S25" i="17"/>
  <c r="O14" i="17"/>
  <c r="D10" i="17" s="1"/>
  <c r="O16" i="17"/>
  <c r="O20" i="17"/>
  <c r="D11" i="17" s="1"/>
  <c r="O21" i="17"/>
  <c r="D12" i="17" s="1"/>
  <c r="O9" i="17"/>
  <c r="D16" i="17" s="1"/>
  <c r="C46" i="17" s="1"/>
  <c r="O17" i="17"/>
  <c r="D17" i="17"/>
  <c r="O18" i="17"/>
  <c r="D18" i="17" s="1"/>
  <c r="O19" i="17"/>
  <c r="D19" i="17" s="1"/>
  <c r="C50" i="12"/>
  <c r="C110" i="12" s="1"/>
  <c r="C97" i="12" s="1"/>
  <c r="C51" i="12"/>
  <c r="F39" i="12"/>
  <c r="I39" i="12"/>
  <c r="C49" i="12"/>
  <c r="F49" i="12"/>
  <c r="F59" i="17"/>
  <c r="F60" i="17"/>
  <c r="F62" i="17"/>
  <c r="F63" i="17"/>
  <c r="E42" i="16"/>
  <c r="H42" i="16"/>
  <c r="E43" i="16"/>
  <c r="H43" i="16"/>
  <c r="E44" i="16"/>
  <c r="H44" i="16"/>
  <c r="E45" i="16"/>
  <c r="H45" i="16"/>
  <c r="E46" i="16"/>
  <c r="H46" i="16"/>
  <c r="E47" i="16"/>
  <c r="H47" i="16"/>
  <c r="E48" i="16"/>
  <c r="H48" i="16"/>
  <c r="E49" i="16"/>
  <c r="H49" i="16"/>
  <c r="E50" i="16"/>
  <c r="H50" i="16"/>
  <c r="E51" i="16"/>
  <c r="H51" i="16"/>
  <c r="E52" i="16"/>
  <c r="H52" i="16"/>
  <c r="E53" i="16"/>
  <c r="H53" i="16"/>
  <c r="E54" i="16"/>
  <c r="H54" i="16"/>
  <c r="E55" i="16"/>
  <c r="H55" i="16"/>
  <c r="E56" i="16"/>
  <c r="H56" i="16"/>
  <c r="E59" i="16"/>
  <c r="H59" i="16"/>
  <c r="E60" i="16"/>
  <c r="H60" i="16"/>
  <c r="E61" i="16"/>
  <c r="H61" i="16"/>
  <c r="H64" i="16"/>
  <c r="E65" i="16"/>
  <c r="H65" i="16"/>
  <c r="E66" i="16"/>
  <c r="H66" i="16"/>
  <c r="E67" i="16"/>
  <c r="H67" i="16"/>
  <c r="E68" i="16"/>
  <c r="H68" i="16"/>
  <c r="E71" i="16"/>
  <c r="H71" i="16"/>
  <c r="E72" i="16"/>
  <c r="H72" i="16"/>
  <c r="E158" i="16"/>
  <c r="G158" i="16" s="1"/>
  <c r="I158" i="16" s="1"/>
  <c r="H158" i="16"/>
  <c r="E159" i="16"/>
  <c r="G159" i="16" s="1"/>
  <c r="I159" i="16" s="1"/>
  <c r="H159" i="16"/>
  <c r="E160" i="16"/>
  <c r="G160" i="16" s="1"/>
  <c r="I160" i="16" s="1"/>
  <c r="H160" i="16"/>
  <c r="E161" i="16"/>
  <c r="G161" i="16" s="1"/>
  <c r="I161" i="16" s="1"/>
  <c r="H161" i="16"/>
  <c r="E162" i="16"/>
  <c r="G162" i="16" s="1"/>
  <c r="I162" i="16" s="1"/>
  <c r="H162" i="16"/>
  <c r="E163" i="16"/>
  <c r="G163" i="16" s="1"/>
  <c r="I163" i="16" s="1"/>
  <c r="H163" i="16"/>
  <c r="H153" i="16"/>
  <c r="H154" i="16"/>
  <c r="E20" i="16"/>
  <c r="H20" i="16"/>
  <c r="E21" i="16"/>
  <c r="G21" i="16" s="1"/>
  <c r="I21" i="16" s="1"/>
  <c r="H21" i="16"/>
  <c r="E22" i="16"/>
  <c r="H22" i="16"/>
  <c r="E23" i="16"/>
  <c r="H23" i="16"/>
  <c r="E24" i="16"/>
  <c r="H24" i="16"/>
  <c r="E25" i="16"/>
  <c r="H25" i="16"/>
  <c r="E26" i="16"/>
  <c r="H26" i="16"/>
  <c r="E27" i="16"/>
  <c r="G27" i="16" s="1"/>
  <c r="I27" i="16" s="1"/>
  <c r="H27" i="16"/>
  <c r="E28" i="16"/>
  <c r="H28" i="16"/>
  <c r="E29" i="16"/>
  <c r="G29" i="16" s="1"/>
  <c r="I29" i="16" s="1"/>
  <c r="H29" i="16"/>
  <c r="E30" i="16"/>
  <c r="H30" i="16"/>
  <c r="E31" i="16"/>
  <c r="H31" i="16"/>
  <c r="E32" i="16"/>
  <c r="H32" i="16"/>
  <c r="E33" i="16"/>
  <c r="H33" i="16"/>
  <c r="E34" i="16"/>
  <c r="H34" i="16"/>
  <c r="E35" i="16"/>
  <c r="G35" i="16" s="1"/>
  <c r="I35" i="16" s="1"/>
  <c r="H35" i="16"/>
  <c r="E36" i="16"/>
  <c r="H36" i="16"/>
  <c r="E37" i="16"/>
  <c r="G37" i="16" s="1"/>
  <c r="H37" i="16"/>
  <c r="I37" i="16"/>
  <c r="E38" i="16"/>
  <c r="H38" i="16"/>
  <c r="E39" i="16"/>
  <c r="H39" i="16"/>
  <c r="E62" i="16"/>
  <c r="H62" i="16"/>
  <c r="E63" i="16"/>
  <c r="H63" i="16"/>
  <c r="E69" i="16"/>
  <c r="H69" i="16"/>
  <c r="E70" i="16"/>
  <c r="H70" i="16"/>
  <c r="E75" i="16"/>
  <c r="H75" i="16"/>
  <c r="E76" i="16"/>
  <c r="H76" i="16"/>
  <c r="E77" i="16"/>
  <c r="H77" i="16"/>
  <c r="E78" i="16"/>
  <c r="H78" i="16"/>
  <c r="E81" i="16"/>
  <c r="H81" i="16"/>
  <c r="E82" i="16"/>
  <c r="H82" i="16"/>
  <c r="E83" i="16"/>
  <c r="H83" i="16"/>
  <c r="E84" i="16"/>
  <c r="H84" i="16"/>
  <c r="E85" i="16"/>
  <c r="H85" i="16"/>
  <c r="E86" i="16"/>
  <c r="H86" i="16"/>
  <c r="E87" i="16"/>
  <c r="H87" i="16"/>
  <c r="E88" i="16"/>
  <c r="H88" i="16"/>
  <c r="E89" i="16"/>
  <c r="H89" i="16"/>
  <c r="E90" i="16"/>
  <c r="H90" i="16"/>
  <c r="E91" i="16"/>
  <c r="H91" i="16"/>
  <c r="E92" i="16"/>
  <c r="H92" i="16"/>
  <c r="E93" i="16"/>
  <c r="H93" i="16"/>
  <c r="E94" i="16"/>
  <c r="H94" i="16"/>
  <c r="E95" i="16"/>
  <c r="H95" i="16"/>
  <c r="H96" i="16"/>
  <c r="E97" i="16"/>
  <c r="H97" i="16"/>
  <c r="E98" i="16"/>
  <c r="H98" i="16"/>
  <c r="E99" i="16"/>
  <c r="H99" i="16"/>
  <c r="E100" i="16"/>
  <c r="H100" i="16"/>
  <c r="E101" i="16"/>
  <c r="H101" i="16"/>
  <c r="E102" i="16"/>
  <c r="H102" i="16"/>
  <c r="E103" i="16"/>
  <c r="H103" i="16"/>
  <c r="E104" i="16"/>
  <c r="H104" i="16"/>
  <c r="E105" i="16"/>
  <c r="H105" i="16"/>
  <c r="E106" i="16"/>
  <c r="H106" i="16"/>
  <c r="E107" i="16"/>
  <c r="H107" i="16"/>
  <c r="E108" i="16"/>
  <c r="H108" i="16"/>
  <c r="E109" i="16"/>
  <c r="H109" i="16"/>
  <c r="H110" i="16"/>
  <c r="E111" i="16"/>
  <c r="H111" i="16"/>
  <c r="H112" i="16"/>
  <c r="E113" i="16"/>
  <c r="H113" i="16"/>
  <c r="E114" i="16"/>
  <c r="H114" i="16"/>
  <c r="E115" i="16"/>
  <c r="H115" i="16"/>
  <c r="E116" i="16"/>
  <c r="H116" i="16"/>
  <c r="H117" i="16"/>
  <c r="E118" i="16"/>
  <c r="H118" i="16"/>
  <c r="H119" i="16"/>
  <c r="E120" i="16"/>
  <c r="H120" i="16"/>
  <c r="H149" i="16"/>
  <c r="H150" i="16"/>
  <c r="E121" i="16"/>
  <c r="H121" i="16"/>
  <c r="E122" i="16"/>
  <c r="H122" i="16"/>
  <c r="E123" i="16"/>
  <c r="H123" i="16"/>
  <c r="E124" i="16"/>
  <c r="H124" i="16"/>
  <c r="E125" i="16"/>
  <c r="H125" i="16"/>
  <c r="E126" i="16"/>
  <c r="H126" i="16"/>
  <c r="E127" i="16"/>
  <c r="H127" i="16"/>
  <c r="E128" i="16"/>
  <c r="H128" i="16"/>
  <c r="E129" i="16"/>
  <c r="H129" i="16"/>
  <c r="E130" i="16"/>
  <c r="H130" i="16"/>
  <c r="E131" i="16"/>
  <c r="H131" i="16"/>
  <c r="E132" i="16"/>
  <c r="H132" i="16"/>
  <c r="E133" i="16"/>
  <c r="H133" i="16"/>
  <c r="H134" i="16"/>
  <c r="E135" i="16"/>
  <c r="H135" i="16"/>
  <c r="E136" i="16"/>
  <c r="H136" i="16"/>
  <c r="E137" i="16"/>
  <c r="H137" i="16"/>
  <c r="E138" i="16"/>
  <c r="H138" i="16"/>
  <c r="E139" i="16"/>
  <c r="H139" i="16"/>
  <c r="E140" i="16"/>
  <c r="H140" i="16"/>
  <c r="H141" i="16"/>
  <c r="E142" i="16"/>
  <c r="H142" i="16"/>
  <c r="E143" i="16"/>
  <c r="H143" i="16"/>
  <c r="E144" i="16"/>
  <c r="H144" i="16"/>
  <c r="H145" i="16"/>
  <c r="H146" i="16"/>
  <c r="AA27" i="13"/>
  <c r="AR27" i="13" s="1"/>
  <c r="AA28" i="13"/>
  <c r="AA29" i="13"/>
  <c r="AA30" i="13"/>
  <c r="AR30" i="13" s="1"/>
  <c r="AA31" i="13"/>
  <c r="AR31" i="13" s="1"/>
  <c r="AA32" i="13"/>
  <c r="AA33" i="13"/>
  <c r="AA34" i="13"/>
  <c r="AA35" i="13"/>
  <c r="AA36" i="13"/>
  <c r="AA37" i="13"/>
  <c r="AA38" i="13"/>
  <c r="AR38" i="13" s="1"/>
  <c r="AA21" i="13"/>
  <c r="AA22" i="13"/>
  <c r="AC27" i="13"/>
  <c r="AT27" i="13" s="1"/>
  <c r="AC28" i="13"/>
  <c r="AT28" i="13" s="1"/>
  <c r="AC29" i="13"/>
  <c r="AC30" i="13"/>
  <c r="AT30" i="13" s="1"/>
  <c r="AC31" i="13"/>
  <c r="AT31" i="13" s="1"/>
  <c r="AC32" i="13"/>
  <c r="AT32" i="13" s="1"/>
  <c r="AC33" i="13"/>
  <c r="AT33" i="13" s="1"/>
  <c r="AC34" i="13"/>
  <c r="AT34" i="13" s="1"/>
  <c r="AC35" i="13"/>
  <c r="AT35" i="13" s="1"/>
  <c r="AC36" i="13"/>
  <c r="AT36" i="13" s="1"/>
  <c r="AC37" i="13"/>
  <c r="AT37" i="13" s="1"/>
  <c r="AC38" i="13"/>
  <c r="AT38" i="13" s="1"/>
  <c r="AC21" i="13"/>
  <c r="AT21" i="13" s="1"/>
  <c r="AC22" i="13"/>
  <c r="AT22" i="13" s="1"/>
  <c r="C78" i="12"/>
  <c r="C79" i="12"/>
  <c r="C87" i="12"/>
  <c r="C88" i="12"/>
  <c r="C89" i="12"/>
  <c r="C90" i="12"/>
  <c r="C96" i="12"/>
  <c r="C98" i="12"/>
  <c r="C99" i="12"/>
  <c r="C100" i="12"/>
  <c r="C53" i="12"/>
  <c r="C52" i="12"/>
  <c r="I227" i="27"/>
  <c r="J227" i="27"/>
  <c r="K227" i="27"/>
  <c r="L227" i="27"/>
  <c r="M227" i="27"/>
  <c r="I250" i="27"/>
  <c r="J250" i="27"/>
  <c r="K250" i="27"/>
  <c r="L250" i="27"/>
  <c r="M250" i="27"/>
  <c r="F10" i="13"/>
  <c r="AD38" i="13"/>
  <c r="AU38" i="13" s="1"/>
  <c r="AD37" i="13"/>
  <c r="AU37" i="13" s="1"/>
  <c r="AD35" i="13"/>
  <c r="AU35" i="13" s="1"/>
  <c r="AD34" i="13"/>
  <c r="AU34" i="13" s="1"/>
  <c r="AD33" i="13"/>
  <c r="AU33" i="13" s="1"/>
  <c r="AD32" i="13"/>
  <c r="AU32" i="13" s="1"/>
  <c r="AD31" i="13"/>
  <c r="AU31" i="13" s="1"/>
  <c r="AD30" i="13"/>
  <c r="AU30" i="13" s="1"/>
  <c r="AD29" i="13"/>
  <c r="AU29" i="13" s="1"/>
  <c r="AD28" i="13"/>
  <c r="AU28" i="13" s="1"/>
  <c r="AD27" i="13"/>
  <c r="AU27" i="13" s="1"/>
  <c r="AD22" i="13"/>
  <c r="AU22" i="13" s="1"/>
  <c r="AD21" i="13"/>
  <c r="AU21" i="13" s="1"/>
  <c r="P36" i="13"/>
  <c r="P38" i="13"/>
  <c r="P37" i="13"/>
  <c r="P35" i="13"/>
  <c r="P34" i="13"/>
  <c r="P33" i="13"/>
  <c r="P32" i="13"/>
  <c r="P31" i="13"/>
  <c r="P30" i="13"/>
  <c r="P29" i="13"/>
  <c r="P28" i="13"/>
  <c r="P27" i="13"/>
  <c r="P22" i="13"/>
  <c r="P21" i="13"/>
  <c r="F43" i="12"/>
  <c r="I43" i="12"/>
  <c r="F53" i="12"/>
  <c r="F42" i="12"/>
  <c r="I42" i="12"/>
  <c r="F52" i="12"/>
  <c r="O14" i="27"/>
  <c r="P14" i="27"/>
  <c r="Q14" i="27"/>
  <c r="S14" i="27"/>
  <c r="O20" i="27"/>
  <c r="P20" i="27"/>
  <c r="Q20" i="27"/>
  <c r="T20" i="27"/>
  <c r="S20" i="27"/>
  <c r="O21" i="27"/>
  <c r="P21" i="27"/>
  <c r="Q21" i="27"/>
  <c r="S21" i="27"/>
  <c r="T21" i="27"/>
  <c r="D22" i="27"/>
  <c r="E22" i="27"/>
  <c r="F22" i="27"/>
  <c r="G22" i="27"/>
  <c r="H22" i="27"/>
  <c r="P22" i="27"/>
  <c r="I22" i="27"/>
  <c r="J22" i="27"/>
  <c r="K22" i="27"/>
  <c r="L22" i="27"/>
  <c r="M22" i="27"/>
  <c r="I29" i="27"/>
  <c r="J29" i="27"/>
  <c r="K29" i="27"/>
  <c r="L29" i="27"/>
  <c r="L31" i="27" s="1"/>
  <c r="M29" i="27"/>
  <c r="M31" i="27" s="1"/>
  <c r="M30" i="27"/>
  <c r="I30" i="27"/>
  <c r="I31" i="27"/>
  <c r="J30" i="27"/>
  <c r="J31" i="27"/>
  <c r="K30" i="27"/>
  <c r="L30" i="27"/>
  <c r="D31" i="27"/>
  <c r="E31" i="27"/>
  <c r="F31" i="27"/>
  <c r="G31" i="27"/>
  <c r="H31" i="27"/>
  <c r="I33" i="27"/>
  <c r="J33" i="27"/>
  <c r="J35" i="27" s="1"/>
  <c r="K33" i="27"/>
  <c r="L33" i="27"/>
  <c r="L35" i="27" s="1"/>
  <c r="M33" i="27"/>
  <c r="I34" i="27"/>
  <c r="J34" i="27"/>
  <c r="K34" i="27"/>
  <c r="L34" i="27"/>
  <c r="M34" i="27"/>
  <c r="D35" i="27"/>
  <c r="E35" i="27"/>
  <c r="F35" i="27"/>
  <c r="G35" i="27"/>
  <c r="H35" i="27"/>
  <c r="P35" i="27" s="1"/>
  <c r="Q35" i="27"/>
  <c r="I37" i="27"/>
  <c r="J37" i="27"/>
  <c r="K37" i="27"/>
  <c r="L37" i="27"/>
  <c r="M37" i="27"/>
  <c r="M39" i="27" s="1"/>
  <c r="I38" i="27"/>
  <c r="I39" i="27"/>
  <c r="J38" i="27"/>
  <c r="J39" i="27"/>
  <c r="K38" i="27"/>
  <c r="L38" i="27"/>
  <c r="L39" i="27" s="1"/>
  <c r="M38" i="27"/>
  <c r="D39" i="27"/>
  <c r="E39" i="27"/>
  <c r="F39" i="27"/>
  <c r="G39" i="27"/>
  <c r="H39" i="27"/>
  <c r="P39" i="27" s="1"/>
  <c r="I41" i="27"/>
  <c r="J41" i="27"/>
  <c r="J43" i="27" s="1"/>
  <c r="K41" i="27"/>
  <c r="L41" i="27"/>
  <c r="M41" i="27"/>
  <c r="I42" i="27"/>
  <c r="J42" i="27"/>
  <c r="K42" i="27"/>
  <c r="L42" i="27"/>
  <c r="L43" i="27"/>
  <c r="M42" i="27"/>
  <c r="D43" i="27"/>
  <c r="Q43" i="27" s="1"/>
  <c r="T43" i="27" s="1"/>
  <c r="E43" i="27"/>
  <c r="F43" i="27"/>
  <c r="G43" i="27"/>
  <c r="H43" i="27"/>
  <c r="P43" i="27" s="1"/>
  <c r="D52" i="27"/>
  <c r="E52" i="27"/>
  <c r="F52" i="27"/>
  <c r="G52" i="27"/>
  <c r="H52" i="27"/>
  <c r="I52" i="27"/>
  <c r="J52" i="27"/>
  <c r="K52" i="27"/>
  <c r="L52" i="27"/>
  <c r="M52" i="27"/>
  <c r="D53" i="27"/>
  <c r="E53" i="27"/>
  <c r="F53" i="27"/>
  <c r="G53" i="27"/>
  <c r="G75" i="27" s="1"/>
  <c r="H53" i="27"/>
  <c r="I53" i="27"/>
  <c r="J53" i="27"/>
  <c r="K53" i="27"/>
  <c r="L53" i="27"/>
  <c r="M53" i="27"/>
  <c r="I54" i="27"/>
  <c r="J54" i="27"/>
  <c r="K54" i="27"/>
  <c r="K75" i="27" s="1"/>
  <c r="K55" i="27"/>
  <c r="K58" i="27"/>
  <c r="K59" i="27"/>
  <c r="K60" i="27"/>
  <c r="K61" i="27"/>
  <c r="K64" i="27"/>
  <c r="K65" i="27"/>
  <c r="K66" i="27"/>
  <c r="K67" i="27"/>
  <c r="K70" i="27"/>
  <c r="K71" i="27"/>
  <c r="K72" i="27"/>
  <c r="K73" i="27"/>
  <c r="L54" i="27"/>
  <c r="M54" i="27"/>
  <c r="I55" i="27"/>
  <c r="J55" i="27"/>
  <c r="L55" i="27"/>
  <c r="M55" i="27"/>
  <c r="D56" i="27"/>
  <c r="E56" i="27"/>
  <c r="F56" i="27"/>
  <c r="G56" i="27"/>
  <c r="H56" i="27"/>
  <c r="D58" i="27"/>
  <c r="E58" i="27"/>
  <c r="F58" i="27"/>
  <c r="G58" i="27"/>
  <c r="H58" i="27"/>
  <c r="I58" i="27"/>
  <c r="J58" i="27"/>
  <c r="L58" i="27"/>
  <c r="M58" i="27"/>
  <c r="D59" i="27"/>
  <c r="E59" i="27"/>
  <c r="F59" i="27"/>
  <c r="G59" i="27"/>
  <c r="H59" i="27"/>
  <c r="I59" i="27"/>
  <c r="J59" i="27"/>
  <c r="L59" i="27"/>
  <c r="M59" i="27"/>
  <c r="I60" i="27"/>
  <c r="J60" i="27"/>
  <c r="L60" i="27"/>
  <c r="M60" i="27"/>
  <c r="I61" i="27"/>
  <c r="J61" i="27"/>
  <c r="L61" i="27"/>
  <c r="M61" i="27"/>
  <c r="D62" i="27"/>
  <c r="E62" i="27"/>
  <c r="F62" i="27"/>
  <c r="G62" i="27"/>
  <c r="H62" i="27"/>
  <c r="D64" i="27"/>
  <c r="E64" i="27"/>
  <c r="F64" i="27"/>
  <c r="G64" i="27"/>
  <c r="H64" i="27"/>
  <c r="I64" i="27"/>
  <c r="J64" i="27"/>
  <c r="L64" i="27"/>
  <c r="M64" i="27"/>
  <c r="D65" i="27"/>
  <c r="E65" i="27"/>
  <c r="F65" i="27"/>
  <c r="G65" i="27"/>
  <c r="H65" i="27"/>
  <c r="I65" i="27"/>
  <c r="J65" i="27"/>
  <c r="L65" i="27"/>
  <c r="M65" i="27"/>
  <c r="I66" i="27"/>
  <c r="J66" i="27"/>
  <c r="L66" i="27"/>
  <c r="M66" i="27"/>
  <c r="I67" i="27"/>
  <c r="J67" i="27"/>
  <c r="L67" i="27"/>
  <c r="M67" i="27"/>
  <c r="D68" i="27"/>
  <c r="E68" i="27"/>
  <c r="F68" i="27"/>
  <c r="G68" i="27"/>
  <c r="H68" i="27"/>
  <c r="D70" i="27"/>
  <c r="E70" i="27"/>
  <c r="F70" i="27"/>
  <c r="G70" i="27"/>
  <c r="H70" i="27"/>
  <c r="I70" i="27"/>
  <c r="J70" i="27"/>
  <c r="L70" i="27"/>
  <c r="M70" i="27"/>
  <c r="D71" i="27"/>
  <c r="E71" i="27"/>
  <c r="F71" i="27"/>
  <c r="G71" i="27"/>
  <c r="H71" i="27"/>
  <c r="I71" i="27"/>
  <c r="J71" i="27"/>
  <c r="L71" i="27"/>
  <c r="M71" i="27"/>
  <c r="I72" i="27"/>
  <c r="J72" i="27"/>
  <c r="L72" i="27"/>
  <c r="M72" i="27"/>
  <c r="I73" i="27"/>
  <c r="J73" i="27"/>
  <c r="L73" i="27"/>
  <c r="M73" i="27"/>
  <c r="D74" i="27"/>
  <c r="E74" i="27"/>
  <c r="F74" i="27"/>
  <c r="G74" i="27"/>
  <c r="H74" i="27"/>
  <c r="I87" i="27"/>
  <c r="J87" i="27"/>
  <c r="K87" i="27"/>
  <c r="L87" i="27"/>
  <c r="L106" i="27" s="1"/>
  <c r="M87" i="27"/>
  <c r="I93" i="27"/>
  <c r="J93" i="27"/>
  <c r="K93" i="27"/>
  <c r="L93" i="27"/>
  <c r="L62" i="27" s="1"/>
  <c r="M93" i="27"/>
  <c r="I99" i="27"/>
  <c r="J99" i="27"/>
  <c r="K99" i="27"/>
  <c r="L99" i="27"/>
  <c r="M99" i="27"/>
  <c r="I105" i="27"/>
  <c r="J105" i="27"/>
  <c r="J74" i="27" s="1"/>
  <c r="K105" i="27"/>
  <c r="L105" i="27"/>
  <c r="M105" i="27"/>
  <c r="D106" i="27"/>
  <c r="E106" i="27"/>
  <c r="F106" i="27"/>
  <c r="G106" i="27"/>
  <c r="H106" i="27"/>
  <c r="I118" i="27"/>
  <c r="J118" i="27"/>
  <c r="K118" i="27"/>
  <c r="K56" i="27" s="1"/>
  <c r="L118" i="27"/>
  <c r="M118" i="27"/>
  <c r="I124" i="27"/>
  <c r="J124" i="27"/>
  <c r="K124" i="27"/>
  <c r="L124" i="27"/>
  <c r="M124" i="27"/>
  <c r="I130" i="27"/>
  <c r="J130" i="27"/>
  <c r="K130" i="27"/>
  <c r="L130" i="27"/>
  <c r="M130" i="27"/>
  <c r="I136" i="27"/>
  <c r="J136" i="27"/>
  <c r="K136" i="27"/>
  <c r="L136" i="27"/>
  <c r="M136" i="27"/>
  <c r="D137" i="27"/>
  <c r="E137" i="27"/>
  <c r="F137" i="27"/>
  <c r="G137" i="27"/>
  <c r="H137" i="27"/>
  <c r="I149" i="27"/>
  <c r="J149" i="27"/>
  <c r="K149" i="27"/>
  <c r="L149" i="27"/>
  <c r="M149" i="27"/>
  <c r="I152" i="27"/>
  <c r="J152" i="27"/>
  <c r="K152" i="27"/>
  <c r="L152" i="27"/>
  <c r="M152" i="27"/>
  <c r="I153" i="27"/>
  <c r="J153" i="27"/>
  <c r="K153" i="27"/>
  <c r="L153" i="27"/>
  <c r="S153" i="27" s="1"/>
  <c r="M153" i="27"/>
  <c r="M161" i="27"/>
  <c r="M169" i="27"/>
  <c r="M177" i="27"/>
  <c r="O153" i="27"/>
  <c r="P153" i="27"/>
  <c r="Q153" i="27"/>
  <c r="Q178" i="27" s="1"/>
  <c r="I157" i="27"/>
  <c r="J157" i="27"/>
  <c r="K157" i="27"/>
  <c r="L157" i="27"/>
  <c r="M157" i="27"/>
  <c r="I160" i="27"/>
  <c r="J160" i="27"/>
  <c r="K160" i="27"/>
  <c r="L160" i="27"/>
  <c r="M160" i="27"/>
  <c r="I161" i="27"/>
  <c r="J161" i="27"/>
  <c r="K161" i="27"/>
  <c r="K169" i="27"/>
  <c r="K177" i="27"/>
  <c r="K178" i="27"/>
  <c r="L161" i="27"/>
  <c r="O161" i="27"/>
  <c r="P161" i="27"/>
  <c r="P169" i="27"/>
  <c r="P178" i="27" s="1"/>
  <c r="P177" i="27"/>
  <c r="Q161" i="27"/>
  <c r="I165" i="27"/>
  <c r="J165" i="27"/>
  <c r="K165" i="27"/>
  <c r="L165" i="27"/>
  <c r="M165" i="27"/>
  <c r="I168" i="27"/>
  <c r="J168" i="27"/>
  <c r="K168" i="27"/>
  <c r="L168" i="27"/>
  <c r="M168" i="27"/>
  <c r="I169" i="27"/>
  <c r="J169" i="27"/>
  <c r="L169" i="27"/>
  <c r="O169" i="27"/>
  <c r="Q169" i="27"/>
  <c r="I173" i="27"/>
  <c r="J173" i="27"/>
  <c r="K173" i="27"/>
  <c r="L173" i="27"/>
  <c r="M173" i="27"/>
  <c r="I176" i="27"/>
  <c r="J176" i="27"/>
  <c r="K176" i="27"/>
  <c r="L176" i="27"/>
  <c r="M176" i="27"/>
  <c r="I177" i="27"/>
  <c r="J177" i="27"/>
  <c r="L177" i="27"/>
  <c r="O177" i="27"/>
  <c r="O178" i="27" s="1"/>
  <c r="Q177" i="27"/>
  <c r="T177" i="27"/>
  <c r="D178" i="27"/>
  <c r="E178" i="27"/>
  <c r="F178" i="27"/>
  <c r="G178" i="27"/>
  <c r="H178" i="27"/>
  <c r="I178" i="27"/>
  <c r="I188" i="27"/>
  <c r="J188" i="27"/>
  <c r="K188" i="27"/>
  <c r="L188" i="27"/>
  <c r="M188" i="27"/>
  <c r="I191" i="27"/>
  <c r="J191" i="27"/>
  <c r="K191" i="27"/>
  <c r="L191" i="27"/>
  <c r="M191" i="27"/>
  <c r="I192" i="27"/>
  <c r="J192" i="27"/>
  <c r="K192" i="27"/>
  <c r="L192" i="27"/>
  <c r="M192" i="27"/>
  <c r="O192" i="27"/>
  <c r="O217" i="27" s="1"/>
  <c r="P192" i="27"/>
  <c r="Q192" i="27"/>
  <c r="I196" i="27"/>
  <c r="J196" i="27"/>
  <c r="K196" i="27"/>
  <c r="L196" i="27"/>
  <c r="M196" i="27"/>
  <c r="I199" i="27"/>
  <c r="J199" i="27"/>
  <c r="K199" i="27"/>
  <c r="L199" i="27"/>
  <c r="M199" i="27"/>
  <c r="I200" i="27"/>
  <c r="I208" i="27"/>
  <c r="I216" i="27"/>
  <c r="I217" i="27"/>
  <c r="J200" i="27"/>
  <c r="K200" i="27"/>
  <c r="L200" i="27"/>
  <c r="M200" i="27"/>
  <c r="M217" i="27" s="1"/>
  <c r="M208" i="27"/>
  <c r="M216" i="27"/>
  <c r="O200" i="27"/>
  <c r="P200" i="27"/>
  <c r="Q200" i="27"/>
  <c r="I204" i="27"/>
  <c r="J204" i="27"/>
  <c r="K204" i="27"/>
  <c r="L204" i="27"/>
  <c r="M204" i="27"/>
  <c r="I207" i="27"/>
  <c r="J207" i="27"/>
  <c r="K207" i="27"/>
  <c r="L207" i="27"/>
  <c r="M207" i="27"/>
  <c r="J208" i="27"/>
  <c r="K208" i="27"/>
  <c r="L208" i="27"/>
  <c r="O208" i="27"/>
  <c r="P208" i="27"/>
  <c r="Q208" i="27"/>
  <c r="I212" i="27"/>
  <c r="J212" i="27"/>
  <c r="K212" i="27"/>
  <c r="L212" i="27"/>
  <c r="M212" i="27"/>
  <c r="I215" i="27"/>
  <c r="J215" i="27"/>
  <c r="K215" i="27"/>
  <c r="L215" i="27"/>
  <c r="M215" i="27"/>
  <c r="J216" i="27"/>
  <c r="K216" i="27"/>
  <c r="L216" i="27"/>
  <c r="O216" i="27"/>
  <c r="P216" i="27"/>
  <c r="Q216" i="27"/>
  <c r="T216" i="27"/>
  <c r="D217" i="27"/>
  <c r="E217" i="27"/>
  <c r="F217" i="27"/>
  <c r="G217" i="27"/>
  <c r="H217" i="27"/>
  <c r="P217" i="27"/>
  <c r="O227" i="27"/>
  <c r="P227" i="27"/>
  <c r="Q227" i="27"/>
  <c r="Q231" i="27"/>
  <c r="Q235" i="27"/>
  <c r="Q239" i="27"/>
  <c r="T239" i="27" s="1"/>
  <c r="I231" i="27"/>
  <c r="J231" i="27"/>
  <c r="K231" i="27"/>
  <c r="L231" i="27"/>
  <c r="M231" i="27"/>
  <c r="O231" i="27"/>
  <c r="P231" i="27"/>
  <c r="I235" i="27"/>
  <c r="J235" i="27"/>
  <c r="K235" i="27"/>
  <c r="L235" i="27"/>
  <c r="M235" i="27"/>
  <c r="O235" i="27"/>
  <c r="P235" i="27"/>
  <c r="I239" i="27"/>
  <c r="J239" i="27"/>
  <c r="J240" i="27" s="1"/>
  <c r="K239" i="27"/>
  <c r="L239" i="27"/>
  <c r="M239" i="27"/>
  <c r="O239" i="27"/>
  <c r="P239" i="27"/>
  <c r="D240" i="27"/>
  <c r="E240" i="27"/>
  <c r="F240" i="27"/>
  <c r="F11" i="27"/>
  <c r="G240" i="27"/>
  <c r="G11" i="27"/>
  <c r="H240" i="27"/>
  <c r="H11" i="27"/>
  <c r="O250" i="27"/>
  <c r="P250" i="27"/>
  <c r="Q250" i="27"/>
  <c r="I254" i="27"/>
  <c r="J254" i="27"/>
  <c r="K254" i="27"/>
  <c r="L254" i="27"/>
  <c r="M254" i="27"/>
  <c r="O254" i="27"/>
  <c r="P254" i="27"/>
  <c r="Q254" i="27"/>
  <c r="I258" i="27"/>
  <c r="J258" i="27"/>
  <c r="K258" i="27"/>
  <c r="L258" i="27"/>
  <c r="M258" i="27"/>
  <c r="O258" i="27"/>
  <c r="O263" i="27" s="1"/>
  <c r="P258" i="27"/>
  <c r="P262" i="27"/>
  <c r="Q258" i="27"/>
  <c r="T258" i="27" s="1"/>
  <c r="I262" i="27"/>
  <c r="J262" i="27"/>
  <c r="K262" i="27"/>
  <c r="L262" i="27"/>
  <c r="L263" i="27"/>
  <c r="L12" i="27" s="1"/>
  <c r="M262" i="27"/>
  <c r="O262" i="27"/>
  <c r="Q262" i="27"/>
  <c r="T262" i="27"/>
  <c r="D263" i="27"/>
  <c r="D12" i="27"/>
  <c r="E263" i="27"/>
  <c r="E12" i="27"/>
  <c r="F263" i="27"/>
  <c r="F12" i="27"/>
  <c r="G263" i="27"/>
  <c r="G12" i="27"/>
  <c r="H263" i="27"/>
  <c r="H12" i="27"/>
  <c r="P12" i="27" s="1"/>
  <c r="P9" i="17"/>
  <c r="E16" i="17" s="1"/>
  <c r="E27" i="17" s="1"/>
  <c r="P17" i="17"/>
  <c r="E17" i="17" s="1"/>
  <c r="P18" i="17"/>
  <c r="E18" i="17" s="1"/>
  <c r="P19" i="17"/>
  <c r="E19" i="17" s="1"/>
  <c r="P14" i="17"/>
  <c r="E10" i="17" s="1"/>
  <c r="E13" i="17" s="1"/>
  <c r="E26" i="17" s="1"/>
  <c r="P16" i="17"/>
  <c r="P20" i="17"/>
  <c r="E11" i="17" s="1"/>
  <c r="Q9" i="17"/>
  <c r="G16" i="17" s="1"/>
  <c r="Q17" i="17"/>
  <c r="G17" i="17" s="1"/>
  <c r="Q18" i="17"/>
  <c r="G18" i="17" s="1"/>
  <c r="Q19" i="17"/>
  <c r="G19" i="17" s="1"/>
  <c r="Q14" i="17"/>
  <c r="Q16" i="17"/>
  <c r="G10" i="17" s="1"/>
  <c r="G13" i="17" s="1"/>
  <c r="G26" i="17" s="1"/>
  <c r="Q20" i="17"/>
  <c r="G11" i="17" s="1"/>
  <c r="R9" i="17"/>
  <c r="H16" i="17" s="1"/>
  <c r="R17" i="17"/>
  <c r="H17" i="17" s="1"/>
  <c r="R18" i="17"/>
  <c r="H18" i="17" s="1"/>
  <c r="R19" i="17"/>
  <c r="H19" i="17" s="1"/>
  <c r="R14" i="17"/>
  <c r="R16" i="17"/>
  <c r="R20" i="17"/>
  <c r="H11" i="17" s="1"/>
  <c r="H13" i="17" s="1"/>
  <c r="H26" i="17" s="1"/>
  <c r="S9" i="17"/>
  <c r="I16" i="17" s="1"/>
  <c r="I27" i="17" s="1"/>
  <c r="S17" i="17"/>
  <c r="I17" i="17" s="1"/>
  <c r="S18" i="17"/>
  <c r="I18" i="17" s="1"/>
  <c r="S19" i="17"/>
  <c r="I19" i="17" s="1"/>
  <c r="S14" i="17"/>
  <c r="I10" i="17" s="1"/>
  <c r="I13" i="17" s="1"/>
  <c r="I26" i="17" s="1"/>
  <c r="S16" i="17"/>
  <c r="S20" i="17"/>
  <c r="I11" i="17" s="1"/>
  <c r="D6" i="13"/>
  <c r="AN6" i="13" s="1"/>
  <c r="F6" i="13"/>
  <c r="H6" i="13"/>
  <c r="D7" i="13"/>
  <c r="AN7" i="13" s="1"/>
  <c r="G7" i="13"/>
  <c r="D8" i="13"/>
  <c r="AM8" i="13" s="1"/>
  <c r="D9" i="13"/>
  <c r="AM9" i="13" s="1"/>
  <c r="E9" i="13"/>
  <c r="F9" i="13"/>
  <c r="G9" i="13"/>
  <c r="H9" i="13"/>
  <c r="D10" i="13"/>
  <c r="AN10" i="13" s="1"/>
  <c r="G10" i="13"/>
  <c r="H10" i="13"/>
  <c r="D11" i="13"/>
  <c r="AN11" i="13" s="1"/>
  <c r="E11" i="13"/>
  <c r="F11" i="13"/>
  <c r="H11" i="13"/>
  <c r="D12" i="13"/>
  <c r="I12" i="13" s="1"/>
  <c r="D13" i="13"/>
  <c r="I13" i="13" s="1"/>
  <c r="D14" i="13"/>
  <c r="I14" i="13" s="1"/>
  <c r="D15" i="13"/>
  <c r="I15" i="13"/>
  <c r="D16" i="13"/>
  <c r="I16" i="13" s="1"/>
  <c r="D17" i="13"/>
  <c r="I17" i="13" s="1"/>
  <c r="D18" i="13"/>
  <c r="I18" i="13" s="1"/>
  <c r="D19" i="13"/>
  <c r="I19" i="13" s="1"/>
  <c r="D20" i="13"/>
  <c r="I20" i="13" s="1"/>
  <c r="D23" i="13"/>
  <c r="I23" i="13"/>
  <c r="D24" i="13"/>
  <c r="I24" i="13" s="1"/>
  <c r="D25" i="13"/>
  <c r="I25" i="13"/>
  <c r="D26" i="13"/>
  <c r="I26" i="13" s="1"/>
  <c r="O36" i="13"/>
  <c r="D36" i="13"/>
  <c r="I36" i="13" s="1"/>
  <c r="P64" i="17" s="1"/>
  <c r="AR36" i="13"/>
  <c r="Z21" i="13"/>
  <c r="AQ21" i="13" s="1"/>
  <c r="Z22" i="13"/>
  <c r="AQ22" i="13" s="1"/>
  <c r="Z27" i="13"/>
  <c r="AQ27" i="13" s="1"/>
  <c r="Z28" i="13"/>
  <c r="AQ28" i="13" s="1"/>
  <c r="Z29" i="13"/>
  <c r="AQ29" i="13" s="1"/>
  <c r="Z30" i="13"/>
  <c r="AQ30" i="13" s="1"/>
  <c r="Z31" i="13"/>
  <c r="AQ31" i="13" s="1"/>
  <c r="Z32" i="13"/>
  <c r="AQ32" i="13" s="1"/>
  <c r="Z33" i="13"/>
  <c r="AQ33" i="13" s="1"/>
  <c r="Z34" i="13"/>
  <c r="AQ34" i="13" s="1"/>
  <c r="Z35" i="13"/>
  <c r="AQ35" i="13" s="1"/>
  <c r="L36" i="13"/>
  <c r="Z37" i="13"/>
  <c r="AQ37" i="13" s="1"/>
  <c r="Z38" i="13"/>
  <c r="AQ38" i="13" s="1"/>
  <c r="AR21" i="13"/>
  <c r="AR22" i="13"/>
  <c r="AR28" i="13"/>
  <c r="AR29" i="13"/>
  <c r="AR32" i="13"/>
  <c r="AR33" i="13"/>
  <c r="AR35" i="13"/>
  <c r="M36" i="13"/>
  <c r="AR37" i="13"/>
  <c r="AB21" i="13"/>
  <c r="AS21" i="13" s="1"/>
  <c r="AB22" i="13"/>
  <c r="AS22" i="13" s="1"/>
  <c r="AB27" i="13"/>
  <c r="AS27" i="13" s="1"/>
  <c r="AB28" i="13"/>
  <c r="AS28" i="13" s="1"/>
  <c r="AB29" i="13"/>
  <c r="AS29" i="13" s="1"/>
  <c r="AB30" i="13"/>
  <c r="AS30" i="13" s="1"/>
  <c r="AB31" i="13"/>
  <c r="AS31" i="13" s="1"/>
  <c r="AB32" i="13"/>
  <c r="AS32" i="13" s="1"/>
  <c r="AB33" i="13"/>
  <c r="AS33" i="13" s="1"/>
  <c r="AB34" i="13"/>
  <c r="AS34" i="13" s="1"/>
  <c r="AB35" i="13"/>
  <c r="AS35" i="13" s="1"/>
  <c r="N36" i="13"/>
  <c r="U36" i="13" s="1"/>
  <c r="AB36" i="13"/>
  <c r="AS36" i="13" s="1"/>
  <c r="AB37" i="13"/>
  <c r="AS37" i="13" s="1"/>
  <c r="AB38" i="13"/>
  <c r="AS38" i="13" s="1"/>
  <c r="O7" i="17"/>
  <c r="P7" i="17"/>
  <c r="Q7" i="17"/>
  <c r="R7" i="17"/>
  <c r="S7" i="17"/>
  <c r="O8" i="17"/>
  <c r="P8" i="17"/>
  <c r="Q8" i="17"/>
  <c r="R8" i="17"/>
  <c r="S8" i="17"/>
  <c r="O10" i="17"/>
  <c r="P10" i="17"/>
  <c r="Q10" i="17"/>
  <c r="R10" i="17"/>
  <c r="S10" i="17"/>
  <c r="O11" i="17"/>
  <c r="Q11" i="17"/>
  <c r="S11" i="17"/>
  <c r="P12" i="17"/>
  <c r="S12" i="17"/>
  <c r="O15" i="17"/>
  <c r="P15" i="17"/>
  <c r="Q15" i="17"/>
  <c r="R15" i="17"/>
  <c r="S15" i="17"/>
  <c r="P21" i="17"/>
  <c r="Q21" i="17"/>
  <c r="R21" i="17"/>
  <c r="S21" i="17"/>
  <c r="O22" i="17"/>
  <c r="P22" i="17"/>
  <c r="Q22" i="17"/>
  <c r="R22" i="17"/>
  <c r="S22" i="17"/>
  <c r="O23" i="17"/>
  <c r="P23" i="17"/>
  <c r="Q23" i="17"/>
  <c r="R23" i="17"/>
  <c r="S23" i="17"/>
  <c r="S24" i="17"/>
  <c r="O27" i="17"/>
  <c r="P28" i="17"/>
  <c r="AN9" i="13"/>
  <c r="AM13" i="13"/>
  <c r="AM20" i="13"/>
  <c r="D21" i="13"/>
  <c r="I21" i="13"/>
  <c r="L21" i="13"/>
  <c r="M21" i="13"/>
  <c r="N21" i="13"/>
  <c r="U21" i="13" s="1"/>
  <c r="O21" i="13"/>
  <c r="V21" i="13" s="1"/>
  <c r="D22" i="13"/>
  <c r="I22" i="13" s="1"/>
  <c r="L22" i="13"/>
  <c r="M22" i="13"/>
  <c r="T22" i="13" s="1"/>
  <c r="N22" i="13"/>
  <c r="U22" i="13" s="1"/>
  <c r="O22" i="13"/>
  <c r="AN26" i="13"/>
  <c r="D27" i="13"/>
  <c r="AM27" i="13"/>
  <c r="L27" i="13"/>
  <c r="M27" i="13"/>
  <c r="N27" i="13"/>
  <c r="O27" i="13"/>
  <c r="D28" i="13"/>
  <c r="I28" i="13" s="1"/>
  <c r="L28" i="13"/>
  <c r="M28" i="13"/>
  <c r="N28" i="13"/>
  <c r="O28" i="13"/>
  <c r="D29" i="13"/>
  <c r="AM29" i="13"/>
  <c r="L29" i="13"/>
  <c r="M29" i="13"/>
  <c r="N29" i="13"/>
  <c r="O29" i="13"/>
  <c r="V29" i="13" s="1"/>
  <c r="D30" i="13"/>
  <c r="I30" i="13"/>
  <c r="L30" i="13"/>
  <c r="M30" i="13"/>
  <c r="T30" i="13" s="1"/>
  <c r="N30" i="13"/>
  <c r="O30" i="13"/>
  <c r="D31" i="13"/>
  <c r="AN31" i="13" s="1"/>
  <c r="I31" i="13"/>
  <c r="L31" i="13"/>
  <c r="M31" i="13"/>
  <c r="N31" i="13"/>
  <c r="O31" i="13"/>
  <c r="V31" i="13" s="1"/>
  <c r="D32" i="13"/>
  <c r="AM32" i="13"/>
  <c r="L32" i="13"/>
  <c r="S32" i="13" s="1"/>
  <c r="M32" i="13"/>
  <c r="N32" i="13"/>
  <c r="O32" i="13"/>
  <c r="V32" i="13" s="1"/>
  <c r="D33" i="13"/>
  <c r="AM33" i="13"/>
  <c r="L33" i="13"/>
  <c r="M33" i="13"/>
  <c r="N33" i="13"/>
  <c r="O33" i="13"/>
  <c r="D34" i="13"/>
  <c r="I34" i="13"/>
  <c r="L34" i="13"/>
  <c r="S34" i="13" s="1"/>
  <c r="M34" i="13"/>
  <c r="T34" i="13" s="1"/>
  <c r="N34" i="13"/>
  <c r="U34" i="13" s="1"/>
  <c r="O34" i="13"/>
  <c r="V34" i="13" s="1"/>
  <c r="D35" i="13"/>
  <c r="L35" i="13"/>
  <c r="M35" i="13"/>
  <c r="T35" i="13" s="1"/>
  <c r="N35" i="13"/>
  <c r="U35" i="13" s="1"/>
  <c r="O35" i="13"/>
  <c r="D37" i="13"/>
  <c r="I37" i="13" s="1"/>
  <c r="W37" i="13" s="1"/>
  <c r="L37" i="13"/>
  <c r="M37" i="13"/>
  <c r="N37" i="13"/>
  <c r="O37" i="13"/>
  <c r="V37" i="13" s="1"/>
  <c r="D38" i="13"/>
  <c r="I38" i="13" s="1"/>
  <c r="L38" i="13"/>
  <c r="S38" i="13" s="1"/>
  <c r="M38" i="13"/>
  <c r="T38" i="13" s="1"/>
  <c r="N38" i="13"/>
  <c r="U38" i="13" s="1"/>
  <c r="O38" i="13"/>
  <c r="V38" i="13" s="1"/>
  <c r="B3" i="19"/>
  <c r="B4" i="19"/>
  <c r="B5" i="19"/>
  <c r="B6" i="19"/>
  <c r="E11" i="19" s="1"/>
  <c r="E20" i="19" s="1"/>
  <c r="E21" i="19" s="1"/>
  <c r="E57" i="16"/>
  <c r="H57" i="16"/>
  <c r="E58" i="16"/>
  <c r="H58" i="16"/>
  <c r="E73" i="16"/>
  <c r="H73" i="16"/>
  <c r="E74" i="16"/>
  <c r="H74" i="16"/>
  <c r="E79" i="16"/>
  <c r="H79" i="16"/>
  <c r="E40" i="16"/>
  <c r="H40" i="16"/>
  <c r="E41" i="16"/>
  <c r="H41" i="16"/>
  <c r="E80" i="16"/>
  <c r="H80" i="16"/>
  <c r="H147" i="16"/>
  <c r="H148" i="16"/>
  <c r="H151" i="16"/>
  <c r="H152" i="16"/>
  <c r="E155" i="16"/>
  <c r="H155" i="16"/>
  <c r="E156" i="16"/>
  <c r="H156" i="16"/>
  <c r="E157" i="16"/>
  <c r="H157" i="16"/>
  <c r="T254" i="27"/>
  <c r="L74" i="27"/>
  <c r="M68" i="27"/>
  <c r="K68" i="27"/>
  <c r="I68" i="27"/>
  <c r="J62" i="27"/>
  <c r="M56" i="27"/>
  <c r="I56" i="27"/>
  <c r="J263" i="27"/>
  <c r="J12" i="27"/>
  <c r="M106" i="27"/>
  <c r="K106" i="27"/>
  <c r="I106" i="27"/>
  <c r="M74" i="27"/>
  <c r="K74" i="27"/>
  <c r="I74" i="27"/>
  <c r="L68" i="27"/>
  <c r="J68" i="27"/>
  <c r="M62" i="27"/>
  <c r="K62" i="27"/>
  <c r="I62" i="27"/>
  <c r="L56" i="27"/>
  <c r="J56" i="27"/>
  <c r="S22" i="27"/>
  <c r="T14" i="27"/>
  <c r="AM30" i="13"/>
  <c r="AN30" i="13"/>
  <c r="D11" i="27"/>
  <c r="D13" i="27" s="1"/>
  <c r="H10" i="27"/>
  <c r="P10" i="27" s="1"/>
  <c r="F10" i="27"/>
  <c r="D10" i="27"/>
  <c r="G10" i="27"/>
  <c r="AM6" i="13"/>
  <c r="S200" i="27"/>
  <c r="T200" i="27"/>
  <c r="J217" i="27"/>
  <c r="T153" i="27"/>
  <c r="AM35" i="13"/>
  <c r="P31" i="27"/>
  <c r="Q31" i="27"/>
  <c r="O31" i="27"/>
  <c r="S177" i="27"/>
  <c r="T169" i="27"/>
  <c r="S161" i="27"/>
  <c r="L178" i="27"/>
  <c r="J178" i="27"/>
  <c r="J75" i="27"/>
  <c r="I35" i="27"/>
  <c r="I27" i="13"/>
  <c r="S27" i="13" s="1"/>
  <c r="AN27" i="13"/>
  <c r="K137" i="27"/>
  <c r="O39" i="27"/>
  <c r="Q39" i="27"/>
  <c r="Z36" i="13"/>
  <c r="AQ36" i="13" s="1"/>
  <c r="S262" i="27"/>
  <c r="M240" i="27"/>
  <c r="M11" i="27" s="1"/>
  <c r="M13" i="27" s="1"/>
  <c r="M15" i="27" s="1"/>
  <c r="S235" i="27"/>
  <c r="I240" i="27"/>
  <c r="I11" i="27"/>
  <c r="K240" i="27"/>
  <c r="K11" i="27" s="1"/>
  <c r="F75" i="27"/>
  <c r="I43" i="27"/>
  <c r="AD36" i="13"/>
  <c r="AU36" i="13" s="1"/>
  <c r="I263" i="27"/>
  <c r="I12" i="27"/>
  <c r="K263" i="27"/>
  <c r="K12" i="27"/>
  <c r="Q263" i="27"/>
  <c r="S250" i="27"/>
  <c r="T235" i="27"/>
  <c r="O240" i="27"/>
  <c r="L240" i="27"/>
  <c r="L11" i="27"/>
  <c r="S227" i="27"/>
  <c r="S208" i="27"/>
  <c r="T208" i="27"/>
  <c r="K217" i="27"/>
  <c r="Q217" i="27"/>
  <c r="S192" i="27"/>
  <c r="J137" i="27"/>
  <c r="J106" i="27"/>
  <c r="E75" i="27"/>
  <c r="M75" i="27"/>
  <c r="I75" i="27"/>
  <c r="L75" i="27"/>
  <c r="H75" i="27"/>
  <c r="D75" i="27"/>
  <c r="K39" i="27"/>
  <c r="K31" i="27"/>
  <c r="T161" i="27"/>
  <c r="T192" i="27"/>
  <c r="T227" i="27"/>
  <c r="T263" i="27"/>
  <c r="T250" i="27"/>
  <c r="T178" i="27"/>
  <c r="AM11" i="13"/>
  <c r="AN32" i="13"/>
  <c r="I8" i="13"/>
  <c r="G147" i="16"/>
  <c r="I147" i="16" s="1"/>
  <c r="P27" i="17"/>
  <c r="E6" i="13"/>
  <c r="I32" i="13"/>
  <c r="W32" i="13" s="1"/>
  <c r="AM26" i="13"/>
  <c r="AM16" i="13"/>
  <c r="AM12" i="13"/>
  <c r="AM10" i="13"/>
  <c r="AM7" i="13"/>
  <c r="I29" i="13"/>
  <c r="F11" i="17"/>
  <c r="AM22" i="13"/>
  <c r="G157" i="16"/>
  <c r="I157" i="16" s="1"/>
  <c r="G156" i="16"/>
  <c r="I156" i="16" s="1"/>
  <c r="AM36" i="13"/>
  <c r="AN23" i="13"/>
  <c r="AM17" i="13"/>
  <c r="AN15" i="13"/>
  <c r="AN8" i="13"/>
  <c r="AN37" i="13"/>
  <c r="AN28" i="13"/>
  <c r="AM28" i="13"/>
  <c r="AM34" i="13"/>
  <c r="G151" i="16"/>
  <c r="I151" i="16" s="1"/>
  <c r="G41" i="16"/>
  <c r="I41" i="16" s="1"/>
  <c r="G58" i="16"/>
  <c r="I58" i="16" s="1"/>
  <c r="AN36" i="13"/>
  <c r="AM23" i="13"/>
  <c r="AN17" i="13"/>
  <c r="AN13" i="13"/>
  <c r="W27" i="13"/>
  <c r="H10" i="17"/>
  <c r="G155" i="16"/>
  <c r="I155" i="16"/>
  <c r="G148" i="16"/>
  <c r="I148" i="16"/>
  <c r="G57" i="16"/>
  <c r="I57" i="16" s="1"/>
  <c r="AN33" i="13"/>
  <c r="AN34" i="13"/>
  <c r="AM31" i="13"/>
  <c r="AM18" i="13"/>
  <c r="AN29" i="13"/>
  <c r="I33" i="13"/>
  <c r="AN24" i="13"/>
  <c r="AM14" i="13"/>
  <c r="AM24" i="13"/>
  <c r="I11" i="13"/>
  <c r="G39" i="13"/>
  <c r="H7" i="13"/>
  <c r="H39" i="13" s="1"/>
  <c r="F7" i="13"/>
  <c r="F39" i="13" s="1"/>
  <c r="E7" i="13"/>
  <c r="I6" i="13"/>
  <c r="C20" i="19"/>
  <c r="C21" i="19" s="1"/>
  <c r="Q12" i="27"/>
  <c r="T12" i="27"/>
  <c r="O12" i="27"/>
  <c r="AN38" i="13"/>
  <c r="AN21" i="13"/>
  <c r="AM21" i="13"/>
  <c r="G80" i="16"/>
  <c r="I80" i="16" s="1"/>
  <c r="G73" i="16"/>
  <c r="I73" i="16" s="1"/>
  <c r="AM19" i="13"/>
  <c r="S254" i="27"/>
  <c r="E10" i="27"/>
  <c r="K43" i="27"/>
  <c r="K35" i="27"/>
  <c r="O22" i="27"/>
  <c r="T29" i="13"/>
  <c r="K10" i="27"/>
  <c r="AN25" i="13"/>
  <c r="AM15" i="13"/>
  <c r="S216" i="27"/>
  <c r="S169" i="27"/>
  <c r="AM25" i="13"/>
  <c r="AN19" i="13"/>
  <c r="I9" i="13"/>
  <c r="AN35" i="13"/>
  <c r="I35" i="13"/>
  <c r="G152" i="16"/>
  <c r="I152" i="16" s="1"/>
  <c r="G40" i="16"/>
  <c r="I40" i="16"/>
  <c r="G79" i="16"/>
  <c r="I79" i="16" s="1"/>
  <c r="G74" i="16"/>
  <c r="I74" i="16" s="1"/>
  <c r="B20" i="19"/>
  <c r="B21" i="19" s="1"/>
  <c r="AN20" i="13"/>
  <c r="AN18" i="13"/>
  <c r="AN16" i="13"/>
  <c r="AN14" i="13"/>
  <c r="AN12" i="13"/>
  <c r="H27" i="17"/>
  <c r="G27" i="17"/>
  <c r="D27" i="17"/>
  <c r="M43" i="27"/>
  <c r="S43" i="27"/>
  <c r="M263" i="27"/>
  <c r="M12" i="27"/>
  <c r="S39" i="27"/>
  <c r="S12" i="27"/>
  <c r="M35" i="27"/>
  <c r="S35" i="27"/>
  <c r="T35" i="27"/>
  <c r="L13" i="27"/>
  <c r="L16" i="27" s="1"/>
  <c r="L15" i="27"/>
  <c r="S31" i="27"/>
  <c r="G13" i="27"/>
  <c r="G15" i="27" s="1"/>
  <c r="O43" i="27"/>
  <c r="T39" i="27"/>
  <c r="O35" i="27"/>
  <c r="J11" i="27"/>
  <c r="J13" i="27"/>
  <c r="J16" i="27" s="1"/>
  <c r="D266" i="27"/>
  <c r="P240" i="27"/>
  <c r="E11" i="27"/>
  <c r="Q11" i="27" s="1"/>
  <c r="H13" i="27"/>
  <c r="P11" i="27"/>
  <c r="O11" i="27"/>
  <c r="F13" i="27"/>
  <c r="Q10" i="27"/>
  <c r="T10" i="27" s="1"/>
  <c r="O10" i="27"/>
  <c r="T231" i="27"/>
  <c r="T31" i="27"/>
  <c r="I13" i="27"/>
  <c r="J15" i="27"/>
  <c r="I10" i="27"/>
  <c r="L217" i="27"/>
  <c r="L10" i="27"/>
  <c r="S217" i="27"/>
  <c r="T217" i="27"/>
  <c r="J10" i="27"/>
  <c r="S178" i="27"/>
  <c r="I137" i="27"/>
  <c r="L137" i="27"/>
  <c r="M137" i="27"/>
  <c r="Q22" i="27"/>
  <c r="T22" i="27"/>
  <c r="S37" i="13"/>
  <c r="T31" i="13"/>
  <c r="U31" i="13"/>
  <c r="S31" i="13"/>
  <c r="W31" i="13"/>
  <c r="S22" i="13"/>
  <c r="V22" i="13"/>
  <c r="S36" i="13"/>
  <c r="T36" i="13"/>
  <c r="V36" i="13"/>
  <c r="V30" i="13"/>
  <c r="S30" i="13"/>
  <c r="U30" i="13"/>
  <c r="S21" i="13"/>
  <c r="T21" i="13"/>
  <c r="T37" i="13"/>
  <c r="E12" i="19"/>
  <c r="S29" i="13"/>
  <c r="Q27" i="17"/>
  <c r="R28" i="17" s="1"/>
  <c r="Q28" i="17"/>
  <c r="I7" i="13"/>
  <c r="S33" i="13"/>
  <c r="T33" i="13"/>
  <c r="M16" i="27"/>
  <c r="T11" i="27"/>
  <c r="V35" i="13"/>
  <c r="W35" i="13"/>
  <c r="H16" i="27"/>
  <c r="P13" i="27"/>
  <c r="H15" i="27"/>
  <c r="P15" i="27" s="1"/>
  <c r="F15" i="27"/>
  <c r="F16" i="27"/>
  <c r="I15" i="27"/>
  <c r="I16" i="27"/>
  <c r="R27" i="17"/>
  <c r="S27" i="17" s="1"/>
  <c r="I53" i="12"/>
  <c r="I52" i="12"/>
  <c r="I49" i="12"/>
  <c r="S28" i="17"/>
  <c r="U33" i="13" l="1"/>
  <c r="F64" i="17"/>
  <c r="G59" i="17" s="1"/>
  <c r="AG28" i="13"/>
  <c r="AG38" i="13"/>
  <c r="AX38" i="13"/>
  <c r="AX37" i="13"/>
  <c r="AG32" i="13"/>
  <c r="AJ21" i="13"/>
  <c r="BA27" i="13"/>
  <c r="AZ33" i="13"/>
  <c r="AJ35" i="13"/>
  <c r="AI31" i="13"/>
  <c r="BA35" i="13"/>
  <c r="AI36" i="13"/>
  <c r="BA38" i="13"/>
  <c r="BA31" i="13"/>
  <c r="AJ34" i="13"/>
  <c r="AJ38" i="13"/>
  <c r="AJ30" i="13"/>
  <c r="AI35" i="13"/>
  <c r="AJ31" i="13"/>
  <c r="AZ27" i="13"/>
  <c r="BA30" i="13"/>
  <c r="AJ27" i="13"/>
  <c r="AZ35" i="13"/>
  <c r="AI32" i="13"/>
  <c r="AI27" i="13"/>
  <c r="AZ28" i="13"/>
  <c r="AZ31" i="13"/>
  <c r="AI29" i="13"/>
  <c r="AJ37" i="13"/>
  <c r="AI28" i="13"/>
  <c r="BA28" i="13"/>
  <c r="F11" i="19"/>
  <c r="D11" i="19"/>
  <c r="D20" i="19" s="1"/>
  <c r="D21" i="19" s="1"/>
  <c r="AH34" i="13" s="1"/>
  <c r="AZ36" i="13"/>
  <c r="AZ29" i="13"/>
  <c r="AZ21" i="13"/>
  <c r="AY36" i="13"/>
  <c r="BA21" i="13"/>
  <c r="F12" i="19"/>
  <c r="AZ32" i="13"/>
  <c r="AX35" i="13"/>
  <c r="AX31" i="13"/>
  <c r="BA34" i="13"/>
  <c r="AZ38" i="13"/>
  <c r="AY29" i="13"/>
  <c r="BA37" i="13"/>
  <c r="BA33" i="13"/>
  <c r="AJ29" i="13"/>
  <c r="AH21" i="13"/>
  <c r="AH35" i="13"/>
  <c r="AY31" i="13"/>
  <c r="AZ37" i="13"/>
  <c r="AZ34" i="13"/>
  <c r="AZ30" i="13"/>
  <c r="AZ22" i="13"/>
  <c r="AX33" i="13"/>
  <c r="AX29" i="13"/>
  <c r="AX21" i="13"/>
  <c r="BA22" i="13"/>
  <c r="BA36" i="13"/>
  <c r="BA32" i="13"/>
  <c r="AJ28" i="13"/>
  <c r="AY38" i="13"/>
  <c r="W28" i="13"/>
  <c r="U28" i="13"/>
  <c r="S28" i="13"/>
  <c r="T27" i="13"/>
  <c r="D39" i="13"/>
  <c r="V28" i="13"/>
  <c r="AM37" i="13"/>
  <c r="W21" i="13"/>
  <c r="W29" i="13"/>
  <c r="W33" i="13"/>
  <c r="W38" i="13"/>
  <c r="S35" i="13"/>
  <c r="V33" i="13"/>
  <c r="T28" i="13"/>
  <c r="W22" i="13"/>
  <c r="W30" i="13"/>
  <c r="W34" i="13"/>
  <c r="W36" i="13"/>
  <c r="U37" i="13"/>
  <c r="U29" i="13"/>
  <c r="AG35" i="13"/>
  <c r="AI22" i="13"/>
  <c r="AI34" i="13"/>
  <c r="AI37" i="13"/>
  <c r="AI30" i="13"/>
  <c r="AT29" i="13"/>
  <c r="BA29" i="13" s="1"/>
  <c r="AJ33" i="13"/>
  <c r="C55" i="12"/>
  <c r="F40" i="12" s="1"/>
  <c r="C20" i="12"/>
  <c r="C43" i="12"/>
  <c r="G10" i="12" s="1"/>
  <c r="C42" i="12"/>
  <c r="C22" i="12"/>
  <c r="C21" i="12"/>
  <c r="AI38" i="13"/>
  <c r="AR34" i="13"/>
  <c r="AY34" i="13" s="1"/>
  <c r="G146" i="16"/>
  <c r="I146" i="16" s="1"/>
  <c r="G144" i="16"/>
  <c r="I144" i="16" s="1"/>
  <c r="G142" i="16"/>
  <c r="I142" i="16" s="1"/>
  <c r="G140" i="16"/>
  <c r="I140" i="16" s="1"/>
  <c r="G138" i="16"/>
  <c r="I138" i="16" s="1"/>
  <c r="G136" i="16"/>
  <c r="I136" i="16" s="1"/>
  <c r="G134" i="16"/>
  <c r="I134" i="16" s="1"/>
  <c r="G132" i="16"/>
  <c r="I132" i="16" s="1"/>
  <c r="G130" i="16"/>
  <c r="I130" i="16" s="1"/>
  <c r="G128" i="16"/>
  <c r="I128" i="16" s="1"/>
  <c r="G126" i="16"/>
  <c r="I126" i="16" s="1"/>
  <c r="G124" i="16"/>
  <c r="I124" i="16" s="1"/>
  <c r="G122" i="16"/>
  <c r="I122" i="16" s="1"/>
  <c r="G150" i="16"/>
  <c r="I150" i="16" s="1"/>
  <c r="G120" i="16"/>
  <c r="I120" i="16" s="1"/>
  <c r="G118" i="16"/>
  <c r="I118" i="16" s="1"/>
  <c r="G116" i="16"/>
  <c r="I116" i="16" s="1"/>
  <c r="G114" i="16"/>
  <c r="I114" i="16" s="1"/>
  <c r="G112" i="16"/>
  <c r="I112" i="16" s="1"/>
  <c r="G110" i="16"/>
  <c r="I110" i="16" s="1"/>
  <c r="G108" i="16"/>
  <c r="I108" i="16" s="1"/>
  <c r="G106" i="16"/>
  <c r="I106" i="16" s="1"/>
  <c r="G104" i="16"/>
  <c r="I104" i="16" s="1"/>
  <c r="G102" i="16"/>
  <c r="I102" i="16" s="1"/>
  <c r="G100" i="16"/>
  <c r="I100" i="16" s="1"/>
  <c r="G98" i="16"/>
  <c r="I98" i="16" s="1"/>
  <c r="G96" i="16"/>
  <c r="I96" i="16" s="1"/>
  <c r="G94" i="16"/>
  <c r="I94" i="16" s="1"/>
  <c r="G92" i="16"/>
  <c r="I92" i="16" s="1"/>
  <c r="G90" i="16"/>
  <c r="I90" i="16" s="1"/>
  <c r="G88" i="16"/>
  <c r="I88" i="16" s="1"/>
  <c r="G86" i="16"/>
  <c r="I86" i="16" s="1"/>
  <c r="G84" i="16"/>
  <c r="I84" i="16" s="1"/>
  <c r="G82" i="16"/>
  <c r="I82" i="16" s="1"/>
  <c r="G78" i="16"/>
  <c r="I78" i="16" s="1"/>
  <c r="G76" i="16"/>
  <c r="I76" i="16" s="1"/>
  <c r="G70" i="16"/>
  <c r="I70" i="16" s="1"/>
  <c r="G63" i="16"/>
  <c r="I63" i="16" s="1"/>
  <c r="G39" i="16"/>
  <c r="I39" i="16" s="1"/>
  <c r="G25" i="16"/>
  <c r="I25" i="16" s="1"/>
  <c r="G23" i="16"/>
  <c r="I23" i="16" s="1"/>
  <c r="G20" i="16"/>
  <c r="I20" i="16" s="1"/>
  <c r="G153" i="16"/>
  <c r="I153" i="16" s="1"/>
  <c r="G71" i="16"/>
  <c r="I71" i="16" s="1"/>
  <c r="G67" i="16"/>
  <c r="I67" i="16" s="1"/>
  <c r="G65" i="16"/>
  <c r="I65" i="16" s="1"/>
  <c r="G61" i="16"/>
  <c r="I61" i="16" s="1"/>
  <c r="G59" i="16"/>
  <c r="I59" i="16" s="1"/>
  <c r="G55" i="16"/>
  <c r="I55" i="16" s="1"/>
  <c r="G53" i="16"/>
  <c r="I53" i="16" s="1"/>
  <c r="G51" i="16"/>
  <c r="I51" i="16" s="1"/>
  <c r="G49" i="16"/>
  <c r="I49" i="16" s="1"/>
  <c r="G47" i="16"/>
  <c r="I47" i="16" s="1"/>
  <c r="G45" i="16"/>
  <c r="I45" i="16" s="1"/>
  <c r="G43" i="16"/>
  <c r="I43" i="16" s="1"/>
  <c r="AJ32" i="13"/>
  <c r="AI33" i="13"/>
  <c r="AG34" i="13"/>
  <c r="AG36" i="13"/>
  <c r="AI21" i="13"/>
  <c r="AJ36" i="13"/>
  <c r="AJ22" i="13"/>
  <c r="T32" i="13"/>
  <c r="V27" i="13"/>
  <c r="G145" i="16"/>
  <c r="I145" i="16" s="1"/>
  <c r="G143" i="16"/>
  <c r="I143" i="16" s="1"/>
  <c r="G141" i="16"/>
  <c r="I141" i="16" s="1"/>
  <c r="G139" i="16"/>
  <c r="I139" i="16" s="1"/>
  <c r="G137" i="16"/>
  <c r="I137" i="16" s="1"/>
  <c r="G135" i="16"/>
  <c r="I135" i="16" s="1"/>
  <c r="G133" i="16"/>
  <c r="I133" i="16" s="1"/>
  <c r="G131" i="16"/>
  <c r="I131" i="16" s="1"/>
  <c r="G129" i="16"/>
  <c r="I129" i="16" s="1"/>
  <c r="G127" i="16"/>
  <c r="I127" i="16" s="1"/>
  <c r="G125" i="16"/>
  <c r="I125" i="16" s="1"/>
  <c r="G123" i="16"/>
  <c r="I123" i="16" s="1"/>
  <c r="G121" i="16"/>
  <c r="I121" i="16" s="1"/>
  <c r="G149" i="16"/>
  <c r="I149" i="16" s="1"/>
  <c r="G119" i="16"/>
  <c r="I119" i="16" s="1"/>
  <c r="G117" i="16"/>
  <c r="I117" i="16" s="1"/>
  <c r="G115" i="16"/>
  <c r="I115" i="16" s="1"/>
  <c r="G113" i="16"/>
  <c r="I113" i="16" s="1"/>
  <c r="G111" i="16"/>
  <c r="I111" i="16" s="1"/>
  <c r="G109" i="16"/>
  <c r="I109" i="16" s="1"/>
  <c r="G107" i="16"/>
  <c r="I107" i="16" s="1"/>
  <c r="G105" i="16"/>
  <c r="I105" i="16" s="1"/>
  <c r="G103" i="16"/>
  <c r="I103" i="16" s="1"/>
  <c r="G101" i="16"/>
  <c r="I101" i="16" s="1"/>
  <c r="G99" i="16"/>
  <c r="I99" i="16" s="1"/>
  <c r="G97" i="16"/>
  <c r="I97" i="16" s="1"/>
  <c r="G95" i="16"/>
  <c r="I95" i="16" s="1"/>
  <c r="G93" i="16"/>
  <c r="I93" i="16" s="1"/>
  <c r="G91" i="16"/>
  <c r="I91" i="16" s="1"/>
  <c r="G89" i="16"/>
  <c r="I89" i="16" s="1"/>
  <c r="G87" i="16"/>
  <c r="I87" i="16" s="1"/>
  <c r="G85" i="16"/>
  <c r="I85" i="16" s="1"/>
  <c r="G83" i="16"/>
  <c r="I83" i="16" s="1"/>
  <c r="G81" i="16"/>
  <c r="I81" i="16" s="1"/>
  <c r="G77" i="16"/>
  <c r="I77" i="16" s="1"/>
  <c r="G75" i="16"/>
  <c r="I75" i="16" s="1"/>
  <c r="G7" i="16" s="1"/>
  <c r="G69" i="16"/>
  <c r="I69" i="16" s="1"/>
  <c r="G62" i="16"/>
  <c r="I62" i="16" s="1"/>
  <c r="G33" i="16"/>
  <c r="I33" i="16" s="1"/>
  <c r="G31" i="16"/>
  <c r="I31" i="16" s="1"/>
  <c r="G154" i="16"/>
  <c r="I154" i="16" s="1"/>
  <c r="G72" i="16"/>
  <c r="I72" i="16" s="1"/>
  <c r="G68" i="16"/>
  <c r="I68" i="16" s="1"/>
  <c r="G66" i="16"/>
  <c r="I66" i="16" s="1"/>
  <c r="G64" i="16"/>
  <c r="I64" i="16" s="1"/>
  <c r="G60" i="16"/>
  <c r="I60" i="16" s="1"/>
  <c r="G56" i="16"/>
  <c r="I56" i="16" s="1"/>
  <c r="G54" i="16"/>
  <c r="I54" i="16" s="1"/>
  <c r="G52" i="16"/>
  <c r="I52" i="16" s="1"/>
  <c r="G50" i="16"/>
  <c r="I50" i="16" s="1"/>
  <c r="G48" i="16"/>
  <c r="I48" i="16" s="1"/>
  <c r="G46" i="16"/>
  <c r="I46" i="16" s="1"/>
  <c r="G44" i="16"/>
  <c r="I44" i="16" s="1"/>
  <c r="G42" i="16"/>
  <c r="I42" i="16" s="1"/>
  <c r="A1" i="26"/>
  <c r="A1" i="36"/>
  <c r="AX28" i="13"/>
  <c r="AG31" i="13"/>
  <c r="AG27" i="13"/>
  <c r="AG30" i="13"/>
  <c r="AX34" i="13"/>
  <c r="AX32" i="13"/>
  <c r="AG21" i="13"/>
  <c r="AG22" i="13"/>
  <c r="AX27" i="13"/>
  <c r="AG33" i="13"/>
  <c r="AG29" i="13"/>
  <c r="AX30" i="13"/>
  <c r="AX22" i="13"/>
  <c r="AG37" i="13"/>
  <c r="S11" i="27"/>
  <c r="K13" i="27"/>
  <c r="D15" i="27"/>
  <c r="D16" i="27"/>
  <c r="AX36" i="13"/>
  <c r="AH36" i="13"/>
  <c r="AH31" i="13"/>
  <c r="AY30" i="13"/>
  <c r="AH33" i="13"/>
  <c r="AY27" i="13"/>
  <c r="AH22" i="13"/>
  <c r="AY35" i="13"/>
  <c r="AY21" i="13"/>
  <c r="AY37" i="13"/>
  <c r="AH29" i="13"/>
  <c r="AY33" i="13"/>
  <c r="AH27" i="13"/>
  <c r="AY22" i="13"/>
  <c r="AH32" i="13"/>
  <c r="AH38" i="13"/>
  <c r="S13" i="27"/>
  <c r="G16" i="27"/>
  <c r="E13" i="27"/>
  <c r="U32" i="13"/>
  <c r="AN22" i="13"/>
  <c r="AN39" i="13" s="1"/>
  <c r="AM38" i="13"/>
  <c r="AM39" i="13" s="1"/>
  <c r="S258" i="27"/>
  <c r="S263" i="27" s="1"/>
  <c r="S231" i="27"/>
  <c r="P263" i="27"/>
  <c r="U27" i="13"/>
  <c r="Q240" i="27"/>
  <c r="T240" i="27" s="1"/>
  <c r="M178" i="27"/>
  <c r="M10" i="27" s="1"/>
  <c r="S10" i="27" s="1"/>
  <c r="C66" i="12"/>
  <c r="C19" i="12" s="1"/>
  <c r="C75" i="12"/>
  <c r="C39" i="12" s="1"/>
  <c r="G6" i="12" s="1"/>
  <c r="S239" i="27"/>
  <c r="E10" i="13"/>
  <c r="D13" i="17"/>
  <c r="G9" i="16"/>
  <c r="G9" i="12"/>
  <c r="G38" i="16"/>
  <c r="I38" i="16" s="1"/>
  <c r="G34" i="16"/>
  <c r="I34" i="16" s="1"/>
  <c r="G30" i="16"/>
  <c r="I30" i="16" s="1"/>
  <c r="G26" i="16"/>
  <c r="I26" i="16" s="1"/>
  <c r="G22" i="16"/>
  <c r="I22" i="16" s="1"/>
  <c r="C77" i="12"/>
  <c r="C41" i="12" s="1"/>
  <c r="C76" i="12"/>
  <c r="C40" i="12" s="1"/>
  <c r="P66" i="17"/>
  <c r="G36" i="16"/>
  <c r="I36" i="16" s="1"/>
  <c r="G32" i="16"/>
  <c r="I32" i="16" s="1"/>
  <c r="G28" i="16"/>
  <c r="I28" i="16" s="1"/>
  <c r="G24" i="16"/>
  <c r="I24" i="16" s="1"/>
  <c r="N39" i="17"/>
  <c r="O33" i="17" s="1"/>
  <c r="F41" i="12"/>
  <c r="G61" i="17" l="1"/>
  <c r="G64" i="17" s="1"/>
  <c r="P61" i="17"/>
  <c r="G60" i="17"/>
  <c r="G62" i="17"/>
  <c r="G63" i="17"/>
  <c r="F20" i="19"/>
  <c r="F21" i="19" s="1"/>
  <c r="AH30" i="13"/>
  <c r="AY32" i="13"/>
  <c r="AH37" i="13"/>
  <c r="AY28" i="13"/>
  <c r="AH28" i="13"/>
  <c r="G10" i="16"/>
  <c r="I41" i="12"/>
  <c r="F51" i="12"/>
  <c r="I51" i="12" s="1"/>
  <c r="I40" i="12"/>
  <c r="F50" i="12"/>
  <c r="I50" i="12" s="1"/>
  <c r="G8" i="16"/>
  <c r="D8" i="17"/>
  <c r="D20" i="17" s="1"/>
  <c r="O35" i="17"/>
  <c r="O36" i="17" s="1"/>
  <c r="E16" i="27"/>
  <c r="Q13" i="27"/>
  <c r="T13" i="27" s="1"/>
  <c r="E15" i="27"/>
  <c r="S240" i="27"/>
  <c r="O13" i="27"/>
  <c r="I164" i="16"/>
  <c r="G6" i="16"/>
  <c r="S33" i="17"/>
  <c r="R33" i="17"/>
  <c r="Q33" i="17"/>
  <c r="P33" i="17"/>
  <c r="D26" i="17"/>
  <c r="C47" i="17"/>
  <c r="Q15" i="27"/>
  <c r="T15" i="27" s="1"/>
  <c r="O15" i="27"/>
  <c r="E39" i="13"/>
  <c r="I39" i="13" s="1"/>
  <c r="I10" i="13"/>
  <c r="K16" i="27"/>
  <c r="K15" i="27"/>
  <c r="S15" i="27" s="1"/>
  <c r="R61" i="17" l="1"/>
  <c r="Q64" i="17"/>
  <c r="R64" i="17" s="1"/>
  <c r="Q63" i="17"/>
  <c r="Q67" i="17" s="1"/>
  <c r="P67" i="17"/>
  <c r="R67" i="17" s="1"/>
  <c r="G7" i="12"/>
  <c r="J51" i="12"/>
  <c r="H10" i="12"/>
  <c r="H9" i="12"/>
  <c r="G8" i="12"/>
  <c r="H8" i="12" s="1"/>
  <c r="F17" i="7" s="1"/>
  <c r="G46" i="17" s="1"/>
  <c r="J52" i="12"/>
  <c r="J50" i="12"/>
  <c r="J53" i="12"/>
  <c r="J49" i="12"/>
  <c r="H8" i="17"/>
  <c r="H20" i="17" s="1"/>
  <c r="R35" i="17"/>
  <c r="R36" i="17" s="1"/>
  <c r="S37" i="17" s="1"/>
  <c r="S35" i="17"/>
  <c r="S36" i="17" s="1"/>
  <c r="I8" i="17"/>
  <c r="I20" i="17" s="1"/>
  <c r="P35" i="17"/>
  <c r="P36" i="17" s="1"/>
  <c r="E8" i="17"/>
  <c r="E20" i="17" s="1"/>
  <c r="G11" i="16"/>
  <c r="H6" i="16" s="1"/>
  <c r="G8" i="17"/>
  <c r="G20" i="17" s="1"/>
  <c r="Q35" i="17"/>
  <c r="Q36" i="17" s="1"/>
  <c r="D28" i="17"/>
  <c r="D21" i="17"/>
  <c r="D22" i="17" s="1"/>
  <c r="G45" i="17" l="1"/>
  <c r="E7" i="23" s="1"/>
  <c r="G17" i="7"/>
  <c r="E45" i="17" s="1"/>
  <c r="F7" i="23" s="1"/>
  <c r="Q66" i="17"/>
  <c r="R66" i="17" s="1"/>
  <c r="J73" i="17" s="1"/>
  <c r="P73" i="17" s="1"/>
  <c r="P75" i="17" s="1"/>
  <c r="R63" i="17"/>
  <c r="E46" i="17"/>
  <c r="F6" i="23" s="1"/>
  <c r="H7" i="12"/>
  <c r="E17" i="7" s="1"/>
  <c r="H6" i="12"/>
  <c r="C22" i="7"/>
  <c r="D22" i="7"/>
  <c r="E21" i="17"/>
  <c r="E22" i="17" s="1"/>
  <c r="C45" i="17" s="1"/>
  <c r="E28" i="17"/>
  <c r="L46" i="17"/>
  <c r="E6" i="23"/>
  <c r="I11" i="16"/>
  <c r="H8" i="16"/>
  <c r="F22" i="7" s="1"/>
  <c r="H7" i="16"/>
  <c r="E22" i="7" s="1"/>
  <c r="H10" i="16"/>
  <c r="H9" i="16"/>
  <c r="H28" i="17"/>
  <c r="H21" i="17"/>
  <c r="H22" i="17" s="1"/>
  <c r="I21" i="17"/>
  <c r="I22" i="17" s="1"/>
  <c r="I28" i="17"/>
  <c r="G28" i="17"/>
  <c r="G21" i="17"/>
  <c r="G22" i="17" s="1"/>
  <c r="K46" i="17" l="1"/>
  <c r="G22" i="7"/>
  <c r="L7" i="13" s="1"/>
  <c r="S7" i="13" s="1"/>
  <c r="Z7" i="13" s="1"/>
  <c r="H11" i="16"/>
  <c r="D17" i="7"/>
  <c r="C17" i="7"/>
  <c r="H45" i="17"/>
  <c r="D7" i="23" s="1"/>
  <c r="H46" i="17"/>
  <c r="L45" i="17"/>
  <c r="C49" i="17"/>
  <c r="K45" i="17"/>
  <c r="N10" i="13"/>
  <c r="U10" i="13" s="1"/>
  <c r="AB10" i="13" s="1"/>
  <c r="N13" i="13"/>
  <c r="U13" i="13" s="1"/>
  <c r="AB13" i="13" s="1"/>
  <c r="N20" i="13"/>
  <c r="U20" i="13" s="1"/>
  <c r="AB20" i="13" s="1"/>
  <c r="N9" i="13"/>
  <c r="U9" i="13" s="1"/>
  <c r="AB9" i="13" s="1"/>
  <c r="N17" i="13"/>
  <c r="U17" i="13" s="1"/>
  <c r="AB17" i="13" s="1"/>
  <c r="N12" i="13"/>
  <c r="U12" i="13" s="1"/>
  <c r="AB12" i="13" s="1"/>
  <c r="N26" i="13"/>
  <c r="U26" i="13" s="1"/>
  <c r="AB26" i="13" s="1"/>
  <c r="N23" i="13"/>
  <c r="U23" i="13" s="1"/>
  <c r="AB23" i="13" s="1"/>
  <c r="N19" i="13"/>
  <c r="U19" i="13" s="1"/>
  <c r="AB19" i="13" s="1"/>
  <c r="N15" i="13"/>
  <c r="U15" i="13" s="1"/>
  <c r="AB15" i="13" s="1"/>
  <c r="N18" i="13"/>
  <c r="U18" i="13" s="1"/>
  <c r="AB18" i="13" s="1"/>
  <c r="N14" i="13"/>
  <c r="U14" i="13" s="1"/>
  <c r="AB14" i="13" s="1"/>
  <c r="N7" i="13"/>
  <c r="U7" i="13" s="1"/>
  <c r="AB7" i="13" s="1"/>
  <c r="N16" i="13"/>
  <c r="U16" i="13" s="1"/>
  <c r="AB16" i="13" s="1"/>
  <c r="N6" i="13"/>
  <c r="U6" i="13" s="1"/>
  <c r="N8" i="13"/>
  <c r="U8" i="13" s="1"/>
  <c r="AB8" i="13" s="1"/>
  <c r="N11" i="13"/>
  <c r="U11" i="13" s="1"/>
  <c r="AB11" i="13" s="1"/>
  <c r="N25" i="13"/>
  <c r="U25" i="13" s="1"/>
  <c r="AB25" i="13" s="1"/>
  <c r="N24" i="13"/>
  <c r="U24" i="13" s="1"/>
  <c r="AB24" i="13" s="1"/>
  <c r="M8" i="13"/>
  <c r="T8" i="13" s="1"/>
  <c r="AA8" i="13" s="1"/>
  <c r="M13" i="13"/>
  <c r="T13" i="13" s="1"/>
  <c r="AA13" i="13" s="1"/>
  <c r="M17" i="13"/>
  <c r="T17" i="13" s="1"/>
  <c r="AA17" i="13" s="1"/>
  <c r="M25" i="13"/>
  <c r="T25" i="13" s="1"/>
  <c r="AA25" i="13" s="1"/>
  <c r="M7" i="13"/>
  <c r="T7" i="13" s="1"/>
  <c r="AA7" i="13" s="1"/>
  <c r="M11" i="13"/>
  <c r="T11" i="13" s="1"/>
  <c r="AA11" i="13" s="1"/>
  <c r="M12" i="13"/>
  <c r="T12" i="13" s="1"/>
  <c r="AA12" i="13" s="1"/>
  <c r="M16" i="13"/>
  <c r="T16" i="13" s="1"/>
  <c r="AA16" i="13" s="1"/>
  <c r="M20" i="13"/>
  <c r="T20" i="13" s="1"/>
  <c r="AA20" i="13" s="1"/>
  <c r="M24" i="13"/>
  <c r="T24" i="13" s="1"/>
  <c r="AA24" i="13" s="1"/>
  <c r="M6" i="13"/>
  <c r="T6" i="13" s="1"/>
  <c r="M10" i="13"/>
  <c r="T10" i="13" s="1"/>
  <c r="AA10" i="13" s="1"/>
  <c r="M15" i="13"/>
  <c r="T15" i="13" s="1"/>
  <c r="AA15" i="13" s="1"/>
  <c r="M19" i="13"/>
  <c r="T19" i="13" s="1"/>
  <c r="AA19" i="13" s="1"/>
  <c r="M23" i="13"/>
  <c r="T23" i="13" s="1"/>
  <c r="AA23" i="13" s="1"/>
  <c r="M9" i="13"/>
  <c r="T9" i="13" s="1"/>
  <c r="AA9" i="13" s="1"/>
  <c r="M14" i="13"/>
  <c r="T14" i="13" s="1"/>
  <c r="AA14" i="13" s="1"/>
  <c r="M18" i="13"/>
  <c r="T18" i="13" s="1"/>
  <c r="AA18" i="13" s="1"/>
  <c r="M26" i="13"/>
  <c r="T26" i="13" s="1"/>
  <c r="AA26" i="13" s="1"/>
  <c r="L9" i="13"/>
  <c r="S9" i="13" s="1"/>
  <c r="Z9" i="13" s="1"/>
  <c r="L19" i="13"/>
  <c r="S19" i="13" s="1"/>
  <c r="Z19" i="13" s="1"/>
  <c r="L6" i="13"/>
  <c r="S6" i="13" s="1"/>
  <c r="L11" i="13"/>
  <c r="S11" i="13" s="1"/>
  <c r="Z11" i="13" s="1"/>
  <c r="L26" i="13"/>
  <c r="S26" i="13" s="1"/>
  <c r="Z26" i="13" s="1"/>
  <c r="O7" i="13"/>
  <c r="O9" i="13"/>
  <c r="O11" i="13"/>
  <c r="O15" i="13"/>
  <c r="O19" i="13"/>
  <c r="O23" i="13"/>
  <c r="O14" i="13"/>
  <c r="O18" i="13"/>
  <c r="O26" i="13"/>
  <c r="O6" i="13"/>
  <c r="O8" i="13"/>
  <c r="O10" i="13"/>
  <c r="O13" i="13"/>
  <c r="O17" i="13"/>
  <c r="O25" i="13"/>
  <c r="O12" i="13"/>
  <c r="O16" i="13"/>
  <c r="O20" i="13"/>
  <c r="O24" i="13"/>
  <c r="P12" i="13"/>
  <c r="P13" i="13"/>
  <c r="P14" i="13"/>
  <c r="P15" i="13"/>
  <c r="P16" i="13"/>
  <c r="P17" i="13"/>
  <c r="P18" i="13"/>
  <c r="P19" i="13"/>
  <c r="P20" i="13"/>
  <c r="P6" i="13"/>
  <c r="P7" i="13"/>
  <c r="P8" i="13"/>
  <c r="P9" i="13"/>
  <c r="P10" i="13"/>
  <c r="P11" i="13"/>
  <c r="P24" i="13"/>
  <c r="P23" i="13"/>
  <c r="P26" i="13"/>
  <c r="P25" i="13"/>
  <c r="L15" i="13" l="1"/>
  <c r="S15" i="13" s="1"/>
  <c r="Z15" i="13" s="1"/>
  <c r="L25" i="13"/>
  <c r="S25" i="13" s="1"/>
  <c r="Z25" i="13" s="1"/>
  <c r="AG25" i="13" s="1"/>
  <c r="L12" i="13"/>
  <c r="S12" i="13" s="1"/>
  <c r="Z12" i="13" s="1"/>
  <c r="L13" i="13"/>
  <c r="S13" i="13" s="1"/>
  <c r="Z13" i="13" s="1"/>
  <c r="L14" i="13"/>
  <c r="S14" i="13" s="1"/>
  <c r="Z14" i="13" s="1"/>
  <c r="AQ14" i="13" s="1"/>
  <c r="AX14" i="13" s="1"/>
  <c r="L20" i="13"/>
  <c r="S20" i="13" s="1"/>
  <c r="Z20" i="13" s="1"/>
  <c r="L18" i="13"/>
  <c r="S18" i="13" s="1"/>
  <c r="Z18" i="13" s="1"/>
  <c r="AQ18" i="13" s="1"/>
  <c r="AX18" i="13" s="1"/>
  <c r="L17" i="13"/>
  <c r="S17" i="13" s="1"/>
  <c r="Z17" i="13" s="1"/>
  <c r="L10" i="13"/>
  <c r="S10" i="13" s="1"/>
  <c r="Z10" i="13" s="1"/>
  <c r="H22" i="7"/>
  <c r="L8" i="13"/>
  <c r="S8" i="13" s="1"/>
  <c r="Z8" i="13" s="1"/>
  <c r="AG8" i="13" s="1"/>
  <c r="L16" i="13"/>
  <c r="S16" i="13" s="1"/>
  <c r="Z16" i="13" s="1"/>
  <c r="L24" i="13"/>
  <c r="S24" i="13" s="1"/>
  <c r="Z24" i="13" s="1"/>
  <c r="L23" i="13"/>
  <c r="S23" i="13" s="1"/>
  <c r="Z23" i="13" s="1"/>
  <c r="D6" i="23"/>
  <c r="M46" i="17"/>
  <c r="J45" i="17"/>
  <c r="J46" i="17"/>
  <c r="M45" i="17"/>
  <c r="I45" i="17"/>
  <c r="I46" i="17"/>
  <c r="W23" i="13"/>
  <c r="AD23" i="13" s="1"/>
  <c r="AU23" i="13" s="1"/>
  <c r="W20" i="13"/>
  <c r="AD20" i="13" s="1"/>
  <c r="AU20" i="13" s="1"/>
  <c r="W12" i="13"/>
  <c r="AD12" i="13" s="1"/>
  <c r="V17" i="13"/>
  <c r="AC17" i="13" s="1"/>
  <c r="V23" i="13"/>
  <c r="AC23" i="13" s="1"/>
  <c r="V9" i="13"/>
  <c r="AC9" i="13" s="1"/>
  <c r="AG13" i="13"/>
  <c r="AQ13" i="13"/>
  <c r="AX13" i="13" s="1"/>
  <c r="AR26" i="13"/>
  <c r="AY26" i="13" s="1"/>
  <c r="AH26" i="13"/>
  <c r="AA6" i="13"/>
  <c r="T39" i="13"/>
  <c r="AH17" i="13"/>
  <c r="AR17" i="13"/>
  <c r="AY17" i="13" s="1"/>
  <c r="AS7" i="13"/>
  <c r="AZ7" i="13" s="1"/>
  <c r="AI7" i="13"/>
  <c r="AI10" i="13"/>
  <c r="AS10" i="13"/>
  <c r="AZ10" i="13" s="1"/>
  <c r="W24" i="13"/>
  <c r="AD24" i="13" s="1"/>
  <c r="AU24" i="13" s="1"/>
  <c r="W8" i="13"/>
  <c r="AD8" i="13" s="1"/>
  <c r="AU8" i="13" s="1"/>
  <c r="W19" i="13"/>
  <c r="AD19" i="13" s="1"/>
  <c r="AU19" i="13" s="1"/>
  <c r="W15" i="13"/>
  <c r="AD15" i="13" s="1"/>
  <c r="AU15" i="13" s="1"/>
  <c r="V16" i="13"/>
  <c r="AC16" i="13" s="1"/>
  <c r="V13" i="13"/>
  <c r="AC13" i="13" s="1"/>
  <c r="V26" i="13"/>
  <c r="AC26" i="13" s="1"/>
  <c r="V19" i="13"/>
  <c r="AC19" i="13" s="1"/>
  <c r="V7" i="13"/>
  <c r="AC7" i="13" s="1"/>
  <c r="AG20" i="13"/>
  <c r="AQ20" i="13"/>
  <c r="AX20" i="13" s="1"/>
  <c r="AG17" i="13"/>
  <c r="AQ17" i="13"/>
  <c r="AX17" i="13" s="1"/>
  <c r="AG10" i="13"/>
  <c r="AQ10" i="13"/>
  <c r="AX10" i="13" s="1"/>
  <c r="AR18" i="13"/>
  <c r="AY18" i="13" s="1"/>
  <c r="AH18" i="13"/>
  <c r="AR19" i="13"/>
  <c r="AY19" i="13" s="1"/>
  <c r="AH19" i="13"/>
  <c r="AH24" i="13"/>
  <c r="AR24" i="13"/>
  <c r="AY24" i="13" s="1"/>
  <c r="AH11" i="13"/>
  <c r="AR11" i="13"/>
  <c r="AY11" i="13" s="1"/>
  <c r="AR13" i="13"/>
  <c r="AY13" i="13" s="1"/>
  <c r="AH13" i="13"/>
  <c r="AS8" i="13"/>
  <c r="AZ8" i="13" s="1"/>
  <c r="AI8" i="13"/>
  <c r="AS14" i="13"/>
  <c r="AZ14" i="13" s="1"/>
  <c r="AI14" i="13"/>
  <c r="AS23" i="13"/>
  <c r="AZ23" i="13" s="1"/>
  <c r="AI23" i="13"/>
  <c r="AI9" i="13"/>
  <c r="AS9" i="13"/>
  <c r="AZ9" i="13" s="1"/>
  <c r="W9" i="13"/>
  <c r="AD9" i="13" s="1"/>
  <c r="AU9" i="13" s="1"/>
  <c r="W16" i="13"/>
  <c r="AD16" i="13" s="1"/>
  <c r="AU16" i="13" s="1"/>
  <c r="V20" i="13"/>
  <c r="AC20" i="13" s="1"/>
  <c r="V6" i="13"/>
  <c r="AC6" i="13" s="1"/>
  <c r="AQ15" i="13"/>
  <c r="AX15" i="13" s="1"/>
  <c r="AG15" i="13"/>
  <c r="AG14" i="13"/>
  <c r="AR23" i="13"/>
  <c r="AY23" i="13" s="1"/>
  <c r="AH23" i="13"/>
  <c r="AA47" i="13"/>
  <c r="AH12" i="13"/>
  <c r="AR12" i="13"/>
  <c r="AY12" i="13" s="1"/>
  <c r="AS11" i="13"/>
  <c r="AZ11" i="13" s="1"/>
  <c r="AI11" i="13"/>
  <c r="AS19" i="13"/>
  <c r="AZ19" i="13" s="1"/>
  <c r="AI19" i="13"/>
  <c r="AS17" i="13"/>
  <c r="AZ17" i="13" s="1"/>
  <c r="AI17" i="13"/>
  <c r="W25" i="13"/>
  <c r="AD25" i="13" s="1"/>
  <c r="AU25" i="13" s="1"/>
  <c r="W11" i="13"/>
  <c r="AD11" i="13" s="1"/>
  <c r="AU11" i="13" s="1"/>
  <c r="W7" i="13"/>
  <c r="AD7" i="13" s="1"/>
  <c r="AU7" i="13" s="1"/>
  <c r="W18" i="13"/>
  <c r="AD18" i="13" s="1"/>
  <c r="AU18" i="13" s="1"/>
  <c r="W14" i="13"/>
  <c r="AD14" i="13" s="1"/>
  <c r="AU14" i="13" s="1"/>
  <c r="V12" i="13"/>
  <c r="AC12" i="13" s="1"/>
  <c r="V10" i="13"/>
  <c r="AC10" i="13" s="1"/>
  <c r="V18" i="13"/>
  <c r="AC18" i="13" s="1"/>
  <c r="V15" i="13"/>
  <c r="AC15" i="13" s="1"/>
  <c r="AQ16" i="13"/>
  <c r="AX16" i="13" s="1"/>
  <c r="AG16" i="13"/>
  <c r="AQ24" i="13"/>
  <c r="AX24" i="13" s="1"/>
  <c r="AG24" i="13"/>
  <c r="AQ23" i="13"/>
  <c r="AX23" i="13" s="1"/>
  <c r="AG23" i="13"/>
  <c r="AG7" i="13"/>
  <c r="AQ7" i="13"/>
  <c r="AX7" i="13" s="1"/>
  <c r="AH14" i="13"/>
  <c r="AR14" i="13"/>
  <c r="AY14" i="13" s="1"/>
  <c r="AH15" i="13"/>
  <c r="AR15" i="13"/>
  <c r="AY15" i="13" s="1"/>
  <c r="AH20" i="13"/>
  <c r="AR20" i="13"/>
  <c r="AY20" i="13" s="1"/>
  <c r="AR7" i="13"/>
  <c r="AY7" i="13" s="1"/>
  <c r="AH7" i="13"/>
  <c r="AH8" i="13"/>
  <c r="AR8" i="13"/>
  <c r="AY8" i="13" s="1"/>
  <c r="AI24" i="13"/>
  <c r="AS24" i="13"/>
  <c r="AZ24" i="13" s="1"/>
  <c r="U39" i="13"/>
  <c r="AB6" i="13"/>
  <c r="AI18" i="13"/>
  <c r="AS18" i="13"/>
  <c r="AZ18" i="13" s="1"/>
  <c r="AI26" i="13"/>
  <c r="AS26" i="13"/>
  <c r="AZ26" i="13" s="1"/>
  <c r="AS20" i="13"/>
  <c r="AZ20" i="13" s="1"/>
  <c r="AI20" i="13"/>
  <c r="W26" i="13"/>
  <c r="AD26" i="13" s="1"/>
  <c r="AU26" i="13" s="1"/>
  <c r="W10" i="13"/>
  <c r="AD10" i="13" s="1"/>
  <c r="AU10" i="13" s="1"/>
  <c r="W6" i="13"/>
  <c r="AD6" i="13" s="1"/>
  <c r="W17" i="13"/>
  <c r="AD17" i="13" s="1"/>
  <c r="AU17" i="13" s="1"/>
  <c r="W13" i="13"/>
  <c r="AD13" i="13" s="1"/>
  <c r="AU13" i="13" s="1"/>
  <c r="V24" i="13"/>
  <c r="AC24" i="13" s="1"/>
  <c r="V25" i="13"/>
  <c r="AC25" i="13" s="1"/>
  <c r="V8" i="13"/>
  <c r="AC8" i="13" s="1"/>
  <c r="V14" i="13"/>
  <c r="AC14" i="13" s="1"/>
  <c r="V11" i="13"/>
  <c r="AC11" i="13" s="1"/>
  <c r="AQ26" i="13"/>
  <c r="AX26" i="13" s="1"/>
  <c r="AG26" i="13"/>
  <c r="AQ11" i="13"/>
  <c r="AX11" i="13" s="1"/>
  <c r="AG11" i="13"/>
  <c r="Z6" i="13"/>
  <c r="AG19" i="13"/>
  <c r="AQ19" i="13"/>
  <c r="AX19" i="13" s="1"/>
  <c r="AQ9" i="13"/>
  <c r="AX9" i="13" s="1"/>
  <c r="AG9" i="13"/>
  <c r="AH9" i="13"/>
  <c r="AR9" i="13"/>
  <c r="AY9" i="13" s="1"/>
  <c r="AH10" i="13"/>
  <c r="AR10" i="13"/>
  <c r="AY10" i="13" s="1"/>
  <c r="AR16" i="13"/>
  <c r="AY16" i="13" s="1"/>
  <c r="AH16" i="13"/>
  <c r="AR25" i="13"/>
  <c r="AY25" i="13" s="1"/>
  <c r="AH25" i="13"/>
  <c r="AI25" i="13"/>
  <c r="AS25" i="13"/>
  <c r="AZ25" i="13" s="1"/>
  <c r="AS16" i="13"/>
  <c r="AZ16" i="13" s="1"/>
  <c r="AI16" i="13"/>
  <c r="AS15" i="13"/>
  <c r="AZ15" i="13" s="1"/>
  <c r="AI15" i="13"/>
  <c r="AI12" i="13"/>
  <c r="AB47" i="13"/>
  <c r="AS12" i="13"/>
  <c r="AZ12" i="13" s="1"/>
  <c r="AI13" i="13"/>
  <c r="AS13" i="13"/>
  <c r="AZ13" i="13" s="1"/>
  <c r="AQ25" i="13" l="1"/>
  <c r="AX25" i="13" s="1"/>
  <c r="AG18" i="13"/>
  <c r="Z47" i="13"/>
  <c r="S39" i="13"/>
  <c r="AQ8" i="13"/>
  <c r="AX8" i="13" s="1"/>
  <c r="AQ12" i="13"/>
  <c r="AX12" i="13" s="1"/>
  <c r="AG12" i="13"/>
  <c r="O46" i="17"/>
  <c r="B7" i="23"/>
  <c r="N46" i="17"/>
  <c r="C6" i="23"/>
  <c r="B6" i="23"/>
  <c r="O45" i="17"/>
  <c r="C7" i="23"/>
  <c r="N45" i="17"/>
  <c r="AT11" i="13"/>
  <c r="BA11" i="13" s="1"/>
  <c r="AJ11" i="13"/>
  <c r="AT26" i="13"/>
  <c r="BA26" i="13" s="1"/>
  <c r="AJ26" i="13"/>
  <c r="AU12" i="13"/>
  <c r="AD47" i="13"/>
  <c r="AJ14" i="13"/>
  <c r="AT14" i="13"/>
  <c r="BA14" i="13" s="1"/>
  <c r="AC46" i="13"/>
  <c r="AC40" i="13"/>
  <c r="AT6" i="13"/>
  <c r="AJ6" i="13"/>
  <c r="AJ23" i="13"/>
  <c r="AT23" i="13"/>
  <c r="BA23" i="13" s="1"/>
  <c r="AJ25" i="13"/>
  <c r="AT25" i="13"/>
  <c r="BA25" i="13" s="1"/>
  <c r="AJ10" i="13"/>
  <c r="AT10" i="13"/>
  <c r="BA10" i="13" s="1"/>
  <c r="AT20" i="13"/>
  <c r="BA20" i="13" s="1"/>
  <c r="AJ20" i="13"/>
  <c r="AT15" i="13"/>
  <c r="BA15" i="13" s="1"/>
  <c r="AJ15" i="13"/>
  <c r="AJ16" i="13"/>
  <c r="AT16" i="13"/>
  <c r="BA16" i="13" s="1"/>
  <c r="AC47" i="13"/>
  <c r="AT12" i="13"/>
  <c r="BA12" i="13" s="1"/>
  <c r="AJ12" i="13"/>
  <c r="AJ19" i="13"/>
  <c r="AT19" i="13"/>
  <c r="BA19" i="13" s="1"/>
  <c r="AJ8" i="13"/>
  <c r="AT8" i="13"/>
  <c r="BA8" i="13" s="1"/>
  <c r="AT13" i="13"/>
  <c r="BA13" i="13" s="1"/>
  <c r="AJ13" i="13"/>
  <c r="AA46" i="13"/>
  <c r="AA48" i="13" s="1"/>
  <c r="E10" i="23" s="1"/>
  <c r="AH6" i="13"/>
  <c r="AH40" i="13" s="1"/>
  <c r="AR6" i="13"/>
  <c r="AA40" i="13"/>
  <c r="AT9" i="13"/>
  <c r="BA9" i="13" s="1"/>
  <c r="AJ9" i="13"/>
  <c r="AG6" i="13"/>
  <c r="AG40" i="13" s="1"/>
  <c r="Z40" i="13"/>
  <c r="Z46" i="13"/>
  <c r="Z48" i="13" s="1"/>
  <c r="F10" i="23" s="1"/>
  <c r="AQ6" i="13"/>
  <c r="AD40" i="13"/>
  <c r="AU6" i="13"/>
  <c r="AU40" i="13" s="1"/>
  <c r="AD46" i="13"/>
  <c r="AD48" i="13" s="1"/>
  <c r="B10" i="23" s="1"/>
  <c r="AS6" i="13"/>
  <c r="AB40" i="13"/>
  <c r="AB46" i="13"/>
  <c r="AB48" i="13" s="1"/>
  <c r="D10" i="23" s="1"/>
  <c r="AI6" i="13"/>
  <c r="AI40" i="13" s="1"/>
  <c r="AT7" i="13"/>
  <c r="BA7" i="13" s="1"/>
  <c r="AJ7" i="13"/>
  <c r="AJ24" i="13"/>
  <c r="AT24" i="13"/>
  <c r="BA24" i="13" s="1"/>
  <c r="AT18" i="13"/>
  <c r="BA18" i="13" s="1"/>
  <c r="AJ18" i="13"/>
  <c r="V39" i="13"/>
  <c r="AJ17" i="13"/>
  <c r="AT17" i="13"/>
  <c r="BA17" i="13" s="1"/>
  <c r="Z49" i="13" l="1"/>
  <c r="AC49" i="13"/>
  <c r="AA49" i="13"/>
  <c r="Z39" i="13"/>
  <c r="AB41" i="13" s="1"/>
  <c r="AJ40" i="13"/>
  <c r="AG39" i="13" s="1"/>
  <c r="AI41" i="13" s="1"/>
  <c r="AT40" i="13"/>
  <c r="BA6" i="13"/>
  <c r="BA40" i="13" s="1"/>
  <c r="AZ6" i="13"/>
  <c r="AZ40" i="13" s="1"/>
  <c r="AS40" i="13"/>
  <c r="AX6" i="13"/>
  <c r="AX40" i="13" s="1"/>
  <c r="AQ40" i="13"/>
  <c r="AB49" i="13"/>
  <c r="AY6" i="13"/>
  <c r="AY40" i="13" s="1"/>
  <c r="AR40" i="13"/>
  <c r="AD49" i="13"/>
  <c r="AC48" i="13"/>
  <c r="C10" i="23" s="1"/>
  <c r="AC41" i="13" l="1"/>
  <c r="AA41" i="13"/>
  <c r="Z41" i="13"/>
  <c r="AD41" i="13"/>
  <c r="AX39" i="13"/>
  <c r="AZ41" i="13" s="1"/>
  <c r="AG41" i="13"/>
  <c r="AH41" i="13"/>
  <c r="AQ39" i="13"/>
  <c r="AU41" i="13" s="1"/>
  <c r="J47" i="17" s="1"/>
  <c r="AY41" i="13"/>
  <c r="AJ41" i="13"/>
  <c r="AX41" i="13" l="1"/>
  <c r="BA41" i="13"/>
  <c r="AS41" i="13"/>
  <c r="H47" i="17" s="1"/>
  <c r="M47" i="17" s="1"/>
  <c r="M49" i="17" s="1"/>
  <c r="AQ41" i="13"/>
  <c r="E47" i="17" s="1"/>
  <c r="F5" i="23" s="1"/>
  <c r="B5" i="23"/>
  <c r="O47" i="17"/>
  <c r="O49" i="17" s="1"/>
  <c r="AR41" i="13"/>
  <c r="G47" i="17" s="1"/>
  <c r="AT41" i="13"/>
  <c r="I47" i="17" s="1"/>
  <c r="D5" i="23" l="1"/>
  <c r="K47" i="17"/>
  <c r="K49" i="17" s="1"/>
  <c r="E5" i="23"/>
  <c r="L47" i="17"/>
  <c r="L49" i="17" s="1"/>
  <c r="C5" i="23"/>
  <c r="N47" i="17"/>
  <c r="N49" i="17" s="1"/>
  <c r="N50" i="17" l="1"/>
  <c r="C8" i="23" s="1"/>
  <c r="K50" i="17"/>
  <c r="L50" i="17"/>
  <c r="M50" i="17"/>
  <c r="O50" i="17"/>
  <c r="B8" i="23" s="1"/>
  <c r="E8" i="23" l="1"/>
  <c r="G73" i="17"/>
  <c r="M73" i="17" s="1"/>
  <c r="M75" i="17" s="1"/>
  <c r="F73" i="17"/>
  <c r="F8" i="23"/>
  <c r="I73" i="17"/>
  <c r="O73" i="17" s="1"/>
  <c r="O75" i="17" s="1"/>
  <c r="D8" i="23"/>
  <c r="H73" i="17"/>
  <c r="N73" i="17" s="1"/>
  <c r="N75" i="17" s="1"/>
  <c r="L73" i="17" l="1"/>
  <c r="L75" i="17" s="1"/>
  <c r="D73" i="17"/>
  <c r="R75" i="17" l="1"/>
  <c r="L79" i="17" s="1"/>
  <c r="F9" i="23" l="1"/>
  <c r="N79" i="17"/>
  <c r="D9" i="23" s="1"/>
  <c r="P79" i="17"/>
  <c r="G9" i="23" s="1"/>
  <c r="S79" i="17"/>
  <c r="B9" i="23" s="1"/>
  <c r="M79" i="17"/>
  <c r="E9" i="23" s="1"/>
  <c r="O79" i="17"/>
  <c r="C9" i="23" s="1"/>
  <c r="C6" i="36" s="1"/>
  <c r="E6" i="36" l="1"/>
  <c r="F6" i="36"/>
  <c r="R79" i="17"/>
  <c r="D6" i="36"/>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96" authorId="0">
      <text>
        <r>
          <rPr>
            <b/>
            <sz val="8"/>
            <color indexed="81"/>
            <rFont val="Tahoma"/>
            <family val="2"/>
          </rPr>
          <t>George Moran:</t>
        </r>
        <r>
          <rPr>
            <sz val="8"/>
            <color indexed="81"/>
            <rFont val="Tahoma"/>
            <family val="2"/>
          </rPr>
          <t xml:space="preserve">
assume same as other 33 UG Cable</t>
        </r>
      </text>
    </comment>
    <comment ref="E110" authorId="0">
      <text>
        <r>
          <rPr>
            <b/>
            <sz val="8"/>
            <color indexed="81"/>
            <rFont val="Tahoma"/>
            <family val="2"/>
          </rPr>
          <t>George Moran:</t>
        </r>
        <r>
          <rPr>
            <sz val="8"/>
            <color indexed="81"/>
            <rFont val="Tahoma"/>
            <family val="2"/>
          </rPr>
          <t xml:space="preserve">
assume same as CB</t>
        </r>
      </text>
    </comment>
    <comment ref="E112"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19" authorId="0">
      <text>
        <r>
          <rPr>
            <b/>
            <sz val="8"/>
            <color indexed="81"/>
            <rFont val="Tahoma"/>
            <family val="2"/>
          </rPr>
          <t>George Moran:</t>
        </r>
        <r>
          <rPr>
            <sz val="8"/>
            <color indexed="81"/>
            <rFont val="Tahoma"/>
            <family val="2"/>
          </rPr>
          <t xml:space="preserve">
assume cost of HV/LV Tx</t>
        </r>
      </text>
    </comment>
    <comment ref="E134" authorId="0">
      <text>
        <r>
          <rPr>
            <b/>
            <sz val="8"/>
            <color indexed="81"/>
            <rFont val="Tahoma"/>
            <family val="2"/>
          </rPr>
          <t>George Moran:</t>
        </r>
        <r>
          <rPr>
            <sz val="8"/>
            <color indexed="81"/>
            <rFont val="Tahoma"/>
            <family val="2"/>
          </rPr>
          <t xml:space="preserve">
assume same as other 132 UG Cable</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<sst xmlns="http://schemas.openxmlformats.org/spreadsheetml/2006/main" count="4149" uniqueCount="1184">
  <si>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</si>
  <si>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</si>
  <si>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</si>
  <si>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</si>
  <si>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</si>
  <si>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</si>
  <si>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</si>
  <si>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</si>
  <si>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</si>
  <si>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</si>
  <si>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</si>
  <si>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</si>
  <si>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</si>
  <si>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</si>
  <si>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</si>
  <si>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</si>
  <si>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</si>
  <si>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</si>
  <si>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</si>
  <si>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</si>
  <si>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</si>
  <si>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</si>
  <si>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</si>
  <si>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</si>
  <si>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</si>
  <si>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</si>
  <si>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</si>
  <si>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</si>
  <si>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</si>
  <si>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</si>
  <si>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</si>
  <si>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</si>
  <si>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</si>
  <si>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</si>
  <si>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</si>
  <si>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</si>
  <si>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</si>
  <si>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</si>
  <si>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</si>
  <si>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</si>
  <si>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</si>
  <si>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</si>
  <si>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</si>
  <si>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</si>
  <si>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</si>
  <si>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</si>
  <si>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</si>
  <si>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</si>
  <si>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</si>
  <si>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</si>
  <si>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</si>
  <si>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</si>
  <si>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</si>
  <si>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</si>
  <si>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</si>
  <si>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</si>
  <si>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</si>
  <si>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</si>
  <si>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</si>
  <si>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</si>
  <si>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</si>
  <si>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</si>
  <si>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</si>
  <si>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</si>
  <si>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</si>
  <si>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</si>
  <si>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</si>
  <si>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</si>
  <si>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</si>
  <si>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</si>
  <si>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</si>
  <si>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</si>
  <si>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</si>
  <si>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</si>
  <si>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</si>
  <si>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</si>
  <si>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</si>
  <si>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</si>
  <si>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</si>
  <si>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</si>
  <si>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</si>
  <si>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</si>
  <si>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</si>
  <si>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</si>
  <si>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</si>
  <si>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</si>
  <si>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</si>
  <si>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</si>
  <si>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</si>
  <si>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</si>
  <si>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</si>
  <si>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</si>
  <si>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</si>
  <si>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</si>
  <si>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</si>
  <si>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</si>
  <si>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</si>
  <si>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</si>
  <si>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</si>
  <si>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</si>
  <si>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</si>
  <si>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</si>
  <si>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</si>
  <si>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</si>
  <si>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</si>
  <si>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</si>
  <si>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</si>
  <si>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</si>
  <si>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</si>
  <si>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</si>
  <si>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</si>
  <si>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</si>
  <si>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</si>
  <si>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</si>
  <si>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</si>
  <si>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</si>
  <si>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</si>
  <si>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</si>
  <si>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</si>
  <si>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</si>
  <si>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</si>
  <si>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</si>
  <si>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</si>
  <si>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</si>
  <si>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</si>
  <si>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</si>
  <si>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</si>
  <si>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</si>
  <si>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</si>
  <si>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</si>
  <si>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</si>
  <si>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</si>
  <si>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</si>
  <si>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</si>
  <si>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</si>
  <si>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</si>
  <si>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</si>
  <si>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</si>
  <si>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</si>
  <si>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</si>
  <si>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</si>
  <si>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</si>
  <si>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</si>
  <si>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</si>
  <si>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</si>
  <si>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</si>
  <si>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</si>
  <si>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</si>
  <si>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</si>
  <si>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</si>
  <si>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</si>
  <si>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</si>
  <si>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</si>
  <si>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</si>
  <si>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</si>
  <si>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</si>
  <si>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</si>
  <si>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</si>
  <si>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</si>
  <si>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</si>
  <si>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</si>
  <si>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</si>
  <si>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</si>
  <si>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</si>
  <si>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</si>
  <si>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</si>
  <si>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</si>
  <si>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</si>
  <si>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</si>
  <si>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</si>
  <si>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</si>
  <si>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</si>
  <si>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</si>
  <si>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</si>
  <si>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</si>
  <si>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</si>
  <si>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</si>
  <si>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</si>
  <si>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</si>
  <si>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</si>
  <si>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</si>
  <si>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</si>
  <si>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</si>
  <si>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</si>
  <si>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</si>
  <si>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</si>
  <si>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</si>
  <si>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</si>
  <si>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</si>
  <si>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</si>
  <si>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</si>
  <si>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</si>
  <si>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</si>
  <si>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</si>
  <si>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</si>
  <si>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</si>
  <si>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</si>
  <si>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</si>
  <si>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</si>
  <si>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</si>
  <si>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</si>
  <si>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</si>
  <si>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</si>
  <si>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</si>
  <si>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</si>
  <si>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</si>
  <si>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</si>
  <si>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</si>
  <si>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</si>
  <si>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</si>
  <si>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</si>
  <si>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</si>
  <si>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</si>
  <si>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</si>
  <si>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</si>
  <si>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</si>
  <si>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Index</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</si>
  <si>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</si>
  <si>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</si>
  <si>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</si>
  <si>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</si>
  <si>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</si>
  <si>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</si>
  <si>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</si>
  <si>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</si>
  <si>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</si>
  <si>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</si>
  <si>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</si>
  <si>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</si>
  <si>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</si>
  <si>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</si>
  <si>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</si>
  <si>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</si>
  <si>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</si>
  <si>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</si>
  <si>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</si>
  <si>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</si>
  <si>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</si>
  <si>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</si>
  <si>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</si>
  <si>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</si>
  <si>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</si>
  <si>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</si>
  <si>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</si>
  <si>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</si>
  <si>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</si>
  <si>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</si>
  <si>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</si>
  <si>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</si>
  <si>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</si>
  <si>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</si>
  <si>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</si>
  <si>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</si>
  <si>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</si>
  <si>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</si>
  <si>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</si>
  <si>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</si>
  <si>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</si>
  <si>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</si>
  <si>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</si>
  <si>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</si>
  <si>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</si>
  <si>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</si>
  <si>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</si>
  <si>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</si>
  <si>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</si>
  <si>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</si>
  <si>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</si>
  <si>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</si>
  <si>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</si>
  <si>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</si>
  <si>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</si>
  <si>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</si>
  <si>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</si>
  <si>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</si>
  <si>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</si>
  <si>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</si>
  <si>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</si>
  <si>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</si>
  <si>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</si>
  <si>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</si>
  <si>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</si>
  <si>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</si>
  <si>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</si>
  <si>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</si>
  <si>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</si>
  <si>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</si>
  <si>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</si>
  <si>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</si>
  <si>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</si>
  <si>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</si>
  <si>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</si>
  <si>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</si>
  <si>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</si>
  <si>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</si>
  <si>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</si>
  <si>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</si>
  <si>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</si>
  <si>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</si>
  <si>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</si>
  <si>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</si>
  <si>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</si>
  <si>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</si>
  <si>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</si>
  <si>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</si>
  <si>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</si>
  <si>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</si>
  <si>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</si>
  <si>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</si>
  <si>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</si>
  <si>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</si>
  <si>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</si>
  <si>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</si>
  <si>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</si>
  <si>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</si>
  <si>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</si>
  <si>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</si>
  <si>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</si>
  <si>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</si>
  <si>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</si>
  <si>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</si>
  <si>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</si>
  <si>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</si>
  <si>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</si>
  <si>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</si>
  <si>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</si>
  <si>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</si>
  <si>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</si>
  <si>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</si>
  <si>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</si>
  <si>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</si>
  <si>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</si>
  <si>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</si>
  <si>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</si>
  <si>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</si>
  <si>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</si>
  <si>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</si>
  <si>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</si>
  <si>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</si>
  <si>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</si>
  <si>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</si>
  <si>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</si>
  <si>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</si>
  <si>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</si>
  <si>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</si>
  <si>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</si>
  <si>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</si>
  <si>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</si>
  <si>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</si>
  <si>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</si>
  <si>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</si>
  <si>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</si>
  <si>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</si>
  <si>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</si>
  <si>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</si>
  <si>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</si>
  <si>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</si>
  <si>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</si>
  <si>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</si>
  <si>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</si>
  <si>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</si>
  <si>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</si>
  <si>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</si>
  <si>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</si>
  <si>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</si>
  <si>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</si>
  <si>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</si>
  <si>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</si>
  <si>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</si>
  <si>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</si>
  <si>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</si>
  <si>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</si>
  <si>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</si>
  <si>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</si>
  <si>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</si>
  <si>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Sum connecions/reinforcement/replacement capex -see below</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</si>
  <si>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</si>
  <si>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</si>
  <si>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</si>
  <si>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</si>
  <si>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</si>
  <si>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</si>
  <si>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</si>
  <si>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</si>
  <si>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</si>
  <si>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</si>
  <si>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</si>
  <si>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</si>
  <si>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</si>
  <si>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</si>
  <si>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</si>
  <si>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</si>
  <si>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</si>
  <si>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</si>
  <si>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</si>
  <si>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</si>
  <si>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</si>
  <si>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</si>
  <si>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</si>
  <si>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</si>
  <si>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</si>
  <si>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</si>
  <si>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</si>
  <si>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</si>
  <si>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Total Net Capex</t>
  </si>
  <si>
    <t>% of Total</t>
  </si>
  <si>
    <t>Net Capex</t>
  </si>
  <si>
    <t>Opex only on p/kWh throughput</t>
  </si>
  <si>
    <t>HV/LV</t>
  </si>
  <si>
    <t>Cash typical costs (excluding disallowed related party margins)</t>
  </si>
  <si>
    <t>Memorandum Information - Scottish DNOs 132kV</t>
  </si>
  <si>
    <t>NET CAPEX SPLIT FROM "CALC -NET CAPEX" SHEET</t>
  </si>
  <si>
    <t>CAUTION - THIS PACK DOES NOT BALANCE</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</si>
  <si>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</si>
  <si>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</si>
  <si>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</si>
  <si>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</si>
  <si>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</si>
  <si>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</si>
  <si>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</si>
  <si>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</si>
  <si>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</si>
  <si>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</si>
  <si>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</si>
  <si>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</si>
  <si>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</si>
  <si>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</si>
  <si>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</si>
  <si>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</si>
  <si>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</si>
  <si>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</si>
  <si>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</si>
  <si>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</si>
  <si>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</si>
  <si>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</si>
  <si>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</si>
  <si>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</si>
  <si>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</si>
  <si>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</si>
  <si>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</si>
  <si>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</si>
  <si>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</si>
  <si>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</si>
  <si>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</si>
  <si>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</si>
  <si>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</si>
  <si>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</si>
  <si>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</si>
  <si>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</si>
  <si>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</si>
  <si>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</si>
  <si>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</si>
  <si>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</si>
  <si>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</si>
  <si>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</si>
  <si>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</si>
  <si>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</si>
  <si>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</si>
  <si>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</si>
  <si>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</si>
  <si>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MEAV by Voltage Level</t>
  </si>
  <si>
    <t>Total MEAV</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</si>
  <si>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</si>
  <si>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</si>
  <si>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</si>
  <si>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</si>
  <si>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</si>
  <si>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</si>
  <si>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</si>
  <si>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</si>
  <si>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</si>
  <si>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</si>
  <si>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</si>
  <si>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</si>
  <si>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</si>
  <si>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</si>
  <si>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</si>
  <si>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</si>
  <si>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</si>
  <si>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</si>
  <si>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</si>
  <si>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</si>
  <si>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</si>
  <si>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</si>
  <si>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</si>
  <si>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</si>
  <si>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</si>
  <si>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</si>
  <si>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</si>
  <si>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</si>
  <si>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</si>
  <si>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</si>
  <si>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</si>
  <si>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</si>
  <si>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</si>
  <si>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</si>
  <si>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</si>
  <si>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</si>
  <si>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</si>
  <si>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</si>
  <si>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</si>
  <si>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</si>
  <si>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</si>
  <si>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</si>
  <si>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</si>
  <si>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</si>
  <si>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</si>
  <si>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</si>
  <si>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</si>
  <si>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</si>
  <si>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</si>
  <si>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</si>
  <si>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</si>
  <si>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</si>
  <si>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</si>
  <si>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</si>
  <si>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</si>
  <si>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</si>
  <si>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</si>
  <si>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</si>
  <si>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</si>
  <si>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</si>
  <si>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</si>
  <si>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</si>
  <si>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</si>
  <si>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</si>
  <si>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</si>
  <si>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</si>
  <si>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</si>
  <si>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</si>
  <si>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</si>
  <si>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</si>
  <si>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</si>
  <si>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</si>
  <si>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</si>
  <si>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</si>
  <si>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</si>
  <si>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</si>
  <si>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</si>
  <si>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</si>
  <si>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</si>
  <si>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</si>
  <si>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</si>
  <si>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</si>
  <si>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</si>
  <si>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</si>
  <si>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</si>
  <si>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</si>
  <si>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</si>
  <si>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</si>
  <si>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</si>
  <si>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</si>
  <si>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</si>
  <si>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</si>
  <si>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</si>
  <si>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</si>
  <si>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</si>
  <si>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</si>
  <si>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</si>
  <si>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</si>
  <si>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</si>
  <si>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</si>
  <si>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</si>
  <si>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</si>
  <si>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</si>
  <si>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</si>
  <si>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</si>
  <si>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</si>
  <si>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</si>
  <si>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</si>
  <si>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</si>
  <si>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</si>
  <si>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</si>
  <si>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</si>
  <si>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</si>
  <si>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</si>
  <si>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</si>
  <si>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</si>
  <si>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</si>
  <si>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</si>
  <si>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</si>
  <si>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</si>
  <si>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</si>
  <si>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</si>
  <si>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</si>
  <si>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</si>
  <si>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</si>
  <si>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</si>
  <si>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</si>
  <si>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</si>
  <si>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</si>
  <si>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</si>
  <si>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</si>
  <si>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</si>
  <si>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</si>
  <si>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</si>
  <si>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</si>
  <si>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</si>
  <si>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</si>
  <si>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</si>
  <si>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</si>
  <si>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</si>
  <si>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</si>
  <si>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</si>
  <si>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</si>
  <si>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</si>
  <si>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</si>
  <si>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</si>
  <si>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</si>
  <si>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</si>
  <si>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</si>
  <si>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</si>
  <si>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</si>
  <si>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</si>
  <si>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</si>
  <si>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</si>
  <si>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</si>
  <si>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</si>
  <si>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</si>
  <si>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</si>
  <si>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</si>
  <si>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</si>
  <si>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</si>
  <si>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</si>
  <si>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</si>
  <si>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</si>
  <si>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</si>
  <si>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</si>
  <si>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</si>
  <si>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</si>
  <si>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</si>
  <si>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</si>
  <si>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</si>
  <si>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</si>
  <si>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</si>
  <si>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</si>
  <si>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</si>
  <si>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</si>
  <si>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</si>
  <si>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</si>
  <si>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</si>
  <si>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</si>
  <si>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</si>
  <si>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</si>
  <si>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</si>
  <si>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</si>
  <si>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</si>
  <si>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</si>
  <si>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</si>
  <si>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</si>
  <si>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</si>
  <si>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</si>
  <si>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</si>
  <si>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</si>
  <si>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</si>
  <si>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</si>
  <si>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</si>
  <si>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</si>
  <si>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</si>
  <si>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</si>
  <si>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</si>
  <si>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</si>
  <si>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</si>
  <si>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</si>
  <si>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</si>
  <si>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</si>
  <si>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</si>
  <si>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</si>
  <si>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</si>
  <si>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</si>
  <si>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</si>
  <si>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</si>
  <si>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</si>
  <si>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</si>
  <si>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</si>
  <si>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</si>
  <si>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</si>
  <si>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</si>
  <si>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</si>
  <si>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</si>
  <si>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</si>
  <si>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</si>
  <si>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</si>
  <si>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</si>
  <si>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</si>
  <si>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</si>
  <si>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</si>
  <si>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</si>
  <si>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</si>
  <si>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</si>
  <si>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</si>
  <si>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</si>
  <si>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</si>
  <si>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</si>
  <si>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</si>
  <si>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</si>
  <si>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</si>
  <si>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</si>
  <si>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</si>
  <si>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</si>
  <si>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</si>
  <si>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</si>
  <si>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</si>
  <si>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</si>
  <si>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</si>
  <si>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</si>
  <si>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</si>
  <si>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</si>
  <si>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</si>
  <si>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</si>
  <si>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</si>
  <si>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</si>
  <si>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</si>
  <si>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</si>
  <si>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</si>
  <si>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</si>
  <si>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</si>
  <si>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</si>
  <si>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</si>
  <si>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</si>
  <si>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</si>
  <si>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</si>
  <si>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</si>
  <si>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</si>
  <si>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</si>
  <si>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</si>
  <si>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</si>
  <si>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</si>
  <si>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</si>
  <si>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</si>
  <si>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</si>
  <si>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</si>
  <si>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</si>
  <si>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</si>
  <si>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</si>
  <si>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</si>
  <si>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</si>
  <si>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</si>
  <si>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</si>
  <si>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</si>
  <si>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</si>
  <si>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</si>
  <si>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</si>
  <si>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</si>
  <si>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</si>
  <si>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</si>
  <si>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</si>
  <si>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</si>
  <si>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</si>
  <si>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</si>
  <si>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</si>
  <si>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</si>
  <si>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</si>
  <si>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</si>
  <si>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</si>
  <si>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</si>
  <si>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</si>
  <si>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</si>
  <si>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</si>
  <si>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</si>
  <si>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</si>
  <si>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</si>
  <si>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</si>
  <si>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</si>
  <si>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</si>
  <si>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</si>
  <si>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</si>
  <si>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</si>
  <si>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</si>
  <si>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</si>
  <si>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</si>
  <si>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</si>
  <si>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</si>
  <si>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</si>
  <si>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</si>
  <si>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</si>
  <si>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</si>
  <si>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</si>
  <si>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</si>
  <si>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</si>
  <si>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</si>
  <si>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</si>
  <si>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</si>
  <si>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</si>
  <si>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</si>
  <si>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</si>
  <si>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</si>
  <si>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</si>
  <si>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</si>
  <si>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</si>
  <si>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</si>
  <si>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</si>
  <si>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</si>
  <si>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</si>
  <si>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</si>
  <si>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</si>
  <si>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</si>
  <si>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</si>
  <si>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</si>
  <si>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</si>
  <si>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</si>
  <si>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</si>
  <si>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</si>
  <si>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</si>
  <si>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</si>
  <si>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</si>
  <si>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</si>
  <si>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</si>
  <si>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</si>
  <si>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</si>
  <si>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</si>
  <si>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</si>
  <si>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</si>
  <si>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</si>
  <si>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</si>
  <si>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</si>
  <si>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</si>
  <si>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</si>
  <si>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</si>
  <si>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</si>
  <si>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</si>
  <si>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</si>
  <si>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</si>
  <si>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</si>
  <si>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</si>
  <si>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</si>
  <si>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</si>
  <si>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</si>
  <si>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</si>
  <si>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</si>
  <si>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</si>
  <si>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</si>
  <si>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</si>
  <si>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</si>
  <si>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</si>
  <si>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</si>
  <si>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</si>
  <si>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</si>
  <si>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</si>
  <si>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</si>
  <si>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</si>
  <si>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</si>
  <si>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</si>
  <si>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</si>
  <si>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</si>
  <si>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</si>
  <si>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</si>
  <si>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</si>
  <si>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</si>
  <si>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</si>
  <si>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</si>
  <si>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</si>
  <si>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</si>
  <si>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</si>
  <si>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</si>
  <si>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</si>
  <si>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</si>
  <si>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</si>
  <si>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</si>
  <si>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</si>
  <si>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</si>
  <si>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</si>
  <si>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</si>
  <si>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</si>
  <si>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</si>
  <si>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</si>
  <si>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</si>
  <si>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</si>
  <si>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</si>
  <si>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</si>
  <si>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</si>
  <si>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</si>
  <si>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</si>
  <si>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</si>
  <si>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</si>
  <si>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</si>
  <si>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</si>
  <si>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</si>
  <si>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</si>
  <si>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</si>
  <si>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</si>
  <si>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</si>
  <si>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</si>
  <si>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</si>
  <si>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</si>
  <si>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</si>
  <si>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</si>
  <si>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</si>
  <si>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</si>
  <si>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</si>
  <si>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</si>
  <si>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</si>
  <si>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</si>
  <si>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</si>
  <si>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</si>
  <si>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</si>
  <si>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</si>
  <si>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</si>
  <si>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</si>
  <si>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</si>
  <si>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</si>
  <si>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</si>
  <si>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</si>
  <si>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</si>
  <si>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</si>
  <si>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</si>
  <si>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</si>
  <si>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</si>
  <si>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</si>
  <si>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</si>
  <si>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</si>
  <si>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</si>
  <si>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</si>
  <si>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</si>
  <si>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</si>
  <si>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</si>
  <si>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</si>
  <si>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</si>
  <si>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</si>
  <si>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</si>
  <si>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</si>
  <si>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</si>
  <si>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</si>
  <si>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</si>
  <si>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</si>
  <si>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</si>
  <si>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</si>
  <si>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</si>
  <si>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</si>
  <si>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</si>
  <si>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</si>
  <si>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</si>
  <si>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</si>
  <si>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</si>
  <si>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</si>
  <si>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</si>
  <si>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</si>
  <si>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</si>
  <si>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</si>
  <si>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</si>
  <si>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</si>
  <si>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</si>
  <si>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</si>
  <si>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</si>
  <si>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</si>
  <si>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</si>
  <si>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</si>
  <si>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</si>
  <si>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</si>
  <si>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</si>
  <si>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</si>
  <si>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</si>
  <si>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</si>
  <si>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</si>
  <si>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</si>
  <si>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</si>
  <si>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Use these buttons to select a LR1 data source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</si>
  <si>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</si>
  <si>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</si>
  <si>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</si>
  <si>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</si>
  <si>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</si>
  <si>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</si>
  <si>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</si>
  <si>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</si>
  <si>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</si>
  <si>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</si>
  <si>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</si>
  <si>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</si>
  <si>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</si>
  <si>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</si>
  <si>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</si>
  <si>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</si>
  <si>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</si>
  <si>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</si>
  <si>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</si>
  <si>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</si>
  <si>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</si>
  <si>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</si>
  <si>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</si>
  <si>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</si>
  <si>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</si>
  <si>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</si>
  <si>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</si>
  <si>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</si>
  <si>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</si>
  <si>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</si>
  <si>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</si>
  <si>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</si>
  <si>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</si>
  <si>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</si>
  <si>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</si>
  <si>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</si>
  <si>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</si>
  <si>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</si>
  <si>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</si>
  <si>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</si>
  <si>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</si>
  <si>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</si>
  <si>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</si>
  <si>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</si>
  <si>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Sheet</t>
  </si>
  <si>
    <t>Inputs</t>
  </si>
  <si>
    <t>Description / instructions</t>
  </si>
  <si>
    <t>Use copy-paste to replace the entire contents of this sheet with your input data</t>
  </si>
  <si>
    <t>Use copy-paste to replace rows 1 to 50 with your input data, and populate cells shaded in blue in rows 61 to 63</t>
  </si>
  <si>
    <t>Use copy-paste to replace rows 18 to 163 with your input data; do not change formulas in rows 1 to 12</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</si>
  <si>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</si>
  <si>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</si>
  <si>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</si>
  <si>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</si>
  <si>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</si>
  <si>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Technical notes</t>
  </si>
  <si>
    <t>We have built this workbook by modifying the DCP 129 model published on dcusa.co.uk.</t>
  </si>
  <si>
    <t>Do not change anything in this calculation sheet</t>
  </si>
  <si>
    <t>Do not change anything in this calculation sheet; use the results to populate your CDCM tariff model</t>
  </si>
  <si>
    <t>We have not tried to ensure compliance with the legal text as a whole or consistency with any method M model published by any DNO.</t>
  </si>
  <si>
    <t>We have made changes for DCP 118 on the basis of the DCP 118 change report, the DCP 118 RFI workbooks and the DCP 118 legal text.</t>
  </si>
  <si>
    <t>WPD West Midlands</t>
  </si>
  <si>
    <t>r6349</t>
  </si>
  <si>
    <t>-</t>
  </si>
  <si>
    <t/>
  </si>
  <si>
    <t>0</t>
  </si>
  <si>
    <t>Banbury group, Brackley SCO</t>
  </si>
  <si>
    <t>c</t>
  </si>
  <si>
    <t>Installation of a third 132kV circuit. Costs split across East and West. Wayleaves only in DPCR5, construction in DPCR6.</t>
  </si>
  <si>
    <t>Bishops Castle 33/11kV Transformer reinforcement, switchgear automation</t>
  </si>
  <si>
    <t>33kV</t>
  </si>
  <si>
    <t>a</t>
  </si>
  <si>
    <t>Installation of an additional 6/12MVA transformer at Bishops Castle. Replacement of 11kV switchgear</t>
  </si>
  <si>
    <t>Bishops Castle-Priestweston Interconnection</t>
  </si>
  <si>
    <t>Construction of 33kV interconnector between Bishops Castle and Priestweston (10km)</t>
  </si>
  <si>
    <t>Bishops Cleeve 66/11kV reinforcement</t>
  </si>
  <si>
    <t>11kV</t>
  </si>
  <si>
    <t>Installation of second 66/11kV transformer and 66kV section switch</t>
  </si>
  <si>
    <t>Bixhead 33/11kV reinforcement</t>
  </si>
  <si>
    <t>Upgrading two transformers and installation of a crossbay CB between T1 &amp; T2.</t>
  </si>
  <si>
    <t>Bloxham 66/11kV reinforcement</t>
  </si>
  <si>
    <t>66kV</t>
  </si>
  <si>
    <t>a &amp; c</t>
  </si>
  <si>
    <t>Installation of a second 12/24MVA transformer</t>
  </si>
  <si>
    <t>Bodenham Second 66/11kV Transformer &amp; install 66kV bus section</t>
  </si>
  <si>
    <t>Commissioning of the transformer currently in position at Bodenham and installation of a 66kV bus-section circuit breaker.</t>
  </si>
  <si>
    <t xml:space="preserve">Bromyard 66kV Breaker </t>
  </si>
  <si>
    <t>g</t>
  </si>
  <si>
    <t>Installation of a 66kV mesh circuit breaker</t>
  </si>
  <si>
    <t>Cheadle 33/11kV reinforcement</t>
  </si>
  <si>
    <t>Replacement of transformers with 12/24MVA units.</t>
  </si>
  <si>
    <t>Chipping Sod - P2/5, Hammerley Down circuit</t>
  </si>
  <si>
    <t>j</t>
  </si>
  <si>
    <t>Rebuilding overhead line - 7km</t>
  </si>
  <si>
    <t>Chipping Sodbury 33kV Reinforcement</t>
  </si>
  <si>
    <t>Installation of 1 transformer BSP at Iron Acton. Includes 33kV connection and rebuild of Iron Acton - Alveston circuit</t>
  </si>
  <si>
    <t>Comet Bridge 33/11kV Reinforcement (aka Monkmoor or Spring Gardens)</t>
  </si>
  <si>
    <t xml:space="preserve">Installation of a new 33/11kV substation at Spring Gardens near existing primary site and dismantlement of Comet Bridge. </t>
  </si>
  <si>
    <t>Cotes Heath 33/11kV S/S reinforcement</t>
  </si>
  <si>
    <t>Installation of an additional transformer, 33kV crossbay and extension of 11kV board</t>
  </si>
  <si>
    <t>Cowhorn 33/11kV reinforcement</t>
  </si>
  <si>
    <t>Installation of third 12/24MVA transformer, 33kV crossbay and additional 11kV switchboard.</t>
  </si>
  <si>
    <t>Craven Arms reinforcement</t>
  </si>
  <si>
    <t>Upgrading T2 from 5MVA to 15MVA. Establishing a new 33kV bay at Ludlow and a new 33kV circuit (15km) to Craven Arms.</t>
  </si>
  <si>
    <t>Dudbridge 33/11kV reinforcement</t>
  </si>
  <si>
    <t>Upgrading at least 2 transformers to 12/24MVA and installation of a 33kV cross-bay.</t>
  </si>
  <si>
    <t>Dymock 66/11</t>
  </si>
  <si>
    <t>Option of installation of second transformer or strengthening 11kV interconnection</t>
  </si>
  <si>
    <t>Elmdon 132kV crossbay re-configuration</t>
  </si>
  <si>
    <t>Reinstallation of CB120 on cross-bay and associated protection modifications</t>
  </si>
  <si>
    <t>Endon reinforcement</t>
  </si>
  <si>
    <t>Upgrading transformers with 12/24 MVA units &amp; rationalisation of substation layout</t>
  </si>
  <si>
    <t>Evesham 66/11kV reinforcement</t>
  </si>
  <si>
    <t xml:space="preserve">Installation of an additional 66/11kV transformer and 11kV switch board </t>
  </si>
  <si>
    <t xml:space="preserve">Feckenham - Bevington dual circuit steel tower line uprating </t>
  </si>
  <si>
    <t>Uprating the Feckenham – Bevington - Evesham circuits using 200AAAC POPLAR conductor</t>
  </si>
  <si>
    <t>Forest Ring-Bixhead to Stowfield tee</t>
  </si>
  <si>
    <t>Rebuilding the Bixhead-Stowfield tee 33kV OHL</t>
  </si>
  <si>
    <t>Forsbrook/Meaford 33kV interconnection</t>
  </si>
  <si>
    <t>Reinforcement of 33kV interconnection between Meaford and Forsbrook BSP. Allows indefinite deferral of Meaford reinforcement.</t>
  </si>
  <si>
    <t>Gloucester / Iron Acton Z Route</t>
  </si>
  <si>
    <t xml:space="preserve">Rebuilding Z route and interconnection from Iron Acton to Cambridge Arms switching site </t>
  </si>
  <si>
    <t>Gnosall 11kV reinforcement</t>
  </si>
  <si>
    <t>Reinforcement of 11kV circuits to enable at least 5MVA transfers from High Offley</t>
  </si>
  <si>
    <t>Hereford - Ledbury 66kV OHL reinforcement</t>
  </si>
  <si>
    <t>Uprating line by rebuilding / refurbishment (19km)</t>
  </si>
  <si>
    <t>Hereford BSP GT3 replacement</t>
  </si>
  <si>
    <t>Complete reinstallation of GT3 (new transformer delivered to Upton Warren in 2008)</t>
  </si>
  <si>
    <t>Hereford South Additional Capacity</t>
  </si>
  <si>
    <t>Establishing new substation on reserved site (Wide Marsh Street)</t>
  </si>
  <si>
    <t>High Offley reinforcement</t>
  </si>
  <si>
    <t>Installation of additional transformer (10/15MVA)</t>
  </si>
  <si>
    <t>Hill Chorlton 33/11kV S/S reinforcement</t>
  </si>
  <si>
    <t>Uprating transformer to 7.5/15MVA and possible 11kV reinforcement / interconnection to Coates Heath.</t>
  </si>
  <si>
    <t>Hinksford 132kV reinforcement and 132kV siwtchgear replacement (new 2 switch crossbay)</t>
  </si>
  <si>
    <t>Replacement of 132kV switchgear, upgrading single switch crossbay to 2 switches. Removal of redundant plant. Re routing cables</t>
  </si>
  <si>
    <t>Hinstock 33/11kV S/S reinforcement</t>
  </si>
  <si>
    <t>Installation of additional 7.5/15MVA transformer or uprating existing units</t>
  </si>
  <si>
    <t>Hookgate 33/11kV S/S reinforcement</t>
  </si>
  <si>
    <t>Installation of an additional transformer or 11kV reinforcement</t>
  </si>
  <si>
    <t>Ironbridge - Halesfield &amp; Madeley 33kV Reinforcement</t>
  </si>
  <si>
    <t>Installation of new 33kV circuits from Ironbridge to Madeley and from Madeley to Halesfield. Installation of a 33kV crossbay at Madeley.</t>
  </si>
  <si>
    <t>Ketley BSP reinforcement</t>
  </si>
  <si>
    <t>Reinforcement of 33kV interconnection or 132/33kV reinforcement</t>
  </si>
  <si>
    <t>Knypersley-Goldenhill-Talke Cct reinforcement</t>
  </si>
  <si>
    <t>Uprating Knypersley-Goldenhill-Talke 33kV circuit (10km). Rebuilding 1.3km of OH and overlay 1.4km of UG cable.</t>
  </si>
  <si>
    <t>Ladywood / Winson Green SCO security</t>
  </si>
  <si>
    <t>Installation of third 132kV circuit from Bustleholm to Winson Green or Ladywood or 132kV interconnector from Ladywood to Summer Lane.</t>
  </si>
  <si>
    <t>Lichfield/Rugeley T group reinforcement (Lichfield - Burntwoodinterconnector)</t>
  </si>
  <si>
    <t>Unpicking Rugeley T circuit. 132kV Burntwood -Lichfield interconnection following route of redundant 33kV OHLs.</t>
  </si>
  <si>
    <t>Lower Chadnor</t>
  </si>
  <si>
    <t>11kV reinforcement</t>
  </si>
  <si>
    <t>Malehurst 33/11kV reinforcement</t>
  </si>
  <si>
    <t>Uprating two 7.5MVA transformers with two 12/24MVA units and replacement of 11kV switchboard</t>
  </si>
  <si>
    <t>Market Drayton 33/11kV reinforcement</t>
  </si>
  <si>
    <t>Installation of additional third transformer (12/24 MVA)</t>
  </si>
  <si>
    <t>Meaford West 33kV network Reinforcement (PHASE 2:Meaford - Hookgate (tee Market Drayton) 4th 33kV circuit)</t>
  </si>
  <si>
    <t>Establishment of 4th Meaford - Hookgate (tee Market Drayton) 33kV circuit</t>
  </si>
  <si>
    <t>Moreton 66/11kV reinforcement</t>
  </si>
  <si>
    <t>Uprating transformers at Moreton to 12/24MVA units and improving 11kV alternative supplies to Stow.</t>
  </si>
  <si>
    <t>New Birmingham City Centre primary Substation (site acquisition + preps only)</t>
  </si>
  <si>
    <t>New 132/11kV s/s in the eastside of the city centre to support new load and heavily loaded primaries. Acquire site in DPCR5</t>
  </si>
  <si>
    <t>New Whitfield-Knypersley 33kV cct</t>
  </si>
  <si>
    <t>Installation of additional (3rd) Whitfield-Knypersley 33kV circuit (at least 41MVA)</t>
  </si>
  <si>
    <t>Newcastle - Scot Hay 33kC cct  reinforcement</t>
  </si>
  <si>
    <t>Uprating Newcastle - Scot Hay 33kV circuit.  Approx 4km 200mm2 AAAC gives 41MVA capacity</t>
  </si>
  <si>
    <t>Newcastle 132/11kV Reinforcement</t>
  </si>
  <si>
    <t>Installation of 3rd 132/11kV transformer and 11kV s/board. Replacement of 132/33kV transformer and decommissioning redundant 33kV s/gear</t>
  </si>
  <si>
    <t>Newent reinforcement</t>
  </si>
  <si>
    <t>Upgrading double circuit 11kV line from Newent to Dymock to 66kV.  Installation of second 6/12MVA transformer at Newent and new 11kV switchboard</t>
  </si>
  <si>
    <t>Oldbury 132/11kV reinforcement</t>
  </si>
  <si>
    <t>Installation of additional transformer and possible upgrade of 11Kv interconnections</t>
  </si>
  <si>
    <t>Oldbury Group reinforcement</t>
  </si>
  <si>
    <t xml:space="preserve">Installation of a 132kV interconnection from Ocker Hill to Tividale. Installation of additional 132kV GIS switchgear required at Tividale. </t>
  </si>
  <si>
    <t>Pattingham 33kV crossbay re-configuration</t>
  </si>
  <si>
    <t>Installation of 33kV CB on crossbay and associated protection modifications</t>
  </si>
  <si>
    <t>Pontrilas voltage regulator</t>
  </si>
  <si>
    <t>Installation of pole mounted voltage regulators to support the 11kV network.</t>
  </si>
  <si>
    <t>Presteigne - Knighton 66kV new line</t>
  </si>
  <si>
    <t>Installation of second 66kV line between Presteigne and Kington</t>
  </si>
  <si>
    <t>Priestweston 33/11kV S/S reinforcement</t>
  </si>
  <si>
    <t>Installation of second 33/11kV transformer or 11kV interconnection.</t>
  </si>
  <si>
    <t>Quatt-Wribbenhall-Kinver 33kV ccts reinforcement</t>
  </si>
  <si>
    <t>Rebuilding Quatt-Wribbenhall - Kinver 33kV circuits</t>
  </si>
  <si>
    <t>Quedgeley Primary</t>
  </si>
  <si>
    <t>Installation of new Quedgeley 132/11kV substation</t>
  </si>
  <si>
    <t>Rugeley GSP reinforcement</t>
  </si>
  <si>
    <t>Installation of new GSP near Burntwood. Discussions with NG still ongoing on options (3rd SGT and circuit or new GSP)</t>
  </si>
  <si>
    <t>Selly Oak reinforcement</t>
  </si>
  <si>
    <t>Installation of additional transformer and 11kV switchgear section</t>
  </si>
  <si>
    <t>Shifnal primary reinforcement</t>
  </si>
  <si>
    <t>Uprating 2 x 5MVA transformers with 7.5/15MVA units</t>
  </si>
  <si>
    <t>Shrewsbury - Harlescott 33kV reinforcement</t>
  </si>
  <si>
    <t>f</t>
  </si>
  <si>
    <t xml:space="preserve">Construction of new 33kV OHL between Shrewsbury and Harlescott.  </t>
  </si>
  <si>
    <t>Shrewsbury 132/33kV Grid Transformer Reinforcement</t>
  </si>
  <si>
    <t>Installation of a third 132/33kV transformer (90MVA).  Transfer of assets from NG in 2010</t>
  </si>
  <si>
    <t>Snedshill 33/11kV reinforcement</t>
  </si>
  <si>
    <t>Uprating 20MVA TX at Snedshill to 20/40MVA unit.  Installation of 33kV s/gear at Ketley BSP.  Rectify Snedshill 11kV s/gear restrictions.</t>
  </si>
  <si>
    <t>St. Weonards reinforcement</t>
  </si>
  <si>
    <t>Stafford Grid</t>
  </si>
  <si>
    <t>Uprating 30MVA transformer for 60MVA, commission second winding of 60MVA Transformer and extend switchboard</t>
  </si>
  <si>
    <t>Stagefields 132/11kV reinforcement (switchboard extension) + reinforcement</t>
  </si>
  <si>
    <t>Installation of third 132/11kV transformer and additional 11kV switchgear</t>
  </si>
  <si>
    <t>Stockton and Cleobury Mortimer Reinforcement</t>
  </si>
  <si>
    <t>Installation of a crossbay at Cleobury Mortimer, a 33kV circuit from the Ludlow – Stockton 33kV circuit to Cleobury Mortimer tee, and 2 x 7.5/15MVA transformers at Cleobury Mortimer.</t>
  </si>
  <si>
    <t>Stowfield reinforcement</t>
  </si>
  <si>
    <t>Installation of interposing transformer to address phasing conflict. 11kV interconnection capacity to be reinforced.</t>
  </si>
  <si>
    <t>Summer Lane 132/11kV Reinforcement</t>
  </si>
  <si>
    <t xml:space="preserve">132kV mesh re-configuration. </t>
  </si>
  <si>
    <t xml:space="preserve">Tean 33/11kV reinforcement </t>
  </si>
  <si>
    <t>Installation of 11kV interconnector from Cheadle and uprating transformers from 2 x 5MVA to 2 x 12/24MVA units</t>
  </si>
  <si>
    <t>Walsall 132kV reconfiguration (to unpick temporary Bentley GT2 feeder tee to Walsall GT4)</t>
  </si>
  <si>
    <t>Unpick tee and prepare for link into 132kV feeder bay (403)</t>
  </si>
  <si>
    <t>Weir Hill Roushill group reinforcement 
Roushill 33/11kV Substation &amp; Rowton, harlescott, Malehurst, etc 33kV Ring</t>
  </si>
  <si>
    <t>b</t>
  </si>
  <si>
    <t>Transfer Roushill demand to Spring Gardens. Extension of the 33kV circuits from Roushill to the Rowton - Harlescott 33kV circuit.</t>
  </si>
  <si>
    <t>Whitfield - Endon 33kV Works (Whit End)</t>
  </si>
  <si>
    <t>f,j</t>
  </si>
  <si>
    <t>Reinforcement of circuit to 41MVA. Reconfiguration of circuits to teed transformer feeders.</t>
  </si>
  <si>
    <t>Whitfield 132kV group network reinforcement</t>
  </si>
  <si>
    <t>Installation of third 132kV circuit from Cellarhead to Whitfield or additional circuit from Cellarhead to supply SP Manweb directly, offloading the Cellarhead to Whitfield circuits.</t>
  </si>
  <si>
    <t>Whitfield 33/11kV reinforcement</t>
  </si>
  <si>
    <t>Uprating transformers to 2 x 12/24 units</t>
  </si>
  <si>
    <t>Operational Land</t>
  </si>
  <si>
    <t xml:space="preserve">Operational Plant &amp; Machinery </t>
  </si>
  <si>
    <t>Scrap Metal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</si>
</sst>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 numFmtId="184" formatCode="#,##0.000"/>
  </numFmts>
  <fonts count="86">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sz val="8"/>
      <name val="Arial"/>
      <family val="2"/>
    </font>
    <font>
      <b/>
      <sz val="8"/>
      <name val="Arial"/>
      <family val="2"/>
    </font>
    <font>
      <sz val="8"/>
      <color indexed="12"/>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11"/>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5"/>
      <color theme="1"/>
      <name val="Calibri"/>
      <family val="2"/>
      <scheme val="minor"/>
    </font>
    <font>
      <b/>
      <sz val="11"/>
      <color indexed="8"/>
      <name val="CG Omega"/>
      <family val="2"/>
    </font>
    <font>
      <b/>
      <sz val="8"/>
      <color indexed="81"/>
      <name val="Tahoma"/>
      <family val="2"/>
    </font>
    <font>
      <sz val="8"/>
      <color indexed="81"/>
      <name val="Tahoma"/>
      <family val="2"/>
    </font>
  </fonts>
  <fills count="2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rgb="FFFF000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
      <patternFill patternType="solid">
        <fgColor theme="1"/>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19">
    <xf numFmtId="0" fontId="0" fillId="0" borderId="0"/>
    <xf numFmtId="0" fontId="8" fillId="0" borderId="0"/>
    <xf numFmtId="0" fontId="48" fillId="0" borderId="0"/>
    <xf numFmtId="0" fontId="48" fillId="0" borderId="0">
      <alignment vertical="center"/>
    </xf>
    <xf numFmtId="0" fontId="8" fillId="0" borderId="0"/>
    <xf numFmtId="0" fontId="48"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20" fillId="0" borderId="0" applyNumberFormat="0" applyFill="0" applyBorder="0" applyAlignment="0" applyProtection="0">
      <alignment vertical="top"/>
      <protection locked="0"/>
    </xf>
    <xf numFmtId="0" fontId="3" fillId="0" borderId="0"/>
    <xf numFmtId="0" fontId="8" fillId="0" borderId="0"/>
    <xf numFmtId="0" fontId="48" fillId="0" borderId="0"/>
    <xf numFmtId="0" fontId="48" fillId="0" borderId="0"/>
    <xf numFmtId="0" fontId="5" fillId="0" borderId="0"/>
    <xf numFmtId="0" fontId="48" fillId="0" borderId="0"/>
    <xf numFmtId="0" fontId="48" fillId="0" borderId="0"/>
    <xf numFmtId="0" fontId="48" fillId="0" borderId="0"/>
    <xf numFmtId="0" fontId="49" fillId="0" borderId="0"/>
    <xf numFmtId="0" fontId="48"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8" fillId="0" borderId="0"/>
    <xf numFmtId="0" fontId="49"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280">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9" fontId="0" fillId="0" borderId="2" xfId="33"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1" fontId="11" fillId="0" borderId="0" xfId="26" applyNumberFormat="1" applyFont="1" applyFill="1" applyBorder="1" applyAlignment="1" applyProtection="1">
      <alignment wrapText="1"/>
    </xf>
    <xf numFmtId="0" fontId="11" fillId="0" borderId="0" xfId="26" applyFont="1" applyFill="1" applyBorder="1" applyAlignment="1" applyProtection="1"/>
    <xf numFmtId="0" fontId="10" fillId="0" borderId="0" xfId="26" applyFont="1" applyFill="1" applyBorder="1" applyProtection="1"/>
    <xf numFmtId="0" fontId="11" fillId="0" borderId="0" xfId="26" applyFont="1" applyFill="1" applyBorder="1" applyProtection="1"/>
    <xf numFmtId="0" fontId="0" fillId="0" borderId="0" xfId="0" applyFill="1" applyBorder="1"/>
    <xf numFmtId="1" fontId="10" fillId="0" borderId="0" xfId="26" applyNumberFormat="1" applyFont="1" applyFill="1" applyBorder="1" applyAlignment="1" applyProtection="1">
      <alignment wrapText="1"/>
    </xf>
    <xf numFmtId="1" fontId="11" fillId="0" borderId="0" xfId="26" applyNumberFormat="1" applyFont="1" applyFill="1" applyBorder="1" applyAlignment="1" applyProtection="1">
      <alignment horizontal="center" wrapText="1"/>
    </xf>
    <xf numFmtId="1" fontId="11" fillId="0" borderId="0" xfId="26" applyNumberFormat="1" applyFont="1" applyFill="1" applyBorder="1" applyAlignment="1" applyProtection="1">
      <alignment horizontal="centerContinuous" wrapText="1"/>
    </xf>
    <xf numFmtId="1" fontId="11" fillId="0" borderId="0" xfId="26" applyNumberFormat="1" applyFont="1" applyFill="1" applyBorder="1" applyAlignment="1" applyProtection="1">
      <alignment horizontal="center" vertical="center" wrapText="1"/>
    </xf>
    <xf numFmtId="1" fontId="10" fillId="0" borderId="0" xfId="26" applyNumberFormat="1" applyFont="1" applyFill="1" applyBorder="1" applyProtection="1"/>
    <xf numFmtId="1" fontId="10" fillId="0" borderId="0" xfId="26" applyNumberFormat="1" applyFont="1" applyFill="1" applyBorder="1" applyAlignment="1" applyProtection="1">
      <alignment horizontal="center"/>
    </xf>
    <xf numFmtId="0" fontId="10" fillId="0" borderId="0" xfId="0" applyFont="1" applyFill="1" applyBorder="1" applyAlignment="1" applyProtection="1"/>
    <xf numFmtId="167" fontId="12" fillId="0" borderId="0" xfId="0" applyNumberFormat="1" applyFont="1" applyFill="1" applyBorder="1" applyAlignment="1" applyProtection="1">
      <alignment horizontal="center" vertical="center"/>
      <protection locked="0"/>
    </xf>
    <xf numFmtId="0" fontId="10" fillId="0" borderId="0" xfId="26" applyFont="1" applyFill="1" applyBorder="1" applyAlignment="1" applyProtection="1">
      <alignment horizontal="center"/>
    </xf>
    <xf numFmtId="167" fontId="10" fillId="0" borderId="0" xfId="0" applyNumberFormat="1" applyFont="1" applyFill="1" applyBorder="1" applyAlignment="1" applyProtection="1">
      <alignment horizontal="center" vertical="center"/>
    </xf>
    <xf numFmtId="167" fontId="10" fillId="0" borderId="0" xfId="27" applyNumberFormat="1" applyFont="1" applyFill="1" applyBorder="1" applyAlignment="1" applyProtection="1">
      <alignment horizontal="center" vertical="center"/>
    </xf>
    <xf numFmtId="1" fontId="11" fillId="0" borderId="0" xfId="26" applyNumberFormat="1" applyFont="1" applyFill="1" applyBorder="1" applyProtection="1"/>
    <xf numFmtId="168" fontId="12" fillId="0" borderId="0" xfId="26" applyNumberFormat="1" applyFont="1" applyFill="1" applyBorder="1" applyProtection="1"/>
    <xf numFmtId="0" fontId="10" fillId="0" borderId="0" xfId="22" applyFont="1" applyFill="1" applyBorder="1" applyAlignment="1" applyProtection="1"/>
    <xf numFmtId="1" fontId="10" fillId="0" borderId="0" xfId="27" applyNumberFormat="1" applyFont="1" applyFill="1" applyBorder="1" applyAlignment="1" applyProtection="1">
      <alignment horizontal="center" vertical="center"/>
    </xf>
    <xf numFmtId="2" fontId="10" fillId="0" borderId="0" xfId="0" applyNumberFormat="1" applyFont="1" applyFill="1" applyBorder="1" applyAlignment="1" applyProtection="1">
      <alignment horizontal="center" vertical="center"/>
    </xf>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9" fontId="0" fillId="0" borderId="9" xfId="33" applyFon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4" fillId="0" borderId="9" xfId="33" applyNumberFormat="1" applyFont="1" applyBorder="1" applyAlignment="1" applyProtection="1">
      <alignment horizontal="center" vertical="center" wrapText="1"/>
    </xf>
    <xf numFmtId="167" fontId="14" fillId="0" borderId="0" xfId="32" applyNumberFormat="1" applyFont="1" applyBorder="1" applyAlignment="1" applyProtection="1">
      <alignment horizontal="center" vertical="center" wrapText="1"/>
    </xf>
    <xf numFmtId="167" fontId="14"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4" fillId="0" borderId="9" xfId="33" applyNumberFormat="1" applyFont="1" applyFill="1" applyBorder="1" applyAlignment="1" applyProtection="1">
      <alignment horizontal="center" vertical="center" wrapText="1"/>
    </xf>
    <xf numFmtId="167" fontId="14"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4" fillId="0" borderId="2" xfId="32" applyFont="1" applyBorder="1" applyAlignment="1">
      <alignment horizontal="left" vertical="center" wrapText="1"/>
    </xf>
    <xf numFmtId="164" fontId="14" fillId="0" borderId="9" xfId="33" applyNumberFormat="1" applyFont="1" applyBorder="1" applyAlignment="1">
      <alignment horizontal="center" vertical="center" wrapText="1"/>
    </xf>
    <xf numFmtId="0" fontId="14" fillId="0" borderId="1" xfId="32" applyFont="1" applyBorder="1" applyAlignment="1">
      <alignment horizontal="left" vertical="center" wrapText="1"/>
    </xf>
    <xf numFmtId="0" fontId="14" fillId="0" borderId="3" xfId="32" applyFont="1" applyBorder="1" applyAlignment="1">
      <alignment horizontal="left" vertical="center" wrapText="1"/>
    </xf>
    <xf numFmtId="0" fontId="22" fillId="0" borderId="0" xfId="0" applyFont="1" applyFill="1" applyBorder="1" applyAlignment="1"/>
    <xf numFmtId="0" fontId="22" fillId="0" borderId="0" xfId="0" applyFont="1" applyFill="1" applyBorder="1" applyAlignment="1">
      <alignment horizontal="center"/>
    </xf>
    <xf numFmtId="167" fontId="23" fillId="0" borderId="0" xfId="32" applyNumberFormat="1" applyFont="1" applyFill="1" applyBorder="1" applyAlignment="1" applyProtection="1">
      <alignment horizontal="left" vertical="center" wrapText="1"/>
    </xf>
    <xf numFmtId="164" fontId="23" fillId="0" borderId="0" xfId="33" applyNumberFormat="1" applyFont="1" applyFill="1" applyBorder="1" applyAlignment="1" applyProtection="1">
      <alignment horizontal="center" vertical="center" wrapText="1"/>
    </xf>
    <xf numFmtId="167" fontId="23" fillId="0" borderId="0" xfId="32" applyNumberFormat="1" applyFont="1" applyFill="1" applyBorder="1" applyAlignment="1" applyProtection="1">
      <alignment horizontal="center" vertical="center" wrapText="1"/>
    </xf>
    <xf numFmtId="167" fontId="22" fillId="0" borderId="0" xfId="0" applyNumberFormat="1" applyFont="1" applyFill="1" applyBorder="1" applyAlignment="1"/>
    <xf numFmtId="9" fontId="22" fillId="0" borderId="0" xfId="33" applyFont="1" applyFill="1" applyBorder="1" applyAlignment="1"/>
    <xf numFmtId="166" fontId="22" fillId="0" borderId="0" xfId="0" applyNumberFormat="1" applyFont="1" applyFill="1" applyBorder="1" applyAlignment="1"/>
    <xf numFmtId="1" fontId="22" fillId="0" borderId="0" xfId="0" applyNumberFormat="1" applyFont="1" applyFill="1" applyBorder="1" applyAlignment="1">
      <alignment horizontal="center"/>
    </xf>
    <xf numFmtId="0" fontId="22"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3" fillId="0" borderId="0" xfId="0" applyFont="1" applyFill="1" applyBorder="1" applyAlignment="1">
      <alignment horizontal="center" vertical="top" wrapText="1"/>
    </xf>
    <xf numFmtId="0" fontId="0" fillId="0" borderId="9" xfId="0" applyBorder="1" applyAlignment="1">
      <alignment wrapText="1"/>
    </xf>
    <xf numFmtId="0" fontId="14" fillId="0" borderId="6" xfId="32" applyFont="1" applyBorder="1" applyAlignment="1">
      <alignment horizontal="center" vertical="center" wrapText="1"/>
    </xf>
    <xf numFmtId="0" fontId="14" fillId="0" borderId="9" xfId="32" applyFont="1" applyBorder="1" applyAlignment="1">
      <alignment horizontal="center" vertical="center" wrapText="1"/>
    </xf>
    <xf numFmtId="167" fontId="14" fillId="0" borderId="1" xfId="32" applyNumberFormat="1" applyFont="1" applyBorder="1" applyAlignment="1" applyProtection="1">
      <alignment horizontal="left" vertical="center" wrapText="1"/>
    </xf>
    <xf numFmtId="167" fontId="14" fillId="0" borderId="2" xfId="32" applyNumberFormat="1" applyFont="1" applyBorder="1" applyAlignment="1" applyProtection="1">
      <alignment horizontal="left" vertical="center" wrapText="1"/>
    </xf>
    <xf numFmtId="167" fontId="14" fillId="0" borderId="2" xfId="32" applyNumberFormat="1" applyFont="1" applyFill="1" applyBorder="1" applyAlignment="1" applyProtection="1">
      <alignment horizontal="left" vertical="center" wrapText="1"/>
    </xf>
    <xf numFmtId="0" fontId="15" fillId="0" borderId="4" xfId="32" applyFont="1" applyBorder="1" applyAlignment="1">
      <alignment horizontal="left" vertical="center" wrapText="1"/>
    </xf>
    <xf numFmtId="167" fontId="14" fillId="0" borderId="2" xfId="32" applyNumberFormat="1" applyFont="1" applyBorder="1" applyAlignment="1" applyProtection="1">
      <alignment horizontal="center" vertical="center" wrapText="1"/>
    </xf>
    <xf numFmtId="167" fontId="14" fillId="0" borderId="1" xfId="32" applyNumberFormat="1" applyFont="1" applyBorder="1" applyAlignment="1" applyProtection="1">
      <alignment horizontal="center" vertical="center" wrapText="1"/>
    </xf>
    <xf numFmtId="167" fontId="14" fillId="0" borderId="2" xfId="32" applyNumberFormat="1" applyFont="1" applyFill="1" applyBorder="1" applyAlignment="1" applyProtection="1">
      <alignment horizontal="center" vertical="center" wrapText="1"/>
    </xf>
    <xf numFmtId="167" fontId="14" fillId="0" borderId="1" xfId="32" applyNumberFormat="1" applyFont="1" applyBorder="1" applyAlignment="1">
      <alignment horizontal="center" vertical="center" wrapText="1"/>
    </xf>
    <xf numFmtId="167" fontId="14" fillId="0" borderId="2" xfId="32" applyNumberFormat="1" applyFont="1" applyBorder="1" applyAlignment="1">
      <alignment horizontal="center" vertical="center" wrapText="1"/>
    </xf>
    <xf numFmtId="167" fontId="14" fillId="0" borderId="3" xfId="32" applyNumberFormat="1" applyFont="1" applyBorder="1" applyAlignment="1">
      <alignment horizontal="center" vertical="center" wrapText="1"/>
    </xf>
    <xf numFmtId="167" fontId="15" fillId="0" borderId="4" xfId="32" applyNumberFormat="1" applyFont="1" applyBorder="1" applyAlignment="1">
      <alignment horizontal="center" vertical="center" wrapText="1"/>
    </xf>
    <xf numFmtId="167" fontId="15" fillId="0" borderId="1" xfId="32" applyNumberFormat="1" applyFont="1" applyBorder="1" applyAlignment="1">
      <alignment horizontal="center" vertical="center" wrapText="1"/>
    </xf>
    <xf numFmtId="0" fontId="7" fillId="0" borderId="3" xfId="0" applyFont="1" applyBorder="1" applyAlignment="1">
      <alignment vertical="top"/>
    </xf>
    <xf numFmtId="167" fontId="14" fillId="0" borderId="0" xfId="32" applyNumberFormat="1" applyFont="1" applyBorder="1" applyAlignment="1">
      <alignment horizontal="center" vertical="center" wrapText="1"/>
    </xf>
    <xf numFmtId="167" fontId="14"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4"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4"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5" fillId="0" borderId="0" xfId="32" applyFont="1" applyBorder="1" applyAlignment="1">
      <alignment horizontal="left" vertical="center" wrapText="1"/>
    </xf>
    <xf numFmtId="167" fontId="15" fillId="0" borderId="0" xfId="32" applyNumberFormat="1" applyFont="1" applyBorder="1" applyAlignment="1">
      <alignment horizontal="center" vertical="center" wrapText="1"/>
    </xf>
    <xf numFmtId="9" fontId="14"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7" fillId="0" borderId="0" xfId="0" applyFont="1"/>
    <xf numFmtId="169" fontId="4" fillId="7" borderId="0" xfId="0" applyNumberFormat="1" applyFont="1" applyFill="1" applyAlignment="1">
      <alignment vertical="center" wrapText="1"/>
    </xf>
    <xf numFmtId="0" fontId="9" fillId="3" borderId="0" xfId="0" applyFont="1" applyFill="1"/>
    <xf numFmtId="0" fontId="18" fillId="3" borderId="0" xfId="0" applyFont="1" applyFill="1"/>
    <xf numFmtId="171" fontId="0" fillId="0" borderId="0" xfId="0" applyNumberFormat="1" applyFill="1" applyAlignment="1"/>
    <xf numFmtId="3" fontId="0" fillId="0" borderId="0" xfId="0" applyNumberFormat="1" applyFill="1" applyAlignment="1"/>
    <xf numFmtId="167" fontId="15"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6" fillId="8" borderId="0" xfId="0" applyFont="1" applyFill="1"/>
    <xf numFmtId="167" fontId="16" fillId="8" borderId="0" xfId="0" applyNumberFormat="1" applyFont="1" applyFill="1"/>
    <xf numFmtId="167" fontId="5" fillId="8" borderId="0" xfId="0" applyNumberFormat="1" applyFont="1" applyFill="1"/>
    <xf numFmtId="164" fontId="0" fillId="0" borderId="0" xfId="33" applyNumberFormat="1" applyFont="1" applyAlignment="1"/>
    <xf numFmtId="10" fontId="16"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4" fillId="0" borderId="3" xfId="32" applyNumberFormat="1" applyFont="1" applyBorder="1" applyAlignment="1" applyProtection="1">
      <alignment horizontal="left" vertical="center" wrapText="1"/>
    </xf>
    <xf numFmtId="9" fontId="14" fillId="0" borderId="1" xfId="33" applyFont="1" applyBorder="1" applyAlignment="1" applyProtection="1">
      <alignment horizontal="center" vertical="center" wrapText="1"/>
    </xf>
    <xf numFmtId="9" fontId="14"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4" fillId="0" borderId="11" xfId="33" applyNumberFormat="1" applyFont="1" applyBorder="1" applyAlignment="1" applyProtection="1">
      <alignment horizontal="center" vertical="center" wrapText="1"/>
    </xf>
    <xf numFmtId="167" fontId="14"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9" fontId="10" fillId="0" borderId="0" xfId="33" applyFont="1" applyFill="1" applyBorder="1" applyProtection="1"/>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4" fillId="0" borderId="8" xfId="32" applyNumberFormat="1" applyFont="1" applyBorder="1" applyAlignment="1" applyProtection="1">
      <alignment horizontal="center" vertical="center" wrapText="1"/>
    </xf>
    <xf numFmtId="0" fontId="21" fillId="0" borderId="0" xfId="0" applyFont="1" applyBorder="1" applyAlignment="1">
      <alignment vertical="top" wrapText="1"/>
    </xf>
    <xf numFmtId="0" fontId="15"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4" fillId="0" borderId="6" xfId="33" applyNumberFormat="1" applyFont="1" applyFill="1" applyBorder="1" applyAlignment="1" applyProtection="1">
      <alignment horizontal="center" vertical="center" wrapText="1"/>
    </xf>
    <xf numFmtId="164" fontId="14"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22" fillId="0" borderId="0" xfId="0" applyFont="1" applyFill="1" applyBorder="1" applyAlignment="1">
      <alignment vertical="top" wrapText="1"/>
    </xf>
    <xf numFmtId="0" fontId="4" fillId="10" borderId="0" xfId="0" applyFont="1" applyFill="1"/>
    <xf numFmtId="0" fontId="24" fillId="0" borderId="0" xfId="0" applyFont="1" applyFill="1" applyAlignment="1"/>
    <xf numFmtId="0" fontId="24" fillId="0" borderId="0" xfId="0" applyFont="1" applyFill="1"/>
    <xf numFmtId="167" fontId="24" fillId="0" borderId="0" xfId="0" applyNumberFormat="1" applyFont="1" applyFill="1"/>
    <xf numFmtId="0" fontId="24" fillId="10" borderId="0" xfId="0" applyFont="1" applyFill="1" applyAlignment="1"/>
    <xf numFmtId="0" fontId="24" fillId="10" borderId="0" xfId="0" applyFont="1" applyFill="1"/>
    <xf numFmtId="167" fontId="24" fillId="10" borderId="0" xfId="0" applyNumberFormat="1" applyFont="1" applyFill="1"/>
    <xf numFmtId="9" fontId="22" fillId="9" borderId="22" xfId="33" applyFont="1" applyFill="1" applyBorder="1" applyAlignment="1"/>
    <xf numFmtId="0" fontId="3" fillId="5" borderId="17" xfId="0" applyFont="1" applyFill="1" applyBorder="1" applyAlignment="1"/>
    <xf numFmtId="0" fontId="22" fillId="0" borderId="0" xfId="0" applyFont="1" applyAlignment="1"/>
    <xf numFmtId="0" fontId="16" fillId="0" borderId="0" xfId="0" applyFont="1" applyFill="1" applyBorder="1" applyAlignment="1"/>
    <xf numFmtId="167" fontId="16"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6"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6" fillId="0" borderId="0" xfId="0" applyFont="1"/>
    <xf numFmtId="164" fontId="0" fillId="0" borderId="0" xfId="33" applyNumberFormat="1" applyFont="1"/>
    <xf numFmtId="0" fontId="25" fillId="0" borderId="0" xfId="0" applyFont="1"/>
    <xf numFmtId="0" fontId="20"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5" fillId="0" borderId="32"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20" xfId="25" applyNumberFormat="1" applyFont="1" applyBorder="1" applyProtection="1"/>
    <xf numFmtId="1" fontId="15" fillId="0" borderId="21" xfId="25" applyNumberFormat="1" applyFont="1" applyBorder="1" applyProtection="1"/>
    <xf numFmtId="1" fontId="14" fillId="0" borderId="17" xfId="25" applyNumberFormat="1" applyFont="1" applyFill="1" applyBorder="1" applyProtection="1"/>
    <xf numFmtId="0" fontId="15" fillId="0" borderId="0" xfId="25" applyFont="1" applyBorder="1" applyAlignment="1" applyProtection="1"/>
    <xf numFmtId="0" fontId="14" fillId="0" borderId="0" xfId="25" applyFont="1" applyBorder="1" applyProtection="1"/>
    <xf numFmtId="1" fontId="14" fillId="0" borderId="32" xfId="25" applyNumberFormat="1" applyFont="1" applyFill="1" applyBorder="1" applyAlignment="1" applyProtection="1">
      <alignment horizontal="center"/>
    </xf>
    <xf numFmtId="1" fontId="14" fillId="0" borderId="34" xfId="25" applyNumberFormat="1" applyFont="1" applyFill="1" applyBorder="1" applyAlignment="1" applyProtection="1">
      <alignment horizontal="center"/>
    </xf>
    <xf numFmtId="1" fontId="14" fillId="0" borderId="35" xfId="25" applyNumberFormat="1" applyFont="1" applyFill="1" applyBorder="1" applyAlignment="1" applyProtection="1">
      <alignment horizontal="center"/>
    </xf>
    <xf numFmtId="1" fontId="14" fillId="0" borderId="36" xfId="25" applyNumberFormat="1" applyFont="1" applyFill="1" applyBorder="1" applyAlignment="1" applyProtection="1">
      <alignment horizontal="center"/>
    </xf>
    <xf numFmtId="0" fontId="15" fillId="0" borderId="0" xfId="25" applyFont="1" applyBorder="1" applyProtection="1"/>
    <xf numFmtId="1" fontId="14" fillId="0" borderId="33" xfId="25" applyNumberFormat="1" applyFont="1" applyFill="1" applyBorder="1" applyAlignment="1" applyProtection="1">
      <alignment horizontal="center"/>
    </xf>
    <xf numFmtId="1" fontId="14" fillId="0" borderId="37" xfId="25" applyNumberFormat="1" applyFont="1" applyFill="1" applyBorder="1" applyAlignment="1" applyProtection="1">
      <alignment horizontal="center"/>
    </xf>
    <xf numFmtId="1" fontId="14" fillId="0" borderId="2" xfId="25" applyNumberFormat="1" applyFont="1" applyFill="1" applyBorder="1" applyAlignment="1" applyProtection="1">
      <alignment horizontal="center"/>
    </xf>
    <xf numFmtId="1"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xf>
    <xf numFmtId="0" fontId="14" fillId="0" borderId="17" xfId="25" applyFont="1" applyBorder="1" applyProtection="1"/>
    <xf numFmtId="168" fontId="15" fillId="10" borderId="38" xfId="25" applyNumberFormat="1" applyFont="1" applyFill="1" applyBorder="1" applyAlignment="1" applyProtection="1">
      <alignment horizontal="center"/>
    </xf>
    <xf numFmtId="168" fontId="14" fillId="0" borderId="27" xfId="25" applyNumberFormat="1" applyFont="1" applyFill="1" applyBorder="1" applyAlignment="1" applyProtection="1">
      <alignment horizontal="center"/>
    </xf>
    <xf numFmtId="168" fontId="14" fillId="0" borderId="4" xfId="25" applyNumberFormat="1" applyFont="1" applyFill="1" applyBorder="1" applyAlignment="1" applyProtection="1">
      <alignment horizontal="center"/>
    </xf>
    <xf numFmtId="167" fontId="26" fillId="9" borderId="38" xfId="25" applyNumberFormat="1" applyFont="1" applyFill="1" applyBorder="1" applyAlignment="1" applyProtection="1">
      <alignment horizontal="center"/>
      <protection locked="0"/>
    </xf>
    <xf numFmtId="168" fontId="14" fillId="0" borderId="7" xfId="25" applyNumberFormat="1" applyFont="1" applyFill="1" applyBorder="1" applyAlignment="1" applyProtection="1">
      <alignment horizontal="center"/>
    </xf>
    <xf numFmtId="168" fontId="15" fillId="0" borderId="33" xfId="25" applyNumberFormat="1" applyFont="1" applyFill="1" applyBorder="1" applyAlignment="1" applyProtection="1">
      <alignment horizontal="center"/>
    </xf>
    <xf numFmtId="168" fontId="14" fillId="0" borderId="37" xfId="25" applyNumberFormat="1" applyFont="1" applyFill="1" applyBorder="1" applyAlignment="1" applyProtection="1">
      <alignment horizontal="center"/>
    </xf>
    <xf numFmtId="168" fontId="14" fillId="0" borderId="2" xfId="25" applyNumberFormat="1" applyFont="1" applyFill="1" applyBorder="1" applyAlignment="1" applyProtection="1">
      <alignment horizontal="center"/>
    </xf>
    <xf numFmtId="168"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protection locked="0"/>
    </xf>
    <xf numFmtId="168" fontId="26" fillId="0" borderId="39" xfId="25" applyNumberFormat="1" applyFont="1" applyFill="1" applyBorder="1" applyAlignment="1" applyProtection="1">
      <alignment horizontal="center"/>
    </xf>
    <xf numFmtId="168" fontId="14" fillId="0" borderId="40" xfId="25" applyNumberFormat="1" applyFont="1" applyFill="1" applyBorder="1" applyAlignment="1" applyProtection="1">
      <alignment horizontal="center"/>
    </xf>
    <xf numFmtId="168" fontId="14" fillId="0" borderId="41" xfId="25" applyNumberFormat="1" applyFont="1" applyFill="1" applyBorder="1" applyAlignment="1" applyProtection="1">
      <alignment horizontal="center"/>
    </xf>
    <xf numFmtId="168" fontId="14" fillId="0" borderId="42" xfId="25" applyNumberFormat="1" applyFont="1" applyFill="1" applyBorder="1" applyAlignment="1" applyProtection="1">
      <alignment horizontal="center"/>
    </xf>
    <xf numFmtId="168" fontId="14" fillId="0" borderId="39" xfId="25" applyNumberFormat="1" applyFont="1" applyFill="1" applyBorder="1" applyAlignment="1" applyProtection="1">
      <alignment horizontal="center"/>
    </xf>
    <xf numFmtId="167" fontId="26" fillId="0" borderId="39" xfId="25" applyNumberFormat="1" applyFont="1" applyFill="1" applyBorder="1" applyAlignment="1" applyProtection="1">
      <alignment horizontal="center"/>
      <protection locked="0"/>
    </xf>
    <xf numFmtId="0" fontId="14" fillId="0" borderId="13" xfId="25" applyFont="1" applyBorder="1" applyProtection="1"/>
    <xf numFmtId="0" fontId="15" fillId="0" borderId="14" xfId="25" applyFont="1" applyBorder="1" applyAlignment="1" applyProtection="1"/>
    <xf numFmtId="0" fontId="14" fillId="0" borderId="0" xfId="22" applyFont="1" applyAlignment="1" applyProtection="1"/>
    <xf numFmtId="168" fontId="15" fillId="0" borderId="32" xfId="25" applyNumberFormat="1" applyFont="1" applyFill="1" applyBorder="1" applyAlignment="1" applyProtection="1">
      <alignment horizontal="center"/>
    </xf>
    <xf numFmtId="168" fontId="14" fillId="0" borderId="34" xfId="25" applyNumberFormat="1" applyFont="1" applyFill="1" applyBorder="1" applyAlignment="1" applyProtection="1">
      <alignment horizontal="center"/>
    </xf>
    <xf numFmtId="168" fontId="14" fillId="0" borderId="35" xfId="25" applyNumberFormat="1" applyFont="1" applyFill="1" applyBorder="1" applyAlignment="1" applyProtection="1">
      <alignment horizontal="center"/>
    </xf>
    <xf numFmtId="168" fontId="14" fillId="0" borderId="36" xfId="25" applyNumberFormat="1" applyFont="1" applyFill="1" applyBorder="1" applyAlignment="1" applyProtection="1">
      <alignment horizontal="center"/>
    </xf>
    <xf numFmtId="167" fontId="14" fillId="0" borderId="32" xfId="25" applyNumberFormat="1" applyFont="1" applyFill="1" applyBorder="1" applyAlignment="1" applyProtection="1">
      <alignment horizontal="center"/>
      <protection locked="0"/>
    </xf>
    <xf numFmtId="167" fontId="26" fillId="0" borderId="39" xfId="25" applyNumberFormat="1" applyFont="1" applyFill="1" applyBorder="1" applyAlignment="1" applyProtection="1">
      <alignment horizontal="center"/>
    </xf>
    <xf numFmtId="167" fontId="27" fillId="9" borderId="27" xfId="16" applyNumberFormat="1" applyFont="1" applyFill="1" applyBorder="1" applyAlignment="1" applyProtection="1">
      <alignment horizontal="center" vertical="center"/>
      <protection locked="0"/>
    </xf>
    <xf numFmtId="167" fontId="27" fillId="9" borderId="5" xfId="16" applyNumberFormat="1" applyFont="1" applyFill="1" applyBorder="1" applyAlignment="1" applyProtection="1">
      <alignment horizontal="center" vertical="center"/>
      <protection locked="0"/>
    </xf>
    <xf numFmtId="167" fontId="27" fillId="9" borderId="28" xfId="16" applyNumberFormat="1" applyFont="1" applyFill="1" applyBorder="1" applyAlignment="1" applyProtection="1">
      <alignment horizontal="center" vertical="center"/>
      <protection locked="0"/>
    </xf>
    <xf numFmtId="167" fontId="27" fillId="9" borderId="4" xfId="16" applyNumberFormat="1" applyFont="1" applyFill="1" applyBorder="1" applyAlignment="1" applyProtection="1">
      <alignment horizontal="center" vertical="center"/>
      <protection locked="0"/>
    </xf>
    <xf numFmtId="167" fontId="27" fillId="11" borderId="27" xfId="16" applyNumberFormat="1" applyFont="1" applyFill="1" applyBorder="1" applyAlignment="1" applyProtection="1">
      <alignment horizontal="center" vertical="center"/>
    </xf>
    <xf numFmtId="167" fontId="27" fillId="11" borderId="5" xfId="16" applyNumberFormat="1" applyFont="1" applyFill="1" applyBorder="1" applyAlignment="1" applyProtection="1">
      <alignment horizontal="center" vertical="center"/>
    </xf>
    <xf numFmtId="167" fontId="27" fillId="11" borderId="29" xfId="16" applyNumberFormat="1" applyFont="1" applyFill="1" applyBorder="1" applyAlignment="1" applyProtection="1">
      <alignment horizontal="center" vertical="center"/>
    </xf>
    <xf numFmtId="167" fontId="27" fillId="11" borderId="45" xfId="16" applyNumberFormat="1" applyFont="1" applyFill="1" applyBorder="1" applyAlignment="1" applyProtection="1">
      <alignment horizontal="center" vertical="center"/>
    </xf>
    <xf numFmtId="167" fontId="27" fillId="9" borderId="45" xfId="16" applyNumberFormat="1" applyFont="1" applyFill="1" applyBorder="1" applyAlignment="1" applyProtection="1">
      <alignment horizontal="center" vertical="center"/>
      <protection locked="0"/>
    </xf>
    <xf numFmtId="167" fontId="27" fillId="9" borderId="31" xfId="16" applyNumberFormat="1" applyFont="1" applyFill="1" applyBorder="1" applyAlignment="1" applyProtection="1">
      <alignment horizontal="center" vertical="center"/>
      <protection locked="0"/>
    </xf>
    <xf numFmtId="167" fontId="27"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3" fillId="0" borderId="0" xfId="0" applyFont="1"/>
    <xf numFmtId="0" fontId="28" fillId="0" borderId="0" xfId="0" applyFont="1" applyFill="1" applyBorder="1"/>
    <xf numFmtId="0" fontId="9" fillId="0" borderId="0" xfId="0" applyFont="1"/>
    <xf numFmtId="0" fontId="29"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21"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7" fillId="9" borderId="4" xfId="16" applyFont="1" applyFill="1" applyBorder="1" applyAlignment="1" applyProtection="1">
      <alignment horizontal="center" vertical="center"/>
      <protection locked="0"/>
    </xf>
    <xf numFmtId="0" fontId="27" fillId="9" borderId="7" xfId="16" applyFont="1" applyFill="1" applyBorder="1" applyAlignment="1" applyProtection="1">
      <alignment horizontal="center" vertical="center"/>
      <protection locked="0"/>
    </xf>
    <xf numFmtId="166" fontId="27" fillId="9" borderId="27" xfId="16" applyNumberFormat="1" applyFont="1" applyFill="1" applyBorder="1" applyAlignment="1" applyProtection="1">
      <alignment horizontal="center" vertical="center"/>
      <protection locked="0"/>
    </xf>
    <xf numFmtId="166" fontId="27" fillId="9" borderId="5" xfId="16" applyNumberFormat="1" applyFont="1" applyFill="1" applyBorder="1" applyAlignment="1" applyProtection="1">
      <alignment horizontal="center" vertical="center"/>
      <protection locked="0"/>
    </xf>
    <xf numFmtId="166" fontId="27" fillId="9" borderId="28" xfId="16" applyNumberFormat="1" applyFont="1" applyFill="1" applyBorder="1" applyAlignment="1" applyProtection="1">
      <alignment horizontal="center" vertical="center"/>
      <protection locked="0"/>
    </xf>
    <xf numFmtId="166" fontId="27" fillId="9" borderId="4" xfId="16" applyNumberFormat="1" applyFont="1" applyFill="1" applyBorder="1" applyAlignment="1" applyProtection="1">
      <alignment horizontal="center" vertical="center"/>
      <protection locked="0"/>
    </xf>
    <xf numFmtId="0" fontId="27" fillId="9" borderId="1" xfId="16" applyFont="1" applyFill="1" applyBorder="1" applyAlignment="1" applyProtection="1">
      <alignment horizontal="center" vertical="center"/>
      <protection locked="0"/>
    </xf>
    <xf numFmtId="0" fontId="27" fillId="9" borderId="6" xfId="16" applyFont="1" applyFill="1" applyBorder="1" applyAlignment="1" applyProtection="1">
      <alignment horizontal="center" vertical="center"/>
      <protection locked="0"/>
    </xf>
    <xf numFmtId="166" fontId="27" fillId="9" borderId="8" xfId="16" applyNumberFormat="1" applyFont="1" applyFill="1" applyBorder="1" applyAlignment="1" applyProtection="1">
      <alignment horizontal="center" vertical="center"/>
      <protection locked="0"/>
    </xf>
    <xf numFmtId="166" fontId="27" fillId="9" borderId="56" xfId="16" applyNumberFormat="1" applyFont="1" applyFill="1" applyBorder="1" applyAlignment="1" applyProtection="1">
      <alignment horizontal="center" vertical="center"/>
      <protection locked="0"/>
    </xf>
    <xf numFmtId="166" fontId="27" fillId="9" borderId="1" xfId="16" applyNumberFormat="1" applyFont="1" applyFill="1" applyBorder="1" applyAlignment="1" applyProtection="1">
      <alignment horizontal="center" vertical="center"/>
      <protection locked="0"/>
    </xf>
    <xf numFmtId="1" fontId="27" fillId="9" borderId="49" xfId="13" applyNumberFormat="1" applyFont="1" applyFill="1" applyBorder="1" applyAlignment="1" applyProtection="1">
      <alignment horizontal="center"/>
      <protection locked="0"/>
    </xf>
    <xf numFmtId="1" fontId="27" fillId="9" borderId="12" xfId="13" applyNumberFormat="1" applyFont="1" applyFill="1" applyBorder="1" applyAlignment="1" applyProtection="1">
      <alignment horizontal="center"/>
      <protection locked="0"/>
    </xf>
    <xf numFmtId="1" fontId="27" fillId="9" borderId="57" xfId="13" applyNumberFormat="1" applyFont="1" applyFill="1" applyBorder="1" applyAlignment="1" applyProtection="1">
      <alignment horizontal="center"/>
      <protection locked="0"/>
    </xf>
    <xf numFmtId="1" fontId="27" fillId="9" borderId="27" xfId="13" applyNumberFormat="1" applyFont="1" applyFill="1" applyBorder="1" applyAlignment="1" applyProtection="1">
      <alignment horizontal="center"/>
      <protection locked="0"/>
    </xf>
    <xf numFmtId="1" fontId="27" fillId="9" borderId="5" xfId="13" applyNumberFormat="1" applyFont="1" applyFill="1" applyBorder="1" applyAlignment="1" applyProtection="1">
      <alignment horizontal="center"/>
      <protection locked="0"/>
    </xf>
    <xf numFmtId="1" fontId="27" fillId="9" borderId="44" xfId="13" applyNumberFormat="1" applyFont="1" applyFill="1" applyBorder="1" applyAlignment="1" applyProtection="1">
      <alignment horizontal="center"/>
      <protection locked="0"/>
    </xf>
    <xf numFmtId="1" fontId="27" fillId="9" borderId="29" xfId="13" applyNumberFormat="1" applyFont="1" applyFill="1" applyBorder="1" applyAlignment="1" applyProtection="1">
      <alignment horizontal="center"/>
      <protection locked="0"/>
    </xf>
    <xf numFmtId="1" fontId="27" fillId="9" borderId="31" xfId="13" applyNumberFormat="1" applyFont="1" applyFill="1" applyBorder="1" applyAlignment="1" applyProtection="1">
      <alignment horizontal="center"/>
      <protection locked="0"/>
    </xf>
    <xf numFmtId="1" fontId="27" fillId="9" borderId="28" xfId="13" applyNumberFormat="1" applyFont="1" applyFill="1" applyBorder="1" applyAlignment="1" applyProtection="1">
      <alignment horizontal="center"/>
      <protection locked="0"/>
    </xf>
    <xf numFmtId="1" fontId="27" fillId="9" borderId="45" xfId="13" applyNumberFormat="1" applyFont="1" applyFill="1" applyBorder="1" applyAlignment="1" applyProtection="1">
      <alignment horizontal="center"/>
      <protection locked="0"/>
    </xf>
    <xf numFmtId="0" fontId="30" fillId="0" borderId="0" xfId="0" applyFont="1" applyProtection="1"/>
    <xf numFmtId="0" fontId="30" fillId="0" borderId="0" xfId="0" applyFont="1" applyBorder="1" applyProtection="1"/>
    <xf numFmtId="0" fontId="31" fillId="0" borderId="0" xfId="0" applyFont="1" applyProtection="1"/>
    <xf numFmtId="0" fontId="8" fillId="0" borderId="0" xfId="28" applyFont="1" applyFill="1" applyBorder="1" applyAlignment="1" applyProtection="1">
      <alignment horizontal="left" vertical="center"/>
    </xf>
    <xf numFmtId="0" fontId="30" fillId="0" borderId="47" xfId="0" applyFont="1" applyBorder="1" applyAlignment="1" applyProtection="1">
      <alignment horizontal="centerContinuous"/>
    </xf>
    <xf numFmtId="2" fontId="27" fillId="9" borderId="37" xfId="0" applyNumberFormat="1" applyFont="1" applyFill="1" applyBorder="1" applyAlignment="1" applyProtection="1">
      <alignment horizontal="center" vertical="center"/>
      <protection locked="0"/>
    </xf>
    <xf numFmtId="2" fontId="27" fillId="9" borderId="50" xfId="0" applyNumberFormat="1" applyFont="1" applyFill="1" applyBorder="1" applyAlignment="1" applyProtection="1">
      <alignment horizontal="center" vertical="center"/>
      <protection locked="0"/>
    </xf>
    <xf numFmtId="168" fontId="27" fillId="0" borderId="58" xfId="26" applyNumberFormat="1" applyFont="1" applyFill="1" applyBorder="1" applyProtection="1"/>
    <xf numFmtId="2" fontId="27" fillId="0" borderId="37" xfId="0" applyNumberFormat="1" applyFont="1" applyFill="1" applyBorder="1" applyAlignment="1" applyProtection="1">
      <alignment horizontal="center" vertical="center"/>
    </xf>
    <xf numFmtId="2" fontId="27" fillId="0" borderId="50" xfId="0" applyNumberFormat="1" applyFont="1" applyFill="1" applyBorder="1" applyAlignment="1" applyProtection="1">
      <alignment horizontal="center" vertical="center"/>
    </xf>
    <xf numFmtId="2" fontId="27" fillId="9" borderId="40" xfId="0" applyNumberFormat="1" applyFont="1" applyFill="1" applyBorder="1" applyAlignment="1" applyProtection="1">
      <alignment horizontal="center" vertical="center"/>
      <protection locked="0"/>
    </xf>
    <xf numFmtId="2" fontId="27" fillId="9" borderId="58" xfId="0" applyNumberFormat="1" applyFont="1" applyFill="1" applyBorder="1" applyAlignment="1" applyProtection="1">
      <alignment horizontal="center" vertical="center"/>
      <protection locked="0"/>
    </xf>
    <xf numFmtId="0" fontId="15" fillId="0" borderId="15" xfId="32" applyFont="1" applyBorder="1"/>
    <xf numFmtId="0" fontId="14" fillId="0" borderId="15" xfId="32" applyFont="1" applyBorder="1"/>
    <xf numFmtId="0" fontId="14" fillId="0" borderId="8" xfId="32" applyFont="1" applyBorder="1"/>
    <xf numFmtId="0" fontId="15" fillId="0" borderId="0" xfId="32" applyFont="1" applyBorder="1"/>
    <xf numFmtId="0" fontId="14" fillId="0" borderId="0" xfId="32" applyFont="1" applyBorder="1"/>
    <xf numFmtId="0" fontId="14" fillId="0" borderId="10" xfId="32" applyFont="1" applyBorder="1"/>
    <xf numFmtId="0" fontId="15" fillId="0" borderId="10" xfId="32" applyFont="1" applyBorder="1" applyAlignment="1">
      <alignment horizontal="center" textRotation="90" wrapText="1"/>
    </xf>
    <xf numFmtId="0" fontId="14" fillId="0" borderId="4" xfId="32" applyFont="1" applyBorder="1"/>
    <xf numFmtId="0" fontId="14" fillId="0" borderId="4" xfId="32" applyFont="1" applyBorder="1" applyAlignment="1">
      <alignment horizontal="center"/>
    </xf>
    <xf numFmtId="0" fontId="14" fillId="0" borderId="1" xfId="32" applyFont="1" applyBorder="1"/>
    <xf numFmtId="0" fontId="14" fillId="0" borderId="1" xfId="32" applyFont="1" applyBorder="1" applyAlignment="1">
      <alignment horizontal="center"/>
    </xf>
    <xf numFmtId="0" fontId="14" fillId="0" borderId="2" xfId="32" applyFont="1" applyBorder="1"/>
    <xf numFmtId="176" fontId="14" fillId="0" borderId="2" xfId="32" applyNumberFormat="1" applyFont="1" applyBorder="1"/>
    <xf numFmtId="37" fontId="14" fillId="0" borderId="10" xfId="32" applyNumberFormat="1" applyFont="1" applyBorder="1"/>
    <xf numFmtId="177" fontId="14" fillId="12" borderId="3" xfId="32" applyNumberFormat="1" applyFont="1" applyFill="1" applyBorder="1"/>
    <xf numFmtId="177" fontId="14" fillId="0" borderId="3" xfId="32" applyNumberFormat="1" applyFont="1" applyBorder="1"/>
    <xf numFmtId="176" fontId="14" fillId="0" borderId="10" xfId="32" applyNumberFormat="1" applyFont="1" applyBorder="1"/>
    <xf numFmtId="0" fontId="14" fillId="0" borderId="3" xfId="32" applyFont="1" applyBorder="1"/>
    <xf numFmtId="176" fontId="14" fillId="0" borderId="3" xfId="32" applyNumberFormat="1" applyFont="1" applyBorder="1"/>
    <xf numFmtId="176" fontId="14" fillId="0" borderId="0" xfId="32" applyNumberFormat="1" applyFont="1" applyBorder="1"/>
    <xf numFmtId="0" fontId="14" fillId="0" borderId="0" xfId="0" applyFont="1" applyBorder="1" applyAlignment="1" applyProtection="1"/>
    <xf numFmtId="0" fontId="15" fillId="0" borderId="0" xfId="0" applyFont="1" applyBorder="1" applyAlignment="1">
      <alignment horizontal="right"/>
    </xf>
    <xf numFmtId="37" fontId="15" fillId="0" borderId="0" xfId="0" applyNumberFormat="1" applyFont="1" applyFill="1" applyBorder="1" applyAlignment="1"/>
    <xf numFmtId="0" fontId="23" fillId="0" borderId="0" xfId="0" applyFont="1" applyBorder="1" applyAlignment="1" applyProtection="1">
      <alignment horizontal="center"/>
    </xf>
    <xf numFmtId="0" fontId="14" fillId="0" borderId="18" xfId="32" applyFont="1" applyBorder="1"/>
    <xf numFmtId="176" fontId="14" fillId="0" borderId="18" xfId="32" applyNumberFormat="1" applyFont="1" applyBorder="1"/>
    <xf numFmtId="37" fontId="14" fillId="0" borderId="12" xfId="32" applyNumberFormat="1" applyFont="1" applyBorder="1"/>
    <xf numFmtId="0" fontId="33" fillId="0" borderId="0" xfId="0" applyFont="1"/>
    <xf numFmtId="0" fontId="34" fillId="0" borderId="4" xfId="32" applyFont="1" applyBorder="1" applyAlignment="1">
      <alignment wrapText="1"/>
    </xf>
    <xf numFmtId="167" fontId="34" fillId="0" borderId="4" xfId="32" applyNumberFormat="1" applyFont="1" applyBorder="1" applyAlignment="1" applyProtection="1">
      <alignment horizontal="center" textRotation="90" wrapText="1"/>
    </xf>
    <xf numFmtId="167" fontId="34" fillId="0" borderId="3" xfId="32" applyNumberFormat="1" applyFont="1" applyBorder="1" applyAlignment="1" applyProtection="1">
      <alignment horizontal="center" textRotation="90" wrapText="1"/>
    </xf>
    <xf numFmtId="0" fontId="35" fillId="0" borderId="10" xfId="32" applyFont="1" applyBorder="1" applyAlignment="1">
      <alignment horizontal="center" textRotation="90" wrapText="1"/>
    </xf>
    <xf numFmtId="0" fontId="37"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8" fillId="0" borderId="0" xfId="0" applyFont="1" applyBorder="1" applyAlignment="1">
      <alignment horizontal="left" vertical="center"/>
    </xf>
    <xf numFmtId="0" fontId="13"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3" fillId="0" borderId="0" xfId="0" applyFont="1" applyBorder="1" applyAlignment="1" applyProtection="1">
      <alignment horizontal="left" vertical="center" wrapText="1"/>
    </xf>
    <xf numFmtId="0" fontId="13"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3" fillId="5" borderId="61" xfId="0" applyFont="1" applyFill="1" applyBorder="1" applyAlignment="1" applyProtection="1">
      <alignment horizontal="center" textRotation="90"/>
    </xf>
    <xf numFmtId="0" fontId="13" fillId="0" borderId="71" xfId="0" applyFont="1" applyBorder="1" applyAlignment="1">
      <alignment horizontal="center"/>
    </xf>
    <xf numFmtId="0" fontId="13" fillId="0" borderId="35" xfId="0" applyFont="1" applyBorder="1" applyAlignment="1">
      <alignment horizontal="center"/>
    </xf>
    <xf numFmtId="0" fontId="13" fillId="0" borderId="14" xfId="0" applyFont="1" applyBorder="1" applyAlignment="1">
      <alignment horizontal="center"/>
    </xf>
    <xf numFmtId="0" fontId="13" fillId="0" borderId="32" xfId="0" applyFont="1" applyBorder="1" applyAlignment="1">
      <alignment horizontal="center"/>
    </xf>
    <xf numFmtId="0" fontId="13" fillId="11" borderId="10" xfId="0" applyFont="1" applyFill="1" applyBorder="1" applyAlignment="1">
      <alignment horizontal="center"/>
    </xf>
    <xf numFmtId="0" fontId="13" fillId="11" borderId="2" xfId="0" applyFont="1" applyFill="1" applyBorder="1" applyAlignment="1">
      <alignment horizontal="center"/>
    </xf>
    <xf numFmtId="0" fontId="13" fillId="11" borderId="0" xfId="0" applyFont="1" applyFill="1" applyBorder="1" applyAlignment="1">
      <alignment horizontal="center"/>
    </xf>
    <xf numFmtId="0" fontId="8" fillId="11" borderId="38" xfId="0" applyFont="1" applyFill="1" applyBorder="1" applyAlignment="1"/>
    <xf numFmtId="174" fontId="19" fillId="11" borderId="4" xfId="0" applyNumberFormat="1" applyFont="1" applyFill="1" applyBorder="1" applyAlignment="1" applyProtection="1"/>
    <xf numFmtId="174" fontId="19" fillId="11" borderId="7" xfId="0" applyNumberFormat="1" applyFont="1" applyFill="1" applyBorder="1" applyAlignment="1" applyProtection="1"/>
    <xf numFmtId="174" fontId="19" fillId="11" borderId="7" xfId="0" applyNumberFormat="1" applyFont="1" applyFill="1" applyBorder="1" applyAlignment="1"/>
    <xf numFmtId="174" fontId="8" fillId="2" borderId="38" xfId="0" applyNumberFormat="1" applyFont="1" applyFill="1" applyBorder="1" applyAlignment="1"/>
    <xf numFmtId="174" fontId="13" fillId="11" borderId="10" xfId="0" applyNumberFormat="1" applyFont="1" applyFill="1" applyBorder="1" applyAlignment="1">
      <alignment horizontal="center"/>
    </xf>
    <xf numFmtId="174" fontId="13" fillId="11" borderId="2" xfId="0" applyNumberFormat="1" applyFont="1" applyFill="1" applyBorder="1" applyAlignment="1">
      <alignment horizontal="center"/>
    </xf>
    <xf numFmtId="174" fontId="8" fillId="11" borderId="38" xfId="0" applyNumberFormat="1" applyFont="1" applyFill="1" applyBorder="1" applyAlignment="1"/>
    <xf numFmtId="174" fontId="19" fillId="11" borderId="5" xfId="0" applyNumberFormat="1" applyFont="1" applyFill="1" applyBorder="1" applyAlignment="1" applyProtection="1"/>
    <xf numFmtId="174" fontId="19" fillId="11" borderId="5" xfId="0" applyNumberFormat="1" applyFont="1" applyFill="1" applyBorder="1" applyAlignment="1"/>
    <xf numFmtId="174" fontId="19" fillId="11" borderId="4" xfId="0" applyNumberFormat="1" applyFont="1" applyFill="1" applyBorder="1" applyAlignment="1"/>
    <xf numFmtId="174" fontId="13" fillId="2" borderId="5" xfId="0" applyNumberFormat="1" applyFont="1" applyFill="1" applyBorder="1" applyAlignment="1"/>
    <xf numFmtId="174" fontId="13" fillId="2" borderId="16" xfId="0" applyNumberFormat="1" applyFont="1" applyFill="1" applyBorder="1" applyAlignment="1"/>
    <xf numFmtId="174" fontId="13" fillId="2" borderId="38" xfId="0" applyNumberFormat="1" applyFont="1" applyFill="1" applyBorder="1" applyAlignment="1"/>
    <xf numFmtId="0" fontId="39" fillId="0" borderId="0" xfId="0" quotePrefix="1" applyFont="1" applyAlignment="1" applyProtection="1"/>
    <xf numFmtId="174" fontId="13" fillId="2" borderId="4" xfId="0" applyNumberFormat="1" applyFont="1" applyFill="1" applyBorder="1" applyAlignment="1"/>
    <xf numFmtId="174" fontId="13" fillId="2" borderId="7" xfId="0" applyNumberFormat="1" applyFont="1" applyFill="1" applyBorder="1" applyAlignment="1"/>
    <xf numFmtId="0" fontId="8" fillId="0" borderId="0" xfId="0" quotePrefix="1" applyFont="1" applyAlignment="1" applyProtection="1"/>
    <xf numFmtId="174" fontId="19" fillId="11" borderId="1" xfId="0" applyNumberFormat="1" applyFont="1" applyFill="1" applyBorder="1" applyAlignment="1"/>
    <xf numFmtId="174" fontId="8" fillId="11" borderId="1" xfId="0" applyNumberFormat="1" applyFont="1" applyFill="1" applyBorder="1" applyAlignment="1"/>
    <xf numFmtId="174" fontId="13" fillId="2" borderId="66" xfId="0" applyNumberFormat="1" applyFont="1" applyFill="1" applyBorder="1" applyAlignment="1"/>
    <xf numFmtId="0" fontId="39" fillId="0" borderId="0" xfId="0" applyFont="1" applyAlignment="1" applyProtection="1"/>
    <xf numFmtId="174" fontId="13" fillId="2" borderId="74" xfId="0" applyNumberFormat="1" applyFont="1" applyFill="1" applyBorder="1" applyAlignment="1"/>
    <xf numFmtId="174" fontId="13" fillId="2" borderId="72" xfId="0" applyNumberFormat="1" applyFont="1" applyFill="1" applyBorder="1" applyAlignment="1"/>
    <xf numFmtId="174" fontId="13" fillId="2" borderId="75" xfId="0" applyNumberFormat="1" applyFont="1" applyFill="1" applyBorder="1" applyAlignment="1"/>
    <xf numFmtId="174" fontId="13" fillId="2" borderId="61" xfId="0" applyNumberFormat="1" applyFont="1" applyFill="1" applyBorder="1" applyAlignment="1"/>
    <xf numFmtId="0" fontId="13" fillId="0" borderId="0" xfId="0" applyFont="1" applyBorder="1" applyAlignment="1">
      <alignment horizontal="center" vertical="center"/>
    </xf>
    <xf numFmtId="0" fontId="19" fillId="0" borderId="0" xfId="0" applyFont="1" applyFill="1" applyBorder="1" applyAlignment="1"/>
    <xf numFmtId="0" fontId="39" fillId="0" borderId="0" xfId="0" applyFont="1" applyBorder="1" applyAlignment="1">
      <alignment horizontal="center"/>
    </xf>
    <xf numFmtId="0" fontId="13" fillId="8" borderId="25" xfId="0" applyFont="1" applyFill="1" applyBorder="1" applyAlignment="1" applyProtection="1">
      <alignment vertical="center" wrapText="1"/>
    </xf>
    <xf numFmtId="0" fontId="13" fillId="8" borderId="26" xfId="0" applyFont="1" applyFill="1" applyBorder="1" applyAlignment="1" applyProtection="1">
      <alignment horizontal="center" vertical="center" wrapText="1"/>
    </xf>
    <xf numFmtId="0" fontId="13" fillId="8" borderId="33" xfId="0" applyFont="1" applyFill="1" applyBorder="1" applyAlignment="1" applyProtection="1">
      <alignment horizontal="center" vertical="center" wrapText="1"/>
    </xf>
    <xf numFmtId="0" fontId="13"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32" fillId="6" borderId="13" xfId="0" applyFont="1" applyFill="1" applyBorder="1" applyAlignment="1">
      <alignment vertical="center"/>
    </xf>
    <xf numFmtId="0" fontId="13"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3" fillId="0" borderId="13" xfId="28" applyFont="1" applyFill="1" applyBorder="1" applyAlignment="1" applyProtection="1">
      <alignment horizontal="center" vertical="center"/>
    </xf>
    <xf numFmtId="0" fontId="13"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9" fillId="9" borderId="4" xfId="28" applyFont="1" applyFill="1" applyBorder="1" applyAlignment="1" applyProtection="1">
      <alignment horizontal="center" vertical="center"/>
      <protection locked="0"/>
    </xf>
    <xf numFmtId="168" fontId="19" fillId="0" borderId="39" xfId="25" applyNumberFormat="1" applyFont="1" applyFill="1" applyBorder="1" applyProtection="1"/>
    <xf numFmtId="1" fontId="13" fillId="0" borderId="20" xfId="25" applyNumberFormat="1" applyFont="1" applyBorder="1" applyProtection="1"/>
    <xf numFmtId="1" fontId="13" fillId="0" borderId="21" xfId="25" applyNumberFormat="1" applyFont="1" applyBorder="1" applyProtection="1"/>
    <xf numFmtId="0" fontId="13"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5" fillId="0" borderId="17" xfId="0" applyFont="1" applyFill="1" applyBorder="1" applyAlignment="1" applyProtection="1"/>
    <xf numFmtId="168" fontId="14"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42" fillId="0" borderId="0" xfId="0" applyFont="1" applyBorder="1"/>
    <xf numFmtId="0" fontId="43" fillId="0" borderId="0" xfId="0" applyFont="1" applyBorder="1"/>
    <xf numFmtId="0" fontId="42" fillId="0" borderId="0" xfId="0" applyFont="1" applyFill="1" applyBorder="1" applyAlignment="1">
      <alignment vertical="top" wrapText="1"/>
    </xf>
    <xf numFmtId="0" fontId="43" fillId="0" borderId="0" xfId="0" applyFont="1" applyFill="1" applyBorder="1" applyAlignment="1">
      <alignment vertical="top" wrapText="1"/>
    </xf>
    <xf numFmtId="164" fontId="4" fillId="0" borderId="1" xfId="0" applyNumberFormat="1" applyFont="1" applyBorder="1" applyAlignment="1">
      <alignment horizontal="center"/>
    </xf>
    <xf numFmtId="0" fontId="44" fillId="0" borderId="0" xfId="0" applyFont="1"/>
    <xf numFmtId="0" fontId="46" fillId="0" borderId="0" xfId="0" applyFont="1" applyFill="1" applyBorder="1"/>
    <xf numFmtId="0" fontId="46" fillId="0" borderId="0" xfId="0" applyFont="1"/>
    <xf numFmtId="166" fontId="46" fillId="4" borderId="0" xfId="7" applyNumberFormat="1" applyFont="1" applyFill="1"/>
    <xf numFmtId="166" fontId="46" fillId="0" borderId="18" xfId="7" applyNumberFormat="1" applyFont="1" applyBorder="1"/>
    <xf numFmtId="166" fontId="46" fillId="5" borderId="0" xfId="7" applyNumberFormat="1" applyFont="1" applyFill="1" applyBorder="1"/>
    <xf numFmtId="166" fontId="46" fillId="0" borderId="0" xfId="7" applyNumberFormat="1" applyFont="1"/>
    <xf numFmtId="166" fontId="46" fillId="5" borderId="16" xfId="7" applyNumberFormat="1" applyFont="1" applyFill="1" applyBorder="1"/>
    <xf numFmtId="0" fontId="1" fillId="0" borderId="0" xfId="0" applyFont="1"/>
    <xf numFmtId="166" fontId="46" fillId="0" borderId="0" xfId="0" applyNumberFormat="1" applyFont="1"/>
    <xf numFmtId="166" fontId="46" fillId="14" borderId="0" xfId="7" applyNumberFormat="1" applyFont="1" applyFill="1"/>
    <xf numFmtId="166" fontId="46" fillId="5" borderId="16" xfId="0" applyNumberFormat="1" applyFont="1" applyFill="1" applyBorder="1"/>
    <xf numFmtId="166" fontId="46" fillId="4" borderId="0" xfId="0" applyNumberFormat="1" applyFont="1" applyFill="1"/>
    <xf numFmtId="0" fontId="46" fillId="0" borderId="0" xfId="0" applyFont="1" applyBorder="1"/>
    <xf numFmtId="0" fontId="45" fillId="0" borderId="0" xfId="11" applyFont="1" applyAlignment="1" applyProtection="1"/>
    <xf numFmtId="0" fontId="44" fillId="0" borderId="45" xfId="16" applyFont="1" applyBorder="1" applyAlignment="1" applyProtection="1">
      <alignment horizontal="center" vertical="center" wrapText="1"/>
    </xf>
    <xf numFmtId="0" fontId="44" fillId="0" borderId="30" xfId="16" applyFont="1" applyBorder="1" applyAlignment="1" applyProtection="1">
      <alignment horizontal="center" vertical="center" wrapText="1"/>
    </xf>
    <xf numFmtId="0" fontId="44" fillId="0" borderId="29" xfId="16" applyFont="1" applyBorder="1" applyAlignment="1" applyProtection="1">
      <alignment horizontal="center" vertical="center" wrapText="1"/>
    </xf>
    <xf numFmtId="0" fontId="44" fillId="0" borderId="65" xfId="16" applyFont="1" applyBorder="1" applyAlignment="1" applyProtection="1">
      <alignment horizontal="center" vertical="center" wrapText="1"/>
    </xf>
    <xf numFmtId="0" fontId="44" fillId="0" borderId="38" xfId="16" applyFont="1" applyBorder="1" applyAlignment="1" applyProtection="1">
      <alignment horizontal="center" vertical="center" wrapText="1"/>
    </xf>
    <xf numFmtId="0" fontId="44" fillId="0" borderId="31" xfId="16" applyFont="1" applyBorder="1" applyAlignment="1" applyProtection="1">
      <alignment horizontal="center" vertical="center" wrapText="1"/>
    </xf>
    <xf numFmtId="0" fontId="44" fillId="0" borderId="44" xfId="16" applyFont="1" applyBorder="1" applyAlignment="1" applyProtection="1">
      <alignment horizontal="center" vertical="center" wrapText="1"/>
    </xf>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7" fillId="0" borderId="0" xfId="0" applyFont="1" applyBorder="1"/>
    <xf numFmtId="0" fontId="47" fillId="0" borderId="0" xfId="0" applyFont="1" applyFill="1" applyBorder="1" applyAlignment="1">
      <alignment vertical="top" wrapText="1"/>
    </xf>
    <xf numFmtId="0" fontId="50"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8" fillId="12" borderId="0" xfId="19" applyFill="1" applyBorder="1" applyAlignment="1" applyProtection="1">
      <alignment horizontal="center" vertical="center"/>
    </xf>
    <xf numFmtId="0" fontId="51" fillId="12" borderId="0" xfId="19" applyFont="1" applyFill="1" applyBorder="1" applyAlignment="1" applyProtection="1">
      <alignment horizontal="center" vertical="center"/>
    </xf>
    <xf numFmtId="0" fontId="48" fillId="12" borderId="0" xfId="19" applyFill="1" applyBorder="1" applyAlignment="1" applyProtection="1"/>
    <xf numFmtId="0" fontId="6" fillId="12" borderId="0" xfId="31" applyFill="1" applyBorder="1" applyProtection="1"/>
    <xf numFmtId="0" fontId="52" fillId="12" borderId="0" xfId="19" applyFont="1" applyFill="1" applyBorder="1" applyAlignment="1" applyProtection="1">
      <alignment horizontal="left"/>
    </xf>
    <xf numFmtId="0" fontId="48" fillId="12" borderId="0" xfId="19" applyFill="1" applyBorder="1" applyAlignment="1" applyProtection="1">
      <alignment horizontal="center"/>
    </xf>
    <xf numFmtId="0" fontId="52" fillId="12" borderId="21" xfId="19" applyFont="1" applyFill="1" applyBorder="1" applyAlignment="1" applyProtection="1">
      <alignment horizontal="left"/>
    </xf>
    <xf numFmtId="0" fontId="48" fillId="12" borderId="21" xfId="19" applyFill="1" applyBorder="1" applyAlignment="1" applyProtection="1"/>
    <xf numFmtId="0" fontId="48" fillId="12" borderId="21" xfId="19" applyFill="1" applyBorder="1" applyAlignment="1" applyProtection="1">
      <alignment horizontal="center"/>
    </xf>
    <xf numFmtId="0" fontId="48" fillId="12" borderId="21" xfId="19" applyFill="1" applyBorder="1" applyAlignment="1" applyProtection="1">
      <alignment horizontal="center" vertical="center"/>
    </xf>
    <xf numFmtId="0" fontId="6" fillId="12" borderId="21" xfId="31" applyFill="1" applyBorder="1" applyProtection="1"/>
    <xf numFmtId="0" fontId="48" fillId="0" borderId="0" xfId="19" applyProtection="1"/>
    <xf numFmtId="0" fontId="48" fillId="0" borderId="0" xfId="19" applyAlignment="1" applyProtection="1">
      <alignment horizontal="center"/>
    </xf>
    <xf numFmtId="0" fontId="48" fillId="0" borderId="0" xfId="19" applyAlignment="1" applyProtection="1">
      <alignment horizontal="center" vertical="center"/>
    </xf>
    <xf numFmtId="0" fontId="6" fillId="0" borderId="0" xfId="31" applyProtection="1"/>
    <xf numFmtId="0" fontId="44" fillId="0" borderId="0" xfId="19" applyFont="1" applyProtection="1"/>
    <xf numFmtId="0" fontId="44" fillId="0" borderId="34" xfId="19" applyFont="1" applyBorder="1" applyProtection="1"/>
    <xf numFmtId="0" fontId="44" fillId="0" borderId="69" xfId="19" applyFont="1" applyBorder="1" applyAlignment="1" applyProtection="1">
      <alignment horizontal="centerContinuous" vertical="center"/>
    </xf>
    <xf numFmtId="0" fontId="44" fillId="0" borderId="48" xfId="19" applyFont="1" applyBorder="1" applyAlignment="1" applyProtection="1">
      <alignment horizontal="centerContinuous" vertical="center"/>
    </xf>
    <xf numFmtId="0" fontId="48" fillId="0" borderId="47" xfId="19" applyBorder="1" applyAlignment="1" applyProtection="1">
      <alignment horizontal="centerContinuous" vertical="center"/>
    </xf>
    <xf numFmtId="0" fontId="48" fillId="0" borderId="48" xfId="19" applyBorder="1" applyAlignment="1" applyProtection="1">
      <alignment horizontal="centerContinuous" vertical="center"/>
    </xf>
    <xf numFmtId="0" fontId="44" fillId="0" borderId="67" xfId="19" applyFont="1" applyBorder="1" applyAlignment="1" applyProtection="1">
      <alignment horizontal="centerContinuous" vertical="center"/>
    </xf>
    <xf numFmtId="0" fontId="44" fillId="0" borderId="81" xfId="19" applyFont="1" applyBorder="1" applyAlignment="1" applyProtection="1">
      <alignment horizontal="centerContinuous" vertical="center"/>
    </xf>
    <xf numFmtId="0" fontId="44" fillId="0" borderId="82" xfId="19" applyFont="1" applyBorder="1" applyAlignment="1" applyProtection="1">
      <alignment horizontal="centerContinuous" vertical="center"/>
    </xf>
    <xf numFmtId="0" fontId="48" fillId="0" borderId="49" xfId="19" applyBorder="1" applyProtection="1"/>
    <xf numFmtId="0" fontId="44" fillId="0" borderId="49" xfId="19" applyFont="1" applyBorder="1" applyAlignment="1" applyProtection="1">
      <alignment horizontal="center" vertical="center" wrapText="1"/>
    </xf>
    <xf numFmtId="0" fontId="44" fillId="0" borderId="3" xfId="19" applyFont="1" applyBorder="1" applyAlignment="1" applyProtection="1">
      <alignment horizontal="center" vertical="center" wrapText="1"/>
    </xf>
    <xf numFmtId="0" fontId="44" fillId="0" borderId="57" xfId="19" applyFont="1" applyBorder="1" applyAlignment="1" applyProtection="1">
      <alignment horizontal="center" vertical="center" wrapText="1"/>
    </xf>
    <xf numFmtId="0" fontId="44" fillId="0" borderId="12" xfId="19" applyFont="1" applyBorder="1" applyAlignment="1" applyProtection="1">
      <alignment horizontal="center" vertical="center" wrapText="1"/>
    </xf>
    <xf numFmtId="0" fontId="44" fillId="0" borderId="27" xfId="19" applyFont="1" applyBorder="1" applyAlignment="1" applyProtection="1">
      <alignment horizontal="center" vertical="center" wrapText="1"/>
    </xf>
    <xf numFmtId="0" fontId="44" fillId="0" borderId="4" xfId="19" applyFont="1" applyBorder="1" applyAlignment="1" applyProtection="1">
      <alignment horizontal="center" vertical="center" wrapText="1"/>
    </xf>
    <xf numFmtId="0" fontId="44" fillId="0" borderId="28" xfId="19" applyFont="1" applyBorder="1" applyAlignment="1" applyProtection="1">
      <alignment horizontal="center" vertical="center" wrapText="1"/>
    </xf>
    <xf numFmtId="0" fontId="48" fillId="0" borderId="17" xfId="19" applyBorder="1" applyProtection="1"/>
    <xf numFmtId="0" fontId="48" fillId="0" borderId="50" xfId="19" applyNumberFormat="1" applyFont="1" applyBorder="1" applyAlignment="1" applyProtection="1">
      <alignment horizontal="center" wrapText="1"/>
    </xf>
    <xf numFmtId="167" fontId="48" fillId="15" borderId="12" xfId="19" applyNumberFormat="1" applyFont="1" applyFill="1" applyBorder="1" applyAlignment="1" applyProtection="1">
      <alignment horizontal="center" vertical="center"/>
    </xf>
    <xf numFmtId="167" fontId="48" fillId="15" borderId="57" xfId="19" applyNumberFormat="1" applyFont="1" applyFill="1" applyBorder="1" applyAlignment="1" applyProtection="1">
      <alignment horizontal="center" vertical="center"/>
    </xf>
    <xf numFmtId="167" fontId="48" fillId="15" borderId="3" xfId="19" applyNumberFormat="1" applyFont="1" applyFill="1" applyBorder="1" applyAlignment="1" applyProtection="1">
      <alignment horizontal="center" vertical="center"/>
    </xf>
    <xf numFmtId="167" fontId="48" fillId="10" borderId="27" xfId="19" applyNumberFormat="1" applyFill="1" applyBorder="1" applyAlignment="1" applyProtection="1">
      <alignment horizontal="center" vertical="center"/>
    </xf>
    <xf numFmtId="167" fontId="48" fillId="10" borderId="4" xfId="19" applyNumberFormat="1" applyFill="1" applyBorder="1" applyAlignment="1" applyProtection="1">
      <alignment horizontal="center" vertical="center"/>
    </xf>
    <xf numFmtId="167" fontId="48" fillId="10" borderId="28" xfId="19" applyNumberFormat="1" applyFill="1" applyBorder="1" applyAlignment="1" applyProtection="1">
      <alignment horizontal="center" vertical="center"/>
    </xf>
    <xf numFmtId="164" fontId="48" fillId="10" borderId="28" xfId="33" applyNumberFormat="1" applyFont="1" applyFill="1" applyBorder="1" applyAlignment="1" applyProtection="1">
      <alignment horizontal="center" vertical="center"/>
    </xf>
    <xf numFmtId="167" fontId="48" fillId="15" borderId="49" xfId="19" applyNumberFormat="1" applyFont="1" applyFill="1" applyBorder="1" applyAlignment="1" applyProtection="1">
      <alignment horizontal="center" vertical="center"/>
    </xf>
    <xf numFmtId="0" fontId="48" fillId="0" borderId="17" xfId="19" applyFill="1" applyBorder="1" applyProtection="1"/>
    <xf numFmtId="167" fontId="44" fillId="10" borderId="27" xfId="19" applyNumberFormat="1" applyFont="1" applyFill="1" applyBorder="1" applyAlignment="1" applyProtection="1">
      <alignment horizontal="center" vertical="center"/>
    </xf>
    <xf numFmtId="167" fontId="44" fillId="10" borderId="4" xfId="19" applyNumberFormat="1" applyFont="1" applyFill="1" applyBorder="1" applyAlignment="1" applyProtection="1">
      <alignment horizontal="center" vertical="center"/>
    </xf>
    <xf numFmtId="167" fontId="44" fillId="10" borderId="28" xfId="19" applyNumberFormat="1" applyFont="1" applyFill="1" applyBorder="1" applyAlignment="1" applyProtection="1">
      <alignment horizontal="center" vertical="center"/>
    </xf>
    <xf numFmtId="167" fontId="44" fillId="10" borderId="5" xfId="19" applyNumberFormat="1" applyFont="1" applyFill="1" applyBorder="1" applyAlignment="1" applyProtection="1">
      <alignment horizontal="center" vertical="center"/>
    </xf>
    <xf numFmtId="167" fontId="27" fillId="9" borderId="27" xfId="19" applyNumberFormat="1" applyFont="1" applyFill="1" applyBorder="1" applyAlignment="1" applyProtection="1">
      <alignment horizontal="center" vertical="center"/>
      <protection locked="0"/>
    </xf>
    <xf numFmtId="167" fontId="44" fillId="10" borderId="55" xfId="19" applyNumberFormat="1" applyFont="1" applyFill="1" applyBorder="1" applyAlignment="1" applyProtection="1">
      <alignment horizontal="center" vertical="center"/>
    </xf>
    <xf numFmtId="167" fontId="44" fillId="10" borderId="8" xfId="19" applyNumberFormat="1" applyFont="1" applyFill="1" applyBorder="1" applyAlignment="1" applyProtection="1">
      <alignment horizontal="center" vertical="center"/>
    </xf>
    <xf numFmtId="167" fontId="44" fillId="10" borderId="56" xfId="19" applyNumberFormat="1" applyFont="1" applyFill="1" applyBorder="1" applyAlignment="1" applyProtection="1">
      <alignment horizontal="center" vertical="center"/>
    </xf>
    <xf numFmtId="167" fontId="44" fillId="10" borderId="1" xfId="19" applyNumberFormat="1" applyFont="1" applyFill="1" applyBorder="1" applyAlignment="1" applyProtection="1">
      <alignment horizontal="center" vertical="center"/>
    </xf>
    <xf numFmtId="0" fontId="48" fillId="0" borderId="20" xfId="19" applyBorder="1" applyProtection="1"/>
    <xf numFmtId="0" fontId="48" fillId="0" borderId="58" xfId="19" applyNumberFormat="1" applyFont="1" applyBorder="1" applyAlignment="1" applyProtection="1">
      <alignment horizontal="center" wrapText="1"/>
    </xf>
    <xf numFmtId="167" fontId="48" fillId="0" borderId="29" xfId="19" applyNumberFormat="1" applyFont="1" applyFill="1" applyBorder="1" applyAlignment="1" applyProtection="1">
      <alignment horizontal="center" vertical="center"/>
    </xf>
    <xf numFmtId="167" fontId="48" fillId="0" borderId="45" xfId="19" applyNumberFormat="1" applyFont="1" applyFill="1" applyBorder="1" applyAlignment="1" applyProtection="1">
      <alignment horizontal="center" vertical="center"/>
    </xf>
    <xf numFmtId="167" fontId="48" fillId="0" borderId="31" xfId="19" applyNumberFormat="1" applyFont="1" applyFill="1" applyBorder="1" applyAlignment="1" applyProtection="1">
      <alignment horizontal="center" vertical="center"/>
    </xf>
    <xf numFmtId="167" fontId="48" fillId="0" borderId="30" xfId="19" applyNumberFormat="1" applyFont="1" applyFill="1" applyBorder="1" applyAlignment="1" applyProtection="1">
      <alignment horizontal="center" vertical="center"/>
    </xf>
    <xf numFmtId="167" fontId="48" fillId="11" borderId="27" xfId="19" applyNumberFormat="1" applyFill="1" applyBorder="1" applyAlignment="1" applyProtection="1">
      <alignment horizontal="center" vertical="center"/>
    </xf>
    <xf numFmtId="167" fontId="48" fillId="11" borderId="4" xfId="19" applyNumberFormat="1" applyFill="1" applyBorder="1" applyAlignment="1" applyProtection="1">
      <alignment horizontal="center" vertical="center"/>
    </xf>
    <xf numFmtId="167" fontId="48" fillId="11" borderId="28" xfId="19" applyNumberFormat="1" applyFill="1" applyBorder="1" applyAlignment="1" applyProtection="1">
      <alignment horizontal="center" vertical="center"/>
    </xf>
    <xf numFmtId="164" fontId="48" fillId="11" borderId="28" xfId="33" applyNumberFormat="1" applyFont="1" applyFill="1" applyBorder="1" applyAlignment="1" applyProtection="1">
      <alignment horizontal="center" vertical="center"/>
    </xf>
    <xf numFmtId="167" fontId="27" fillId="9" borderId="5" xfId="19" applyNumberFormat="1" applyFont="1" applyFill="1" applyBorder="1" applyAlignment="1" applyProtection="1">
      <alignment horizontal="center" vertical="center"/>
      <protection locked="0"/>
    </xf>
    <xf numFmtId="167" fontId="27" fillId="9" borderId="28" xfId="19" applyNumberFormat="1" applyFont="1" applyFill="1" applyBorder="1" applyAlignment="1" applyProtection="1">
      <alignment horizontal="center" vertical="center"/>
      <protection locked="0"/>
    </xf>
    <xf numFmtId="167" fontId="27" fillId="9" borderId="4" xfId="19" applyNumberFormat="1" applyFont="1" applyFill="1" applyBorder="1" applyAlignment="1" applyProtection="1">
      <alignment horizontal="center" vertical="center"/>
      <protection locked="0"/>
    </xf>
    <xf numFmtId="167" fontId="44" fillId="10" borderId="29" xfId="19" applyNumberFormat="1" applyFont="1" applyFill="1" applyBorder="1" applyAlignment="1" applyProtection="1">
      <alignment horizontal="center" vertical="center"/>
    </xf>
    <xf numFmtId="167" fontId="44" fillId="10" borderId="45" xfId="19" applyNumberFormat="1" applyFont="1" applyFill="1" applyBorder="1" applyAlignment="1" applyProtection="1">
      <alignment horizontal="center" vertical="center"/>
    </xf>
    <xf numFmtId="167" fontId="44" fillId="10" borderId="31" xfId="19" applyNumberFormat="1" applyFont="1" applyFill="1" applyBorder="1" applyAlignment="1" applyProtection="1">
      <alignment horizontal="center" vertical="center"/>
    </xf>
    <xf numFmtId="167" fontId="44" fillId="10" borderId="30" xfId="19" applyNumberFormat="1" applyFont="1" applyFill="1" applyBorder="1" applyAlignment="1" applyProtection="1">
      <alignment horizontal="center" vertical="center"/>
    </xf>
    <xf numFmtId="167" fontId="48" fillId="10" borderId="29" xfId="19" applyNumberFormat="1" applyFill="1" applyBorder="1" applyAlignment="1" applyProtection="1">
      <alignment horizontal="center" vertical="center"/>
    </xf>
    <xf numFmtId="167" fontId="48" fillId="10" borderId="30" xfId="19" applyNumberFormat="1" applyFill="1" applyBorder="1" applyAlignment="1" applyProtection="1">
      <alignment horizontal="center" vertical="center"/>
    </xf>
    <xf numFmtId="167" fontId="48" fillId="10" borderId="31" xfId="19" applyNumberFormat="1" applyFill="1" applyBorder="1" applyAlignment="1" applyProtection="1">
      <alignment horizontal="center" vertical="center"/>
    </xf>
    <xf numFmtId="164" fontId="48" fillId="10" borderId="31" xfId="33" applyNumberFormat="1" applyFont="1" applyFill="1" applyBorder="1" applyAlignment="1" applyProtection="1">
      <alignment horizontal="center" vertical="center"/>
    </xf>
    <xf numFmtId="0" fontId="44" fillId="0" borderId="0" xfId="19" applyFont="1" applyFill="1" applyProtection="1"/>
    <xf numFmtId="0" fontId="48" fillId="0" borderId="0" xfId="19" applyNumberFormat="1" applyFont="1" applyAlignment="1" applyProtection="1">
      <alignment horizontal="center" wrapText="1"/>
    </xf>
    <xf numFmtId="0" fontId="48" fillId="0" borderId="0" xfId="19" applyFill="1" applyAlignment="1" applyProtection="1">
      <alignment horizontal="center" vertical="center"/>
    </xf>
    <xf numFmtId="0" fontId="44" fillId="0" borderId="17" xfId="19" applyFont="1" applyFill="1" applyBorder="1" applyAlignment="1" applyProtection="1">
      <alignment horizontal="left" indent="1"/>
    </xf>
    <xf numFmtId="0" fontId="48" fillId="0" borderId="9" xfId="19" applyFill="1" applyBorder="1" applyAlignment="1" applyProtection="1">
      <alignment horizontal="center"/>
    </xf>
    <xf numFmtId="0" fontId="48" fillId="0" borderId="51" xfId="19" applyFill="1" applyBorder="1" applyAlignment="1" applyProtection="1">
      <alignment horizontal="center" vertical="center"/>
    </xf>
    <xf numFmtId="0" fontId="48" fillId="0" borderId="18" xfId="19" applyFill="1" applyBorder="1" applyAlignment="1" applyProtection="1">
      <alignment horizontal="center" vertical="center"/>
    </xf>
    <xf numFmtId="0" fontId="48" fillId="0" borderId="52" xfId="19" applyFill="1" applyBorder="1" applyAlignment="1" applyProtection="1">
      <alignment horizontal="center" vertical="center"/>
    </xf>
    <xf numFmtId="0" fontId="48" fillId="0" borderId="51" xfId="19" applyBorder="1" applyAlignment="1" applyProtection="1">
      <alignment horizontal="center" vertical="center"/>
    </xf>
    <xf numFmtId="0" fontId="48" fillId="0" borderId="18" xfId="19" applyBorder="1" applyAlignment="1" applyProtection="1">
      <alignment horizontal="center" vertical="center"/>
    </xf>
    <xf numFmtId="0" fontId="48" fillId="0" borderId="52" xfId="19" applyBorder="1" applyAlignment="1" applyProtection="1">
      <alignment horizontal="center" vertical="center"/>
    </xf>
    <xf numFmtId="0" fontId="48" fillId="0" borderId="17" xfId="19" applyFill="1" applyBorder="1" applyAlignment="1" applyProtection="1">
      <alignment horizontal="left" wrapText="1" indent="2"/>
    </xf>
    <xf numFmtId="0" fontId="48" fillId="0" borderId="9" xfId="19" applyNumberFormat="1" applyFont="1" applyBorder="1" applyAlignment="1" applyProtection="1">
      <alignment horizontal="center" wrapText="1"/>
    </xf>
    <xf numFmtId="167" fontId="48" fillId="11" borderId="27" xfId="19" applyNumberFormat="1" applyFont="1" applyFill="1" applyBorder="1" applyAlignment="1" applyProtection="1">
      <alignment horizontal="center" vertical="center"/>
      <protection locked="0"/>
    </xf>
    <xf numFmtId="167" fontId="48" fillId="11" borderId="5" xfId="19" applyNumberFormat="1" applyFont="1" applyFill="1" applyBorder="1" applyAlignment="1" applyProtection="1">
      <alignment horizontal="center" vertical="center"/>
      <protection locked="0"/>
    </xf>
    <xf numFmtId="167" fontId="48" fillId="11" borderId="28" xfId="19" applyNumberFormat="1" applyFont="1" applyFill="1" applyBorder="1" applyAlignment="1" applyProtection="1">
      <alignment horizontal="center" vertical="center"/>
      <protection locked="0"/>
    </xf>
    <xf numFmtId="167" fontId="48" fillId="15" borderId="5" xfId="19" applyNumberFormat="1" applyFont="1" applyFill="1" applyBorder="1" applyAlignment="1" applyProtection="1">
      <alignment horizontal="center" vertical="center"/>
      <protection locked="0"/>
    </xf>
    <xf numFmtId="167" fontId="48" fillId="15" borderId="4" xfId="19" applyNumberFormat="1" applyFont="1" applyFill="1" applyBorder="1" applyAlignment="1" applyProtection="1">
      <alignment horizontal="center" vertical="center"/>
      <protection locked="0"/>
    </xf>
    <xf numFmtId="167" fontId="48" fillId="15" borderId="28" xfId="19" applyNumberFormat="1" applyFont="1" applyFill="1" applyBorder="1" applyAlignment="1" applyProtection="1">
      <alignment horizontal="center" vertical="center"/>
      <protection locked="0"/>
    </xf>
    <xf numFmtId="0" fontId="44" fillId="0" borderId="17" xfId="19" applyFont="1" applyFill="1" applyBorder="1" applyAlignment="1" applyProtection="1">
      <alignment horizontal="left" wrapText="1" indent="2"/>
    </xf>
    <xf numFmtId="167" fontId="48" fillId="10" borderId="5" xfId="19" applyNumberFormat="1" applyFill="1" applyBorder="1" applyAlignment="1" applyProtection="1">
      <alignment horizontal="center" vertical="center"/>
    </xf>
    <xf numFmtId="0" fontId="48" fillId="0" borderId="9" xfId="19" applyNumberFormat="1" applyBorder="1" applyAlignment="1" applyProtection="1">
      <alignment horizontal="center"/>
    </xf>
    <xf numFmtId="0" fontId="48" fillId="0" borderId="43" xfId="19" applyBorder="1" applyAlignment="1" applyProtection="1">
      <alignment horizontal="center" vertical="center"/>
    </xf>
    <xf numFmtId="0" fontId="48" fillId="0" borderId="16" xfId="19" applyBorder="1" applyAlignment="1" applyProtection="1">
      <alignment horizontal="center" vertical="center"/>
    </xf>
    <xf numFmtId="0" fontId="48" fillId="0" borderId="44" xfId="19" applyBorder="1" applyAlignment="1" applyProtection="1">
      <alignment horizontal="center" vertical="center"/>
    </xf>
    <xf numFmtId="0" fontId="48" fillId="0" borderId="43" xfId="19" applyFill="1" applyBorder="1" applyAlignment="1" applyProtection="1">
      <alignment horizontal="center" vertical="center"/>
    </xf>
    <xf numFmtId="0" fontId="44" fillId="0" borderId="20" xfId="19" applyFont="1" applyBorder="1" applyAlignment="1" applyProtection="1">
      <alignment horizontal="left" wrapText="1" indent="2"/>
    </xf>
    <xf numFmtId="0" fontId="48" fillId="0" borderId="42" xfId="19" applyNumberFormat="1" applyFont="1" applyBorder="1" applyAlignment="1" applyProtection="1">
      <alignment horizontal="center" wrapText="1"/>
    </xf>
    <xf numFmtId="167" fontId="48" fillId="10" borderId="45" xfId="19" applyNumberFormat="1" applyFill="1" applyBorder="1" applyAlignment="1" applyProtection="1">
      <alignment horizontal="center" vertical="center"/>
    </xf>
    <xf numFmtId="0" fontId="44" fillId="0" borderId="37" xfId="19" applyFont="1" applyBorder="1" applyProtection="1"/>
    <xf numFmtId="0" fontId="44" fillId="0" borderId="9" xfId="19" applyFont="1" applyBorder="1" applyAlignment="1" applyProtection="1">
      <alignment horizontal="center"/>
    </xf>
    <xf numFmtId="0" fontId="44" fillId="0" borderId="53" xfId="19" applyFont="1" applyBorder="1" applyAlignment="1" applyProtection="1">
      <alignment horizontal="center" vertical="center"/>
    </xf>
    <xf numFmtId="0" fontId="44" fillId="0" borderId="15" xfId="19" applyFont="1" applyBorder="1" applyAlignment="1" applyProtection="1">
      <alignment horizontal="center" vertical="center"/>
    </xf>
    <xf numFmtId="0" fontId="44" fillId="0" borderId="54" xfId="19" applyFont="1" applyBorder="1" applyAlignment="1" applyProtection="1">
      <alignment horizontal="center" vertical="center"/>
    </xf>
    <xf numFmtId="0" fontId="48" fillId="0" borderId="53" xfId="19" applyBorder="1" applyAlignment="1" applyProtection="1">
      <alignment horizontal="center" vertical="center"/>
    </xf>
    <xf numFmtId="0" fontId="48" fillId="0" borderId="15" xfId="19" applyBorder="1" applyAlignment="1" applyProtection="1">
      <alignment horizontal="center" vertical="center"/>
    </xf>
    <xf numFmtId="0" fontId="48" fillId="0" borderId="54" xfId="19" applyBorder="1" applyAlignment="1" applyProtection="1">
      <alignment horizontal="center" vertical="center"/>
    </xf>
    <xf numFmtId="0" fontId="6" fillId="0" borderId="0" xfId="31" applyBorder="1" applyProtection="1"/>
    <xf numFmtId="0" fontId="44" fillId="0" borderId="37" xfId="19" applyFont="1" applyBorder="1" applyAlignment="1" applyProtection="1">
      <alignment horizontal="left" indent="1"/>
    </xf>
    <xf numFmtId="0" fontId="44" fillId="0" borderId="17" xfId="19" applyFont="1" applyBorder="1" applyAlignment="1" applyProtection="1">
      <alignment horizontal="center" vertical="center"/>
    </xf>
    <xf numFmtId="0" fontId="44" fillId="0" borderId="0" xfId="19" applyFont="1" applyBorder="1" applyAlignment="1" applyProtection="1">
      <alignment horizontal="center" vertical="center"/>
    </xf>
    <xf numFmtId="0" fontId="44" fillId="0" borderId="22" xfId="19" applyFont="1" applyBorder="1" applyAlignment="1" applyProtection="1">
      <alignment horizontal="center" vertical="center"/>
    </xf>
    <xf numFmtId="0" fontId="48" fillId="0" borderId="17" xfId="19" applyBorder="1" applyAlignment="1" applyProtection="1">
      <alignment horizontal="center" vertical="center"/>
    </xf>
    <xf numFmtId="0" fontId="48" fillId="0" borderId="0" xfId="19" applyBorder="1" applyAlignment="1" applyProtection="1">
      <alignment horizontal="center" vertical="center"/>
    </xf>
    <xf numFmtId="0" fontId="48" fillId="0" borderId="22" xfId="19" applyBorder="1" applyAlignment="1" applyProtection="1">
      <alignment horizontal="center" vertical="center"/>
    </xf>
    <xf numFmtId="0" fontId="48" fillId="0" borderId="37" xfId="19" applyFont="1" applyBorder="1" applyAlignment="1" applyProtection="1">
      <alignment horizontal="left" indent="2"/>
    </xf>
    <xf numFmtId="1" fontId="48" fillId="10" borderId="27" xfId="19" applyNumberFormat="1" applyFont="1" applyFill="1" applyBorder="1" applyAlignment="1" applyProtection="1">
      <alignment horizontal="center" vertical="center"/>
      <protection locked="0"/>
    </xf>
    <xf numFmtId="1" fontId="48" fillId="10" borderId="5" xfId="19" applyNumberFormat="1" applyFont="1" applyFill="1" applyBorder="1" applyAlignment="1" applyProtection="1">
      <alignment horizontal="center" vertical="center"/>
      <protection locked="0"/>
    </xf>
    <xf numFmtId="1" fontId="48" fillId="10" borderId="28" xfId="19" applyNumberFormat="1" applyFont="1" applyFill="1" applyBorder="1" applyAlignment="1" applyProtection="1">
      <alignment horizontal="center" vertical="center"/>
      <protection locked="0"/>
    </xf>
    <xf numFmtId="1" fontId="48" fillId="10" borderId="4" xfId="19" applyNumberFormat="1" applyFont="1" applyFill="1" applyBorder="1" applyAlignment="1" applyProtection="1">
      <alignment horizontal="center" vertical="center"/>
      <protection locked="0"/>
    </xf>
    <xf numFmtId="0" fontId="48" fillId="0" borderId="17" xfId="19" applyFont="1" applyBorder="1" applyAlignment="1" applyProtection="1">
      <alignment horizontal="left" indent="2"/>
    </xf>
    <xf numFmtId="1" fontId="27" fillId="11" borderId="27" xfId="19" applyNumberFormat="1" applyFont="1" applyFill="1" applyBorder="1" applyAlignment="1" applyProtection="1">
      <alignment horizontal="center" vertical="center"/>
      <protection locked="0"/>
    </xf>
    <xf numFmtId="1" fontId="27" fillId="11" borderId="5" xfId="19" applyNumberFormat="1" applyFont="1" applyFill="1" applyBorder="1" applyAlignment="1" applyProtection="1">
      <alignment horizontal="center" vertical="center"/>
      <protection locked="0"/>
    </xf>
    <xf numFmtId="1" fontId="27" fillId="11" borderId="28" xfId="19" applyNumberFormat="1" applyFont="1" applyFill="1" applyBorder="1" applyAlignment="1" applyProtection="1">
      <alignment horizontal="center" vertical="center"/>
      <protection locked="0"/>
    </xf>
    <xf numFmtId="0" fontId="44" fillId="0" borderId="37" xfId="19" applyFont="1" applyFill="1" applyBorder="1" applyAlignment="1" applyProtection="1">
      <alignment horizontal="left" indent="1"/>
    </xf>
    <xf numFmtId="1" fontId="44" fillId="0" borderId="17" xfId="19" applyNumberFormat="1" applyFont="1" applyBorder="1" applyAlignment="1" applyProtection="1">
      <alignment horizontal="center" vertical="center"/>
    </xf>
    <xf numFmtId="1" fontId="44" fillId="0" borderId="0" xfId="19" applyNumberFormat="1" applyFont="1" applyBorder="1" applyAlignment="1" applyProtection="1">
      <alignment horizontal="center" vertical="center"/>
    </xf>
    <xf numFmtId="1" fontId="44" fillId="0" borderId="22" xfId="19" applyNumberFormat="1" applyFont="1" applyBorder="1" applyAlignment="1" applyProtection="1">
      <alignment horizontal="center" vertical="center"/>
    </xf>
    <xf numFmtId="1" fontId="48" fillId="0" borderId="17" xfId="19" applyNumberFormat="1" applyBorder="1" applyAlignment="1" applyProtection="1">
      <alignment horizontal="center" vertical="center"/>
    </xf>
    <xf numFmtId="1" fontId="48" fillId="0" borderId="0" xfId="19" applyNumberFormat="1" applyBorder="1" applyAlignment="1" applyProtection="1">
      <alignment horizontal="center" vertical="center"/>
    </xf>
    <xf numFmtId="1" fontId="48" fillId="0" borderId="22" xfId="19" applyNumberFormat="1" applyBorder="1" applyAlignment="1" applyProtection="1">
      <alignment horizontal="center" vertical="center"/>
    </xf>
    <xf numFmtId="0" fontId="48" fillId="0" borderId="37" xfId="19" applyFont="1" applyFill="1" applyBorder="1" applyAlignment="1" applyProtection="1">
      <alignment horizontal="left" indent="2"/>
    </xf>
    <xf numFmtId="0" fontId="48" fillId="0" borderId="17" xfId="19" applyFont="1" applyFill="1" applyBorder="1" applyAlignment="1" applyProtection="1">
      <alignment horizontal="left" indent="2"/>
    </xf>
    <xf numFmtId="1" fontId="48" fillId="11" borderId="27" xfId="19" applyNumberFormat="1" applyFont="1" applyFill="1" applyBorder="1" applyAlignment="1" applyProtection="1">
      <alignment horizontal="center" vertical="center"/>
      <protection locked="0"/>
    </xf>
    <xf numFmtId="1" fontId="48" fillId="11" borderId="5" xfId="19" applyNumberFormat="1" applyFont="1" applyFill="1" applyBorder="1" applyAlignment="1" applyProtection="1">
      <alignment horizontal="center" vertical="center"/>
      <protection locked="0"/>
    </xf>
    <xf numFmtId="1" fontId="48" fillId="11" borderId="28" xfId="19" applyNumberFormat="1" applyFont="1" applyFill="1" applyBorder="1" applyAlignment="1" applyProtection="1">
      <alignment horizontal="center" vertical="center"/>
      <protection locked="0"/>
    </xf>
    <xf numFmtId="1" fontId="48" fillId="0" borderId="17" xfId="19" applyNumberFormat="1" applyFont="1" applyBorder="1" applyAlignment="1" applyProtection="1">
      <alignment horizontal="center" vertical="center"/>
    </xf>
    <xf numFmtId="1" fontId="48" fillId="0" borderId="0" xfId="19" applyNumberFormat="1" applyFont="1" applyBorder="1" applyAlignment="1" applyProtection="1">
      <alignment horizontal="center" vertical="center"/>
    </xf>
    <xf numFmtId="1" fontId="48" fillId="0" borderId="22" xfId="19" applyNumberFormat="1" applyFont="1" applyBorder="1" applyAlignment="1" applyProtection="1">
      <alignment horizontal="center" vertical="center"/>
    </xf>
    <xf numFmtId="1" fontId="48" fillId="10" borderId="55" xfId="19" applyNumberFormat="1" applyFont="1" applyFill="1" applyBorder="1" applyAlignment="1" applyProtection="1">
      <alignment horizontal="center" vertical="center"/>
      <protection locked="0"/>
    </xf>
    <xf numFmtId="1" fontId="48" fillId="10" borderId="8" xfId="19" applyNumberFormat="1" applyFont="1" applyFill="1" applyBorder="1" applyAlignment="1" applyProtection="1">
      <alignment horizontal="center" vertical="center"/>
      <protection locked="0"/>
    </xf>
    <xf numFmtId="1" fontId="48" fillId="10" borderId="56" xfId="19" applyNumberFormat="1" applyFont="1" applyFill="1" applyBorder="1" applyAlignment="1" applyProtection="1">
      <alignment horizontal="center" vertical="center"/>
      <protection locked="0"/>
    </xf>
    <xf numFmtId="1" fontId="48" fillId="10" borderId="1" xfId="19" applyNumberFormat="1" applyFont="1" applyFill="1" applyBorder="1" applyAlignment="1" applyProtection="1">
      <alignment horizontal="center" vertical="center"/>
      <protection locked="0"/>
    </xf>
    <xf numFmtId="1" fontId="48" fillId="11" borderId="55" xfId="19" applyNumberFormat="1" applyFont="1" applyFill="1" applyBorder="1" applyAlignment="1" applyProtection="1">
      <alignment horizontal="center" vertical="center"/>
      <protection locked="0"/>
    </xf>
    <xf numFmtId="1" fontId="48" fillId="11" borderId="8" xfId="19" applyNumberFormat="1" applyFont="1" applyFill="1" applyBorder="1" applyAlignment="1" applyProtection="1">
      <alignment horizontal="center" vertical="center"/>
      <protection locked="0"/>
    </xf>
    <xf numFmtId="1" fontId="48" fillId="11" borderId="56" xfId="19" applyNumberFormat="1" applyFont="1" applyFill="1" applyBorder="1" applyAlignment="1" applyProtection="1">
      <alignment horizontal="center" vertical="center"/>
      <protection locked="0"/>
    </xf>
    <xf numFmtId="0" fontId="44" fillId="0" borderId="40" xfId="19" applyFont="1" applyBorder="1" applyAlignment="1" applyProtection="1">
      <alignment horizontal="left" wrapText="1" indent="1"/>
    </xf>
    <xf numFmtId="1" fontId="44" fillId="10" borderId="29" xfId="19" applyNumberFormat="1" applyFont="1" applyFill="1" applyBorder="1" applyAlignment="1" applyProtection="1">
      <alignment horizontal="center" vertical="center"/>
    </xf>
    <xf numFmtId="1" fontId="44" fillId="10" borderId="30" xfId="19" applyNumberFormat="1" applyFont="1" applyFill="1" applyBorder="1" applyAlignment="1" applyProtection="1">
      <alignment horizontal="center" vertical="center"/>
    </xf>
    <xf numFmtId="1" fontId="44" fillId="10" borderId="31" xfId="19" applyNumberFormat="1" applyFont="1" applyFill="1" applyBorder="1" applyAlignment="1" applyProtection="1">
      <alignment horizontal="center" vertical="center"/>
    </xf>
    <xf numFmtId="0" fontId="21" fillId="0" borderId="0" xfId="31" applyFont="1" applyBorder="1" applyProtection="1"/>
    <xf numFmtId="0" fontId="44" fillId="0" borderId="0" xfId="19" applyFont="1" applyBorder="1" applyAlignment="1" applyProtection="1">
      <alignment horizontal="left" wrapText="1" indent="1"/>
    </xf>
    <xf numFmtId="0" fontId="6" fillId="0" borderId="0" xfId="31" applyAlignment="1" applyProtection="1">
      <alignment horizontal="center"/>
    </xf>
    <xf numFmtId="0" fontId="48" fillId="0" borderId="0" xfId="19" applyFill="1" applyProtection="1"/>
    <xf numFmtId="0" fontId="44" fillId="0" borderId="52" xfId="19" applyFont="1" applyBorder="1" applyAlignment="1" applyProtection="1">
      <alignment horizontal="center" vertical="center" wrapText="1"/>
    </xf>
    <xf numFmtId="0" fontId="48" fillId="0" borderId="8" xfId="19" applyBorder="1" applyAlignment="1" applyProtection="1">
      <alignment horizontal="center" vertical="center"/>
    </xf>
    <xf numFmtId="0" fontId="48" fillId="0" borderId="0" xfId="19" applyNumberFormat="1" applyFont="1" applyBorder="1" applyAlignment="1" applyProtection="1">
      <alignment horizontal="center" wrapText="1"/>
    </xf>
    <xf numFmtId="0" fontId="48" fillId="0" borderId="10" xfId="19" applyBorder="1" applyAlignment="1" applyProtection="1">
      <alignment horizontal="center" vertical="center"/>
    </xf>
    <xf numFmtId="1" fontId="27" fillId="9" borderId="27" xfId="19" applyNumberFormat="1" applyFont="1" applyFill="1" applyBorder="1" applyAlignment="1" applyProtection="1">
      <alignment horizontal="center" vertical="center"/>
      <protection locked="0"/>
    </xf>
    <xf numFmtId="1" fontId="27" fillId="9" borderId="5" xfId="19" applyNumberFormat="1" applyFont="1" applyFill="1" applyBorder="1" applyAlignment="1" applyProtection="1">
      <alignment horizontal="center" vertical="center"/>
      <protection locked="0"/>
    </xf>
    <xf numFmtId="1" fontId="27" fillId="9" borderId="28" xfId="19" applyNumberFormat="1" applyFont="1" applyFill="1" applyBorder="1" applyAlignment="1" applyProtection="1">
      <alignment horizontal="center" vertical="center"/>
      <protection locked="0"/>
    </xf>
    <xf numFmtId="1" fontId="27" fillId="9" borderId="4" xfId="19" applyNumberFormat="1" applyFont="1" applyFill="1" applyBorder="1" applyAlignment="1" applyProtection="1">
      <alignment horizontal="center" vertical="center"/>
      <protection locked="0"/>
    </xf>
    <xf numFmtId="1" fontId="27" fillId="9" borderId="44" xfId="19" applyNumberFormat="1" applyFont="1" applyFill="1" applyBorder="1" applyAlignment="1" applyProtection="1">
      <alignment horizontal="center" vertical="center"/>
      <protection locked="0"/>
    </xf>
    <xf numFmtId="1" fontId="48" fillId="15" borderId="27" xfId="19" applyNumberFormat="1" applyFont="1" applyFill="1" applyBorder="1" applyAlignment="1" applyProtection="1">
      <alignment horizontal="center" vertical="center"/>
      <protection locked="0"/>
    </xf>
    <xf numFmtId="1" fontId="48" fillId="15" borderId="4" xfId="19" applyNumberFormat="1" applyFont="1" applyFill="1" applyBorder="1" applyAlignment="1" applyProtection="1">
      <alignment horizontal="center" vertical="center"/>
      <protection locked="0"/>
    </xf>
    <xf numFmtId="1" fontId="48" fillId="15" borderId="44" xfId="19" applyNumberFormat="1" applyFont="1" applyFill="1" applyBorder="1" applyAlignment="1" applyProtection="1">
      <alignment horizontal="center" vertical="center"/>
      <protection locked="0"/>
    </xf>
    <xf numFmtId="1" fontId="48" fillId="0" borderId="10" xfId="19" applyNumberFormat="1" applyBorder="1" applyAlignment="1" applyProtection="1">
      <alignment horizontal="center" vertical="center"/>
    </xf>
    <xf numFmtId="1" fontId="27" fillId="9" borderId="55" xfId="19" applyNumberFormat="1" applyFont="1" applyFill="1" applyBorder="1" applyAlignment="1" applyProtection="1">
      <alignment horizontal="center" vertical="center"/>
      <protection locked="0"/>
    </xf>
    <xf numFmtId="1" fontId="27" fillId="9" borderId="8" xfId="19" applyNumberFormat="1" applyFont="1" applyFill="1" applyBorder="1" applyAlignment="1" applyProtection="1">
      <alignment horizontal="center" vertical="center"/>
      <protection locked="0"/>
    </xf>
    <xf numFmtId="1" fontId="27" fillId="9" borderId="56" xfId="19" applyNumberFormat="1" applyFont="1" applyFill="1" applyBorder="1" applyAlignment="1" applyProtection="1">
      <alignment horizontal="center" vertical="center"/>
      <protection locked="0"/>
    </xf>
    <xf numFmtId="1" fontId="27" fillId="9" borderId="1" xfId="19" applyNumberFormat="1" applyFont="1" applyFill="1" applyBorder="1" applyAlignment="1" applyProtection="1">
      <alignment horizontal="center" vertical="center"/>
      <protection locked="0"/>
    </xf>
    <xf numFmtId="1" fontId="27" fillId="9" borderId="54" xfId="19" applyNumberFormat="1" applyFont="1" applyFill="1" applyBorder="1" applyAlignment="1" applyProtection="1">
      <alignment horizontal="center" vertical="center"/>
      <protection locked="0"/>
    </xf>
    <xf numFmtId="1" fontId="27" fillId="11" borderId="55" xfId="19" applyNumberFormat="1" applyFont="1" applyFill="1" applyBorder="1" applyAlignment="1" applyProtection="1">
      <alignment horizontal="center" vertical="center"/>
      <protection locked="0"/>
    </xf>
    <xf numFmtId="1" fontId="27" fillId="11" borderId="8" xfId="19" applyNumberFormat="1" applyFont="1" applyFill="1" applyBorder="1" applyAlignment="1" applyProtection="1">
      <alignment horizontal="center" vertical="center"/>
      <protection locked="0"/>
    </xf>
    <xf numFmtId="1" fontId="27" fillId="11" borderId="56" xfId="19" applyNumberFormat="1" applyFont="1" applyFill="1" applyBorder="1" applyAlignment="1" applyProtection="1">
      <alignment horizontal="center" vertical="center"/>
      <protection locked="0"/>
    </xf>
    <xf numFmtId="1" fontId="48" fillId="15" borderId="55" xfId="19" applyNumberFormat="1" applyFont="1" applyFill="1" applyBorder="1" applyAlignment="1" applyProtection="1">
      <alignment horizontal="center" vertical="center"/>
      <protection locked="0"/>
    </xf>
    <xf numFmtId="1" fontId="44" fillId="10" borderId="60" xfId="19" applyNumberFormat="1" applyFont="1" applyFill="1" applyBorder="1" applyAlignment="1" applyProtection="1">
      <alignment horizontal="center" vertical="center"/>
    </xf>
    <xf numFmtId="0" fontId="44" fillId="0" borderId="0" xfId="19" applyFont="1" applyAlignment="1" applyProtection="1">
      <alignment horizontal="left" wrapText="1" indent="1"/>
    </xf>
    <xf numFmtId="1" fontId="48" fillId="15" borderId="38" xfId="19" applyNumberFormat="1" applyFont="1" applyFill="1" applyBorder="1" applyAlignment="1" applyProtection="1">
      <alignment horizontal="center" vertical="center"/>
      <protection locked="0"/>
    </xf>
    <xf numFmtId="1" fontId="48" fillId="15" borderId="66" xfId="19" applyNumberFormat="1" applyFont="1" applyFill="1" applyBorder="1" applyAlignment="1" applyProtection="1">
      <alignment horizontal="center" vertical="center"/>
      <protection locked="0"/>
    </xf>
    <xf numFmtId="0" fontId="44" fillId="0" borderId="17" xfId="19" applyFont="1" applyFill="1" applyBorder="1" applyProtection="1"/>
    <xf numFmtId="0" fontId="44" fillId="0" borderId="6" xfId="19" applyFont="1" applyBorder="1" applyAlignment="1" applyProtection="1">
      <alignment horizontal="center"/>
    </xf>
    <xf numFmtId="167" fontId="27" fillId="11" borderId="27" xfId="19" applyNumberFormat="1" applyFont="1" applyFill="1" applyBorder="1" applyAlignment="1" applyProtection="1">
      <alignment horizontal="center" vertical="center"/>
      <protection locked="0"/>
    </xf>
    <xf numFmtId="167" fontId="27" fillId="11" borderId="5" xfId="19" applyNumberFormat="1" applyFont="1" applyFill="1" applyBorder="1" applyAlignment="1" applyProtection="1">
      <alignment horizontal="center" vertical="center"/>
      <protection locked="0"/>
    </xf>
    <xf numFmtId="167" fontId="27" fillId="11" borderId="28" xfId="19" applyNumberFormat="1" applyFont="1" applyFill="1" applyBorder="1" applyAlignment="1" applyProtection="1">
      <alignment horizontal="center" vertical="center"/>
      <protection locked="0"/>
    </xf>
    <xf numFmtId="9" fontId="27" fillId="11" borderId="27" xfId="33" applyFont="1" applyFill="1" applyBorder="1" applyAlignment="1" applyProtection="1">
      <alignment horizontal="center" vertical="center"/>
      <protection locked="0"/>
    </xf>
    <xf numFmtId="9" fontId="27" fillId="11" borderId="5" xfId="33" applyFont="1" applyFill="1" applyBorder="1" applyAlignment="1" applyProtection="1">
      <alignment horizontal="center" vertical="center"/>
      <protection locked="0"/>
    </xf>
    <xf numFmtId="9" fontId="27" fillId="11" borderId="28" xfId="33" applyFont="1" applyFill="1" applyBorder="1" applyAlignment="1" applyProtection="1">
      <alignment horizontal="center" vertical="center"/>
      <protection locked="0"/>
    </xf>
    <xf numFmtId="9" fontId="27" fillId="9" borderId="5" xfId="33" applyFont="1" applyFill="1" applyBorder="1" applyAlignment="1" applyProtection="1">
      <alignment horizontal="center" vertical="center"/>
      <protection locked="0"/>
    </xf>
    <xf numFmtId="9" fontId="27" fillId="9" borderId="4" xfId="33" applyFont="1" applyFill="1" applyBorder="1" applyAlignment="1" applyProtection="1">
      <alignment horizontal="center" vertical="center"/>
      <protection locked="0"/>
    </xf>
    <xf numFmtId="9" fontId="27" fillId="9" borderId="28" xfId="33" applyFont="1" applyFill="1" applyBorder="1" applyAlignment="1" applyProtection="1">
      <alignment horizontal="center" vertical="center"/>
      <protection locked="0"/>
    </xf>
    <xf numFmtId="9" fontId="27" fillId="15" borderId="5" xfId="33" applyFont="1" applyFill="1" applyBorder="1" applyAlignment="1" applyProtection="1">
      <alignment horizontal="center" vertical="center"/>
      <protection locked="0"/>
    </xf>
    <xf numFmtId="9" fontId="27" fillId="15" borderId="4" xfId="33" applyFont="1" applyFill="1" applyBorder="1" applyAlignment="1" applyProtection="1">
      <alignment horizontal="center" vertical="center"/>
      <protection locked="0"/>
    </xf>
    <xf numFmtId="9" fontId="27" fillId="15" borderId="28" xfId="33" applyFont="1" applyFill="1" applyBorder="1" applyAlignment="1" applyProtection="1">
      <alignment horizontal="center" vertical="center"/>
      <protection locked="0"/>
    </xf>
    <xf numFmtId="167" fontId="27" fillId="11" borderId="27" xfId="33" applyNumberFormat="1" applyFont="1" applyFill="1" applyBorder="1" applyAlignment="1" applyProtection="1">
      <alignment horizontal="center" vertical="center"/>
      <protection locked="0"/>
    </xf>
    <xf numFmtId="167" fontId="27" fillId="11" borderId="5" xfId="33" applyNumberFormat="1" applyFont="1" applyFill="1" applyBorder="1" applyAlignment="1" applyProtection="1">
      <alignment horizontal="center" vertical="center"/>
      <protection locked="0"/>
    </xf>
    <xf numFmtId="167" fontId="27" fillId="11" borderId="28" xfId="33" applyNumberFormat="1" applyFont="1" applyFill="1" applyBorder="1" applyAlignment="1" applyProtection="1">
      <alignment horizontal="center" vertical="center"/>
      <protection locked="0"/>
    </xf>
    <xf numFmtId="167" fontId="27" fillId="9" borderId="5" xfId="33" applyNumberFormat="1" applyFont="1" applyFill="1" applyBorder="1" applyAlignment="1" applyProtection="1">
      <alignment horizontal="center" vertical="center"/>
      <protection locked="0"/>
    </xf>
    <xf numFmtId="167" fontId="27" fillId="9" borderId="4" xfId="33" applyNumberFormat="1" applyFont="1" applyFill="1" applyBorder="1" applyAlignment="1" applyProtection="1">
      <alignment horizontal="center" vertical="center"/>
      <protection locked="0"/>
    </xf>
    <xf numFmtId="167" fontId="27" fillId="9" borderId="28" xfId="33" applyNumberFormat="1" applyFont="1" applyFill="1" applyBorder="1" applyAlignment="1" applyProtection="1">
      <alignment horizontal="center" vertical="center"/>
      <protection locked="0"/>
    </xf>
    <xf numFmtId="0" fontId="44" fillId="0" borderId="17" xfId="19" applyFont="1" applyBorder="1" applyAlignment="1" applyProtection="1">
      <alignment horizontal="left" wrapText="1" indent="2"/>
    </xf>
    <xf numFmtId="167" fontId="27" fillId="9" borderId="55" xfId="19" applyNumberFormat="1" applyFont="1" applyFill="1" applyBorder="1" applyAlignment="1" applyProtection="1">
      <alignment horizontal="center" vertical="center"/>
      <protection locked="0"/>
    </xf>
    <xf numFmtId="167" fontId="27" fillId="9" borderId="8" xfId="19" applyNumberFormat="1" applyFont="1" applyFill="1" applyBorder="1" applyAlignment="1" applyProtection="1">
      <alignment horizontal="center" vertical="center"/>
      <protection locked="0"/>
    </xf>
    <xf numFmtId="167" fontId="27" fillId="9" borderId="56" xfId="19" applyNumberFormat="1" applyFont="1" applyFill="1" applyBorder="1" applyAlignment="1" applyProtection="1">
      <alignment horizontal="center" vertical="center"/>
      <protection locked="0"/>
    </xf>
    <xf numFmtId="167" fontId="48" fillId="10" borderId="8" xfId="19" applyNumberFormat="1" applyFill="1" applyBorder="1" applyAlignment="1" applyProtection="1">
      <alignment horizontal="center" vertical="center"/>
    </xf>
    <xf numFmtId="167" fontId="48" fillId="10" borderId="1" xfId="19" applyNumberFormat="1" applyFill="1" applyBorder="1" applyAlignment="1" applyProtection="1">
      <alignment horizontal="center" vertical="center"/>
    </xf>
    <xf numFmtId="167" fontId="48" fillId="10" borderId="56" xfId="19" applyNumberFormat="1" applyFill="1" applyBorder="1" applyAlignment="1" applyProtection="1">
      <alignment horizontal="center" vertical="center"/>
    </xf>
    <xf numFmtId="0" fontId="44" fillId="0" borderId="29" xfId="19" applyFont="1" applyFill="1" applyBorder="1" applyAlignment="1" applyProtection="1">
      <alignment horizontal="left" wrapText="1" indent="2"/>
    </xf>
    <xf numFmtId="0" fontId="48" fillId="0" borderId="30" xfId="19" applyNumberFormat="1" applyFont="1" applyBorder="1" applyAlignment="1" applyProtection="1">
      <alignment horizontal="center" wrapText="1"/>
    </xf>
    <xf numFmtId="167" fontId="48" fillId="15" borderId="30" xfId="19" applyNumberFormat="1" applyFont="1" applyFill="1" applyBorder="1" applyAlignment="1" applyProtection="1">
      <alignment horizontal="center" vertical="center"/>
      <protection locked="0"/>
    </xf>
    <xf numFmtId="167" fontId="48" fillId="15" borderId="30" xfId="19" applyNumberFormat="1" applyFont="1" applyFill="1" applyBorder="1" applyAlignment="1" applyProtection="1">
      <alignment horizontal="center" vertical="center"/>
    </xf>
    <xf numFmtId="167" fontId="48" fillId="15" borderId="31" xfId="19" applyNumberFormat="1" applyFont="1" applyFill="1" applyBorder="1" applyAlignment="1" applyProtection="1">
      <alignment horizontal="center" vertical="center"/>
    </xf>
    <xf numFmtId="167" fontId="48" fillId="10" borderId="30" xfId="19" applyNumberFormat="1" applyFont="1" applyFill="1" applyBorder="1" applyAlignment="1" applyProtection="1">
      <alignment horizontal="center" vertical="center"/>
    </xf>
    <xf numFmtId="167" fontId="48" fillId="10" borderId="31" xfId="19" applyNumberFormat="1" applyFont="1" applyFill="1" applyBorder="1" applyAlignment="1" applyProtection="1">
      <alignment horizontal="center" vertical="center"/>
    </xf>
    <xf numFmtId="167" fontId="48" fillId="10" borderId="20" xfId="19" applyNumberFormat="1" applyFill="1" applyBorder="1" applyAlignment="1" applyProtection="1">
      <alignment horizontal="center" vertical="center"/>
    </xf>
    <xf numFmtId="0" fontId="48" fillId="0" borderId="27" xfId="19" applyBorder="1" applyAlignment="1" applyProtection="1">
      <alignment horizontal="center" vertical="center"/>
    </xf>
    <xf numFmtId="0" fontId="48" fillId="0" borderId="4" xfId="19" applyBorder="1" applyAlignment="1" applyProtection="1">
      <alignment horizontal="center" vertical="center"/>
    </xf>
    <xf numFmtId="0" fontId="48" fillId="0" borderId="28" xfId="19" applyBorder="1" applyAlignment="1" applyProtection="1">
      <alignment horizontal="center" vertical="center"/>
    </xf>
    <xf numFmtId="0" fontId="48" fillId="0" borderId="27" xfId="19" applyFill="1" applyBorder="1" applyAlignment="1" applyProtection="1">
      <alignment horizontal="center" vertical="center"/>
    </xf>
    <xf numFmtId="0" fontId="48" fillId="0" borderId="28" xfId="19" applyFill="1" applyBorder="1" applyAlignment="1" applyProtection="1">
      <alignment horizontal="center" vertical="center"/>
    </xf>
    <xf numFmtId="0" fontId="44" fillId="0" borderId="29" xfId="19" applyFont="1" applyBorder="1" applyAlignment="1" applyProtection="1">
      <alignment horizontal="left" wrapText="1" indent="2"/>
    </xf>
    <xf numFmtId="0" fontId="48" fillId="0" borderId="0" xfId="19" applyBorder="1" applyProtection="1"/>
    <xf numFmtId="0" fontId="48" fillId="0" borderId="0" xfId="19" applyFont="1" applyBorder="1" applyProtection="1"/>
    <xf numFmtId="0" fontId="48" fillId="0" borderId="0" xfId="19" applyBorder="1" applyAlignment="1" applyProtection="1">
      <alignment horizontal="center"/>
    </xf>
    <xf numFmtId="167" fontId="48" fillId="0" borderId="0" xfId="18" applyNumberFormat="1" applyAlignment="1" applyProtection="1">
      <alignment horizontal="center" vertical="center"/>
    </xf>
    <xf numFmtId="0" fontId="50" fillId="12" borderId="0" xfId="0" applyFont="1" applyFill="1" applyBorder="1" applyAlignment="1" applyProtection="1"/>
    <xf numFmtId="0" fontId="53" fillId="12" borderId="0" xfId="0" applyFont="1" applyFill="1" applyBorder="1" applyAlignment="1" applyProtection="1"/>
    <xf numFmtId="0" fontId="52" fillId="12" borderId="0" xfId="0" applyFont="1" applyFill="1" applyBorder="1" applyAlignment="1" applyProtection="1"/>
    <xf numFmtId="0" fontId="52" fillId="12" borderId="21" xfId="0" applyFont="1" applyFill="1" applyBorder="1" applyAlignment="1" applyProtection="1">
      <alignment horizontal="left"/>
    </xf>
    <xf numFmtId="0" fontId="53" fillId="12" borderId="21" xfId="0" applyFont="1" applyFill="1" applyBorder="1" applyAlignment="1" applyProtection="1"/>
    <xf numFmtId="0" fontId="30" fillId="0" borderId="0" xfId="0" applyFont="1" applyFill="1" applyBorder="1" applyAlignment="1" applyProtection="1"/>
    <xf numFmtId="0" fontId="30" fillId="0" borderId="0" xfId="28" applyFont="1" applyFill="1" applyBorder="1" applyAlignment="1" applyProtection="1">
      <alignment horizontal="center" vertical="center"/>
    </xf>
    <xf numFmtId="167" fontId="27" fillId="9" borderId="27" xfId="28" applyNumberFormat="1" applyFont="1" applyFill="1" applyBorder="1" applyAlignment="1" applyProtection="1">
      <alignment horizontal="center" vertical="center"/>
      <protection locked="0"/>
    </xf>
    <xf numFmtId="167" fontId="27" fillId="9" borderId="4" xfId="28" applyNumberFormat="1" applyFont="1" applyFill="1" applyBorder="1" applyAlignment="1" applyProtection="1">
      <alignment horizontal="center" vertical="center"/>
      <protection locked="0"/>
    </xf>
    <xf numFmtId="167" fontId="27" fillId="9" borderId="28" xfId="28" applyNumberFormat="1" applyFont="1" applyFill="1" applyBorder="1" applyAlignment="1" applyProtection="1">
      <alignment horizontal="center" vertical="center"/>
      <protection locked="0"/>
    </xf>
    <xf numFmtId="0" fontId="31" fillId="0" borderId="29" xfId="0" applyFont="1" applyBorder="1" applyAlignment="1" applyProtection="1">
      <alignment vertical="center"/>
    </xf>
    <xf numFmtId="167" fontId="27" fillId="9" borderId="29" xfId="28" applyNumberFormat="1" applyFont="1" applyFill="1" applyBorder="1" applyAlignment="1" applyProtection="1">
      <alignment horizontal="center" vertical="center"/>
      <protection locked="0"/>
    </xf>
    <xf numFmtId="167" fontId="27" fillId="9" borderId="30" xfId="28" applyNumberFormat="1" applyFont="1" applyFill="1" applyBorder="1" applyAlignment="1" applyProtection="1">
      <alignment horizontal="center" vertical="center"/>
      <protection locked="0"/>
    </xf>
    <xf numFmtId="167" fontId="27" fillId="9" borderId="31" xfId="28" applyNumberFormat="1" applyFont="1" applyFill="1" applyBorder="1" applyAlignment="1" applyProtection="1">
      <alignment horizontal="center" vertical="center"/>
      <protection locked="0"/>
    </xf>
    <xf numFmtId="0" fontId="50" fillId="12" borderId="0" xfId="24" applyFont="1" applyFill="1" applyBorder="1" applyAlignment="1" applyProtection="1"/>
    <xf numFmtId="0" fontId="52" fillId="12" borderId="0" xfId="15" applyFont="1" applyFill="1" applyBorder="1" applyAlignment="1" applyProtection="1"/>
    <xf numFmtId="0" fontId="55" fillId="12" borderId="0" xfId="15" applyFont="1" applyFill="1" applyBorder="1" applyAlignment="1" applyProtection="1"/>
    <xf numFmtId="0" fontId="52" fillId="12" borderId="0" xfId="15" applyFont="1" applyFill="1" applyBorder="1" applyAlignment="1" applyProtection="1">
      <alignment horizontal="left"/>
    </xf>
    <xf numFmtId="0" fontId="52" fillId="12" borderId="21" xfId="15" applyFont="1" applyFill="1" applyBorder="1" applyAlignment="1" applyProtection="1"/>
    <xf numFmtId="0" fontId="55" fillId="12" borderId="21" xfId="15" applyFont="1" applyFill="1" applyBorder="1" applyAlignment="1" applyProtection="1">
      <alignment horizontal="left"/>
    </xf>
    <xf numFmtId="167" fontId="30" fillId="0" borderId="43" xfId="29" applyNumberFormat="1" applyFont="1" applyFill="1" applyBorder="1" applyAlignment="1" applyProtection="1">
      <alignment horizontal="center" vertical="center"/>
    </xf>
    <xf numFmtId="167" fontId="30" fillId="0" borderId="16" xfId="29" applyNumberFormat="1" applyFont="1" applyFill="1" applyBorder="1" applyAlignment="1" applyProtection="1">
      <alignment horizontal="center" vertical="center"/>
    </xf>
    <xf numFmtId="167" fontId="30" fillId="0" borderId="44" xfId="29" applyNumberFormat="1" applyFont="1" applyFill="1" applyBorder="1" applyAlignment="1" applyProtection="1">
      <alignment horizontal="center" vertical="center"/>
    </xf>
    <xf numFmtId="167" fontId="30" fillId="0" borderId="27" xfId="29" applyNumberFormat="1" applyFont="1" applyFill="1" applyBorder="1" applyAlignment="1" applyProtection="1">
      <alignment horizontal="center" vertical="center"/>
    </xf>
    <xf numFmtId="167" fontId="30" fillId="0" borderId="5" xfId="29" applyNumberFormat="1" applyFont="1" applyFill="1" applyBorder="1" applyAlignment="1" applyProtection="1">
      <alignment horizontal="center" vertical="center"/>
    </xf>
    <xf numFmtId="167" fontId="30" fillId="0" borderId="4" xfId="29" applyNumberFormat="1" applyFont="1" applyFill="1" applyBorder="1" applyAlignment="1" applyProtection="1">
      <alignment horizontal="center" vertical="center"/>
    </xf>
    <xf numFmtId="167" fontId="30" fillId="0" borderId="28" xfId="29" applyNumberFormat="1" applyFont="1" applyFill="1" applyBorder="1" applyAlignment="1" applyProtection="1">
      <alignment horizontal="center" vertical="center"/>
    </xf>
    <xf numFmtId="167" fontId="27" fillId="9" borderId="5" xfId="29" applyNumberFormat="1" applyFont="1" applyFill="1" applyBorder="1" applyAlignment="1" applyProtection="1">
      <alignment horizontal="center" vertical="center"/>
      <protection locked="0"/>
    </xf>
    <xf numFmtId="167" fontId="27" fillId="9" borderId="44" xfId="29" applyNumberFormat="1" applyFont="1" applyFill="1" applyBorder="1" applyAlignment="1" applyProtection="1">
      <alignment horizontal="center" vertical="center"/>
      <protection locked="0"/>
    </xf>
    <xf numFmtId="167" fontId="27" fillId="9" borderId="27" xfId="29" applyNumberFormat="1" applyFont="1" applyFill="1" applyBorder="1" applyAlignment="1" applyProtection="1">
      <alignment horizontal="center" vertical="center"/>
      <protection locked="0"/>
    </xf>
    <xf numFmtId="167" fontId="27" fillId="9" borderId="4" xfId="29" applyNumberFormat="1" applyFont="1" applyFill="1" applyBorder="1" applyAlignment="1" applyProtection="1">
      <alignment horizontal="center" vertical="center"/>
      <protection locked="0"/>
    </xf>
    <xf numFmtId="167" fontId="27" fillId="9" borderId="28" xfId="29" applyNumberFormat="1" applyFont="1" applyFill="1" applyBorder="1" applyAlignment="1" applyProtection="1">
      <alignment horizontal="center" vertical="center"/>
      <protection locked="0"/>
    </xf>
    <xf numFmtId="167" fontId="27" fillId="9" borderId="8" xfId="29" applyNumberFormat="1" applyFont="1" applyFill="1" applyBorder="1" applyAlignment="1" applyProtection="1">
      <alignment horizontal="center" vertical="center"/>
      <protection locked="0"/>
    </xf>
    <xf numFmtId="167" fontId="27" fillId="9" borderId="15" xfId="29" applyNumberFormat="1" applyFont="1" applyFill="1" applyBorder="1" applyAlignment="1" applyProtection="1">
      <alignment horizontal="center" vertical="center"/>
      <protection locked="0"/>
    </xf>
    <xf numFmtId="167" fontId="27" fillId="9" borderId="55" xfId="29" applyNumberFormat="1" applyFont="1" applyFill="1" applyBorder="1" applyAlignment="1" applyProtection="1">
      <alignment horizontal="center" vertical="center"/>
      <protection locked="0"/>
    </xf>
    <xf numFmtId="167" fontId="27" fillId="9" borderId="1" xfId="29" applyNumberFormat="1" applyFont="1" applyFill="1" applyBorder="1" applyAlignment="1" applyProtection="1">
      <alignment horizontal="center" vertical="center"/>
      <protection locked="0"/>
    </xf>
    <xf numFmtId="167" fontId="27" fillId="9" borderId="56" xfId="29" applyNumberFormat="1" applyFont="1" applyFill="1" applyBorder="1" applyAlignment="1" applyProtection="1">
      <alignment horizontal="center" vertical="center"/>
      <protection locked="0"/>
    </xf>
    <xf numFmtId="167" fontId="27" fillId="9" borderId="5" xfId="29" applyNumberFormat="1" applyFont="1" applyFill="1" applyBorder="1" applyAlignment="1" applyProtection="1">
      <alignment vertical="center"/>
      <protection locked="0"/>
    </xf>
    <xf numFmtId="167" fontId="27" fillId="9" borderId="4" xfId="29" applyNumberFormat="1" applyFont="1" applyFill="1" applyBorder="1" applyAlignment="1" applyProtection="1">
      <alignment vertical="center"/>
      <protection locked="0"/>
    </xf>
    <xf numFmtId="1" fontId="27" fillId="9" borderId="4" xfId="29" applyNumberFormat="1" applyFont="1" applyFill="1" applyBorder="1" applyAlignment="1" applyProtection="1">
      <alignment horizontal="center" vertical="center"/>
      <protection locked="0"/>
    </xf>
    <xf numFmtId="1" fontId="27" fillId="9" borderId="5" xfId="29" applyNumberFormat="1" applyFont="1" applyFill="1" applyBorder="1" applyAlignment="1" applyProtection="1">
      <alignment horizontal="center" vertical="center"/>
      <protection locked="0"/>
    </xf>
    <xf numFmtId="1" fontId="27" fillId="9" borderId="28" xfId="29" applyNumberFormat="1" applyFont="1" applyFill="1" applyBorder="1" applyAlignment="1" applyProtection="1">
      <alignment horizontal="center" vertical="center"/>
      <protection locked="0"/>
    </xf>
    <xf numFmtId="1" fontId="27" fillId="9" borderId="12" xfId="29" applyNumberFormat="1" applyFont="1" applyFill="1" applyBorder="1" applyAlignment="1" applyProtection="1">
      <alignment horizontal="center" vertical="center"/>
      <protection locked="0"/>
    </xf>
    <xf numFmtId="1" fontId="27" fillId="9" borderId="3" xfId="29" applyNumberFormat="1" applyFont="1" applyFill="1" applyBorder="1" applyAlignment="1" applyProtection="1">
      <alignment horizontal="center" vertical="center"/>
      <protection locked="0"/>
    </xf>
    <xf numFmtId="1" fontId="27" fillId="9" borderId="57" xfId="29" applyNumberFormat="1" applyFont="1" applyFill="1" applyBorder="1" applyAlignment="1" applyProtection="1">
      <alignment horizontal="center" vertical="center"/>
      <protection locked="0"/>
    </xf>
    <xf numFmtId="1" fontId="27" fillId="9" borderId="49" xfId="29" applyNumberFormat="1" applyFont="1" applyFill="1" applyBorder="1" applyAlignment="1" applyProtection="1">
      <alignment horizontal="center" vertical="center"/>
      <protection locked="0"/>
    </xf>
    <xf numFmtId="0" fontId="27" fillId="11" borderId="3" xfId="29" applyFont="1" applyFill="1" applyBorder="1" applyAlignment="1" applyProtection="1">
      <alignment horizontal="center" vertical="center"/>
    </xf>
    <xf numFmtId="1" fontId="27" fillId="9" borderId="27" xfId="29" applyNumberFormat="1" applyFont="1" applyFill="1" applyBorder="1" applyAlignment="1" applyProtection="1">
      <alignment horizontal="center" vertical="center"/>
      <protection locked="0"/>
    </xf>
    <xf numFmtId="0" fontId="27" fillId="11" borderId="4" xfId="29" applyFont="1" applyFill="1" applyBorder="1" applyAlignment="1" applyProtection="1">
      <alignment horizontal="center" vertical="center"/>
    </xf>
    <xf numFmtId="167" fontId="27" fillId="9" borderId="12" xfId="29" applyNumberFormat="1" applyFont="1" applyFill="1" applyBorder="1" applyAlignment="1" applyProtection="1">
      <alignment horizontal="center" vertical="center"/>
      <protection locked="0"/>
    </xf>
    <xf numFmtId="0" fontId="27" fillId="11" borderId="28" xfId="29" applyFont="1" applyFill="1" applyBorder="1" applyAlignment="1" applyProtection="1">
      <alignment horizontal="center" vertical="center"/>
    </xf>
    <xf numFmtId="167" fontId="27" fillId="9" borderId="3" xfId="29" applyNumberFormat="1" applyFont="1" applyFill="1" applyBorder="1" applyAlignment="1" applyProtection="1">
      <alignment horizontal="center" vertical="center"/>
      <protection locked="0"/>
    </xf>
    <xf numFmtId="0" fontId="27" fillId="11" borderId="57" xfId="29" applyFont="1" applyFill="1" applyBorder="1" applyAlignment="1" applyProtection="1">
      <alignment horizontal="center" vertical="center"/>
    </xf>
    <xf numFmtId="0" fontId="27" fillId="11" borderId="82" xfId="29" applyFont="1" applyFill="1" applyBorder="1" applyAlignment="1" applyProtection="1">
      <alignment horizontal="center" vertical="center"/>
    </xf>
    <xf numFmtId="0" fontId="27"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7" fillId="12" borderId="0" xfId="0" applyFont="1" applyFill="1" applyBorder="1" applyAlignment="1" applyProtection="1"/>
    <xf numFmtId="0" fontId="8" fillId="12" borderId="0" xfId="16" applyFont="1" applyFill="1" applyBorder="1" applyAlignment="1" applyProtection="1"/>
    <xf numFmtId="0" fontId="51" fillId="12" borderId="0" xfId="16" applyFont="1" applyFill="1" applyBorder="1" applyAlignment="1" applyProtection="1"/>
    <xf numFmtId="0" fontId="52" fillId="12" borderId="0" xfId="16" applyFont="1" applyFill="1" applyBorder="1" applyAlignment="1" applyProtection="1">
      <alignment horizontal="left"/>
    </xf>
    <xf numFmtId="0" fontId="32" fillId="12" borderId="0" xfId="16" applyFont="1" applyFill="1" applyBorder="1" applyAlignment="1" applyProtection="1">
      <alignment horizontal="left"/>
    </xf>
    <xf numFmtId="0" fontId="52" fillId="12" borderId="21" xfId="16" applyFont="1" applyFill="1" applyBorder="1" applyAlignment="1" applyProtection="1"/>
    <xf numFmtId="0" fontId="5" fillId="12" borderId="21" xfId="16" applyFill="1" applyBorder="1" applyAlignment="1" applyProtection="1"/>
    <xf numFmtId="0" fontId="32" fillId="12" borderId="21" xfId="16" applyFont="1" applyFill="1" applyBorder="1" applyAlignment="1" applyProtection="1">
      <alignment horizontal="left"/>
    </xf>
    <xf numFmtId="0" fontId="5" fillId="0" borderId="0" xfId="16" applyFill="1" applyProtection="1"/>
    <xf numFmtId="0" fontId="15" fillId="0" borderId="1" xfId="28" applyFont="1" applyFill="1" applyBorder="1" applyAlignment="1" applyProtection="1">
      <alignment horizontal="center" vertical="center"/>
    </xf>
    <xf numFmtId="0" fontId="5" fillId="0" borderId="53" xfId="16" applyBorder="1" applyProtection="1">
      <protection locked="0"/>
    </xf>
    <xf numFmtId="166" fontId="27" fillId="9" borderId="67" xfId="16" applyNumberFormat="1" applyFont="1" applyFill="1" applyBorder="1" applyAlignment="1" applyProtection="1">
      <alignment horizontal="center" vertical="center"/>
      <protection locked="0"/>
    </xf>
    <xf numFmtId="166" fontId="27" fillId="9" borderId="81" xfId="16" applyNumberFormat="1" applyFont="1" applyFill="1" applyBorder="1" applyAlignment="1" applyProtection="1">
      <alignment horizontal="center" vertical="center"/>
      <protection locked="0"/>
    </xf>
    <xf numFmtId="166" fontId="27" fillId="9" borderId="82" xfId="16" applyNumberFormat="1" applyFont="1" applyFill="1" applyBorder="1" applyAlignment="1" applyProtection="1">
      <alignment horizontal="center" vertical="center"/>
      <protection locked="0"/>
    </xf>
    <xf numFmtId="166" fontId="27" fillId="9" borderId="16" xfId="16" applyNumberFormat="1" applyFont="1" applyFill="1" applyBorder="1" applyAlignment="1" applyProtection="1">
      <alignment horizontal="center" vertical="center"/>
      <protection locked="0"/>
    </xf>
    <xf numFmtId="166" fontId="27"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7" fillId="9" borderId="29" xfId="16" applyNumberFormat="1" applyFont="1" applyFill="1" applyBorder="1" applyAlignment="1" applyProtection="1">
      <alignment horizontal="center" vertical="center"/>
      <protection locked="0"/>
    </xf>
    <xf numFmtId="166" fontId="27" fillId="9" borderId="30" xfId="16" applyNumberFormat="1" applyFont="1" applyFill="1" applyBorder="1" applyAlignment="1" applyProtection="1">
      <alignment horizontal="center" vertical="center"/>
      <protection locked="0"/>
    </xf>
    <xf numFmtId="166" fontId="27" fillId="9" borderId="31" xfId="16" applyNumberFormat="1" applyFont="1" applyFill="1" applyBorder="1" applyAlignment="1" applyProtection="1">
      <alignment horizontal="center" vertical="center"/>
      <protection locked="0"/>
    </xf>
    <xf numFmtId="10" fontId="0" fillId="0" borderId="0" xfId="33" applyNumberFormat="1" applyFont="1"/>
    <xf numFmtId="9" fontId="16" fillId="0" borderId="0" xfId="0" applyNumberFormat="1" applyFont="1" applyFill="1" applyBorder="1" applyAlignment="1"/>
    <xf numFmtId="9" fontId="0" fillId="9" borderId="2" xfId="0" applyNumberFormat="1" applyFill="1" applyBorder="1" applyAlignment="1"/>
    <xf numFmtId="2" fontId="0" fillId="0" borderId="0" xfId="0" applyNumberFormat="1"/>
    <xf numFmtId="167" fontId="58" fillId="0" borderId="49" xfId="28" applyNumberFormat="1" applyFont="1" applyFill="1" applyBorder="1" applyAlignment="1" applyProtection="1">
      <alignment horizontal="center" vertical="center"/>
    </xf>
    <xf numFmtId="167" fontId="58" fillId="0" borderId="3" xfId="28" applyNumberFormat="1" applyFont="1" applyFill="1" applyBorder="1" applyAlignment="1" applyProtection="1">
      <alignment horizontal="center" vertical="center"/>
    </xf>
    <xf numFmtId="167" fontId="58" fillId="0" borderId="57" xfId="28" applyNumberFormat="1" applyFont="1" applyFill="1" applyBorder="1" applyAlignment="1" applyProtection="1">
      <alignment horizontal="center" vertical="center"/>
    </xf>
    <xf numFmtId="167" fontId="58" fillId="0" borderId="27" xfId="28" applyNumberFormat="1" applyFont="1" applyFill="1" applyBorder="1" applyAlignment="1" applyProtection="1">
      <alignment horizontal="center" vertical="center"/>
    </xf>
    <xf numFmtId="167" fontId="58" fillId="0" borderId="4" xfId="28" applyNumberFormat="1" applyFont="1" applyFill="1" applyBorder="1" applyAlignment="1" applyProtection="1">
      <alignment horizontal="center" vertical="center"/>
    </xf>
    <xf numFmtId="167" fontId="58" fillId="0" borderId="28" xfId="28" applyNumberFormat="1" applyFont="1" applyFill="1" applyBorder="1" applyAlignment="1" applyProtection="1">
      <alignment horizontal="center" vertical="center"/>
    </xf>
    <xf numFmtId="167" fontId="19" fillId="9" borderId="12" xfId="28" applyNumberFormat="1" applyFont="1" applyFill="1" applyBorder="1" applyAlignment="1" applyProtection="1">
      <alignment horizontal="center" vertical="center"/>
      <protection locked="0"/>
    </xf>
    <xf numFmtId="167" fontId="19" fillId="9" borderId="52" xfId="28" applyNumberFormat="1" applyFont="1" applyFill="1" applyBorder="1" applyAlignment="1" applyProtection="1">
      <alignment horizontal="center" vertical="center"/>
      <protection locked="0"/>
    </xf>
    <xf numFmtId="167" fontId="19" fillId="9" borderId="49" xfId="28" applyNumberFormat="1" applyFont="1" applyFill="1" applyBorder="1" applyAlignment="1" applyProtection="1">
      <alignment horizontal="center" vertical="center"/>
      <protection locked="0"/>
    </xf>
    <xf numFmtId="167" fontId="19" fillId="9" borderId="3" xfId="28" applyNumberFormat="1" applyFont="1" applyFill="1" applyBorder="1" applyAlignment="1" applyProtection="1">
      <alignment horizontal="center" vertical="center"/>
      <protection locked="0"/>
    </xf>
    <xf numFmtId="167" fontId="19" fillId="9" borderId="57" xfId="28" applyNumberFormat="1" applyFont="1" applyFill="1" applyBorder="1" applyAlignment="1" applyProtection="1">
      <alignment horizontal="center" vertical="center"/>
      <protection locked="0"/>
    </xf>
    <xf numFmtId="167" fontId="19" fillId="9" borderId="5" xfId="28" applyNumberFormat="1" applyFont="1" applyFill="1" applyBorder="1" applyAlignment="1" applyProtection="1">
      <alignment horizontal="center" vertical="center"/>
      <protection locked="0"/>
    </xf>
    <xf numFmtId="167" fontId="19" fillId="9" borderId="44" xfId="28" applyNumberFormat="1" applyFont="1" applyFill="1" applyBorder="1" applyAlignment="1" applyProtection="1">
      <alignment horizontal="center" vertical="center"/>
      <protection locked="0"/>
    </xf>
    <xf numFmtId="167" fontId="19" fillId="9" borderId="27" xfId="28" applyNumberFormat="1" applyFont="1" applyFill="1" applyBorder="1" applyAlignment="1" applyProtection="1">
      <alignment horizontal="center" vertical="center"/>
      <protection locked="0"/>
    </xf>
    <xf numFmtId="167" fontId="19" fillId="9" borderId="4" xfId="28" applyNumberFormat="1" applyFont="1" applyFill="1" applyBorder="1" applyAlignment="1" applyProtection="1">
      <alignment horizontal="center" vertical="center"/>
      <protection locked="0"/>
    </xf>
    <xf numFmtId="167" fontId="19"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9" fillId="9" borderId="8" xfId="28" applyNumberFormat="1" applyFont="1" applyFill="1" applyBorder="1" applyAlignment="1" applyProtection="1">
      <alignment horizontal="center" vertical="center"/>
      <protection locked="0"/>
    </xf>
    <xf numFmtId="167" fontId="19" fillId="9" borderId="1" xfId="28" applyNumberFormat="1" applyFont="1" applyFill="1" applyBorder="1" applyAlignment="1" applyProtection="1">
      <alignment horizontal="center" vertical="center"/>
      <protection locked="0"/>
    </xf>
    <xf numFmtId="167" fontId="19" fillId="9" borderId="56" xfId="28" applyNumberFormat="1" applyFont="1" applyFill="1" applyBorder="1" applyAlignment="1" applyProtection="1">
      <alignment horizontal="center" vertical="center"/>
      <protection locked="0"/>
    </xf>
    <xf numFmtId="167" fontId="19"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7"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0" xfId="7" applyFont="1" applyProtection="1"/>
    <xf numFmtId="43" fontId="0" fillId="0" borderId="0" xfId="7" applyFont="1" applyProtection="1"/>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21"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21"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0" fillId="0" borderId="2" xfId="7" applyFont="1" applyBorder="1"/>
    <xf numFmtId="43" fontId="0" fillId="0" borderId="3" xfId="7" applyFont="1" applyBorder="1"/>
    <xf numFmtId="0" fontId="16"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21" fillId="0" borderId="0" xfId="0" applyFont="1" applyBorder="1" applyAlignment="1">
      <alignment vertical="center" wrapText="1"/>
    </xf>
    <xf numFmtId="0" fontId="13"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22"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5"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8"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5" fillId="0" borderId="6" xfId="32" applyNumberFormat="1" applyFont="1" applyBorder="1" applyAlignment="1">
      <alignment horizontal="center" vertical="center" wrapText="1"/>
    </xf>
    <xf numFmtId="167" fontId="15" fillId="0" borderId="15" xfId="32" applyNumberFormat="1" applyFont="1" applyBorder="1" applyAlignment="1" applyProtection="1">
      <alignment horizontal="center" vertical="center" wrapText="1"/>
    </xf>
    <xf numFmtId="170" fontId="0" fillId="20" borderId="0" xfId="0" applyNumberFormat="1" applyFill="1" applyProtection="1">
      <protection locked="0"/>
    </xf>
    <xf numFmtId="170" fontId="0" fillId="20" borderId="0" xfId="0" applyNumberFormat="1" applyFill="1"/>
    <xf numFmtId="172" fontId="0" fillId="20"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20" borderId="1" xfId="33" applyFont="1" applyFill="1" applyBorder="1"/>
    <xf numFmtId="9" fontId="1" fillId="20" borderId="2" xfId="33" applyFont="1" applyFill="1" applyBorder="1"/>
    <xf numFmtId="9" fontId="1" fillId="20" borderId="3" xfId="33" applyFont="1" applyFill="1" applyBorder="1"/>
    <xf numFmtId="0" fontId="0" fillId="19" borderId="0" xfId="0" applyFill="1"/>
    <xf numFmtId="167" fontId="0" fillId="19" borderId="0" xfId="0" applyNumberFormat="1" applyFill="1"/>
    <xf numFmtId="167" fontId="0" fillId="19" borderId="0" xfId="0" applyNumberFormat="1" applyFill="1" applyAlignment="1">
      <alignment horizontal="right"/>
    </xf>
    <xf numFmtId="0" fontId="4" fillId="19" borderId="0" xfId="0" applyFont="1" applyFill="1"/>
    <xf numFmtId="167" fontId="4" fillId="19" borderId="0" xfId="0" applyNumberFormat="1" applyFont="1" applyFill="1"/>
    <xf numFmtId="166" fontId="0" fillId="19" borderId="0" xfId="0" applyNumberFormat="1" applyFill="1"/>
    <xf numFmtId="0" fontId="1" fillId="0" borderId="0" xfId="0" applyFont="1" applyAlignment="1">
      <alignment vertical="center"/>
    </xf>
    <xf numFmtId="0" fontId="4" fillId="0" borderId="0" xfId="0" applyFont="1" applyAlignment="1">
      <alignment vertical="center"/>
    </xf>
    <xf numFmtId="0" fontId="60" fillId="0" borderId="0" xfId="0" quotePrefix="1" applyFont="1"/>
    <xf numFmtId="0" fontId="0" fillId="18" borderId="9" xfId="0" applyFill="1" applyBorder="1" applyAlignment="1"/>
    <xf numFmtId="0" fontId="0" fillId="18" borderId="0" xfId="0" applyFill="1" applyBorder="1" applyAlignment="1"/>
    <xf numFmtId="173" fontId="0" fillId="18" borderId="9" xfId="7" applyNumberFormat="1" applyFont="1" applyFill="1" applyBorder="1" applyAlignment="1"/>
    <xf numFmtId="173" fontId="0" fillId="18" borderId="0" xfId="7" applyNumberFormat="1" applyFont="1" applyFill="1" applyBorder="1" applyAlignment="1"/>
    <xf numFmtId="9" fontId="0" fillId="18" borderId="9" xfId="33" applyFont="1" applyFill="1" applyBorder="1" applyAlignment="1"/>
    <xf numFmtId="9" fontId="0" fillId="18" borderId="0" xfId="33" applyFont="1" applyFill="1" applyBorder="1" applyAlignment="1"/>
    <xf numFmtId="173" fontId="0" fillId="18" borderId="9" xfId="33" applyNumberFormat="1" applyFont="1" applyFill="1" applyBorder="1" applyAlignment="1"/>
    <xf numFmtId="173" fontId="0" fillId="18"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22" fillId="9" borderId="37" xfId="33" applyNumberFormat="1" applyFont="1" applyFill="1" applyBorder="1" applyAlignment="1">
      <alignment horizontal="center"/>
    </xf>
    <xf numFmtId="175" fontId="22" fillId="9" borderId="2" xfId="33" applyNumberFormat="1" applyFont="1" applyFill="1" applyBorder="1" applyAlignment="1">
      <alignment horizontal="center"/>
    </xf>
    <xf numFmtId="0" fontId="22" fillId="9" borderId="2" xfId="0" applyFont="1" applyFill="1" applyBorder="1" applyAlignment="1"/>
    <xf numFmtId="9" fontId="22"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8" borderId="0" xfId="0" applyFill="1" applyAlignment="1"/>
    <xf numFmtId="0" fontId="19"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6" fillId="8" borderId="0" xfId="0" applyNumberFormat="1" applyFont="1" applyFill="1" applyAlignment="1">
      <alignment horizontal="center" vertical="center"/>
    </xf>
    <xf numFmtId="0" fontId="5" fillId="8" borderId="0" xfId="0" applyFont="1" applyFill="1" applyAlignment="1">
      <alignment horizontal="center" vertical="center"/>
    </xf>
    <xf numFmtId="0" fontId="22" fillId="8" borderId="0" xfId="0" applyFont="1" applyFill="1" applyAlignment="1">
      <alignment horizontal="center" vertical="center"/>
    </xf>
    <xf numFmtId="4" fontId="22"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6"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8" borderId="4" xfId="33" applyFont="1" applyFill="1" applyBorder="1" applyAlignment="1">
      <alignment vertical="center"/>
    </xf>
    <xf numFmtId="9" fontId="4" fillId="18"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5" fillId="0" borderId="15" xfId="32" applyFont="1" applyBorder="1" applyAlignment="1">
      <alignment horizontal="left" vertical="center"/>
    </xf>
    <xf numFmtId="0" fontId="15" fillId="0" borderId="0" xfId="32" applyFont="1" applyBorder="1" applyAlignment="1">
      <alignment horizontal="left" vertical="center"/>
    </xf>
    <xf numFmtId="167" fontId="15" fillId="0" borderId="0" xfId="32" applyNumberFormat="1" applyFont="1" applyBorder="1" applyAlignment="1">
      <alignment horizontal="center" vertical="center"/>
    </xf>
    <xf numFmtId="167" fontId="14"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5"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4" fillId="0" borderId="11" xfId="0" applyFont="1" applyBorder="1" applyAlignment="1">
      <alignment vertical="center"/>
    </xf>
    <xf numFmtId="0" fontId="4" fillId="0" borderId="3" xfId="0" applyFont="1" applyFill="1" applyBorder="1" applyAlignment="1">
      <alignment vertical="center"/>
    </xf>
    <xf numFmtId="0" fontId="16"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6" fillId="9" borderId="31" xfId="28" applyNumberFormat="1" applyFont="1"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30" fillId="0" borderId="0" xfId="0" applyFont="1" applyFill="1" applyBorder="1" applyAlignment="1" applyProtection="1">
      <alignment vertical="center"/>
    </xf>
    <xf numFmtId="0" fontId="30" fillId="0" borderId="0" xfId="0" applyFont="1" applyAlignment="1" applyProtection="1">
      <alignment vertical="center"/>
    </xf>
    <xf numFmtId="0" fontId="54" fillId="9" borderId="22" xfId="25" applyFont="1" applyFill="1" applyBorder="1" applyAlignment="1" applyProtection="1">
      <alignment horizontal="left" vertical="center"/>
    </xf>
    <xf numFmtId="0" fontId="30" fillId="0" borderId="0" xfId="0" applyFont="1" applyFill="1" applyAlignment="1" applyProtection="1">
      <alignment vertical="center"/>
    </xf>
    <xf numFmtId="0" fontId="54"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7" fillId="9" borderId="27" xfId="15" applyFont="1" applyFill="1" applyBorder="1" applyAlignment="1" applyProtection="1">
      <alignment horizontal="left" vertical="center" wrapText="1"/>
      <protection locked="0"/>
    </xf>
    <xf numFmtId="0" fontId="31"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20" fillId="0" borderId="0" xfId="11" applyAlignment="1" applyProtection="1">
      <alignment vertical="center"/>
    </xf>
    <xf numFmtId="0" fontId="38"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4" fillId="0" borderId="0" xfId="0" applyFont="1" applyAlignment="1">
      <alignment vertical="center"/>
    </xf>
    <xf numFmtId="0" fontId="15"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5" fillId="0" borderId="61" xfId="0" applyFont="1" applyBorder="1" applyAlignment="1" applyProtection="1">
      <alignment horizontal="center" vertical="center"/>
    </xf>
    <xf numFmtId="0" fontId="14" fillId="0" borderId="0" xfId="0" applyFont="1" applyBorder="1" applyAlignment="1" applyProtection="1">
      <alignment horizontal="center" vertical="center"/>
    </xf>
    <xf numFmtId="0" fontId="15" fillId="0" borderId="61" xfId="0" applyFont="1" applyFill="1" applyBorder="1" applyAlignment="1" applyProtection="1">
      <alignment horizontal="center" vertical="center" wrapText="1"/>
    </xf>
    <xf numFmtId="0" fontId="14" fillId="0" borderId="0" xfId="0" applyFont="1" applyAlignment="1" applyProtection="1">
      <alignment vertical="center"/>
    </xf>
    <xf numFmtId="0" fontId="8" fillId="0" borderId="0" xfId="0" applyFont="1" applyAlignment="1" applyProtection="1">
      <alignment vertical="center"/>
    </xf>
    <xf numFmtId="0" fontId="15" fillId="0" borderId="68" xfId="0" applyFont="1" applyBorder="1" applyAlignment="1" applyProtection="1">
      <alignment horizontal="center" vertical="center"/>
    </xf>
    <xf numFmtId="0" fontId="15" fillId="0" borderId="75" xfId="0" applyFont="1" applyBorder="1" applyAlignment="1" applyProtection="1">
      <alignment horizontal="center" vertical="center"/>
    </xf>
    <xf numFmtId="0" fontId="15" fillId="0" borderId="73" xfId="0" applyFont="1" applyBorder="1" applyAlignment="1" applyProtection="1">
      <alignment horizontal="center" vertical="center"/>
    </xf>
    <xf numFmtId="0" fontId="15" fillId="0" borderId="0" xfId="0" applyFont="1" applyAlignment="1">
      <alignment horizontal="center" vertical="center"/>
    </xf>
    <xf numFmtId="0" fontId="14" fillId="0" borderId="0" xfId="0" applyFont="1" applyBorder="1" applyAlignment="1">
      <alignment vertical="center"/>
    </xf>
    <xf numFmtId="0" fontId="15" fillId="0" borderId="32" xfId="0" applyFont="1" applyBorder="1" applyAlignment="1" applyProtection="1">
      <alignment horizontal="center" vertical="center"/>
    </xf>
    <xf numFmtId="0" fontId="15" fillId="0" borderId="67" xfId="0" applyFont="1" applyBorder="1" applyAlignment="1" applyProtection="1">
      <alignment horizontal="center" vertical="center"/>
    </xf>
    <xf numFmtId="0" fontId="15" fillId="0" borderId="76" xfId="0" applyFont="1" applyBorder="1" applyAlignment="1" applyProtection="1">
      <alignment horizontal="center" vertical="center"/>
    </xf>
    <xf numFmtId="0" fontId="15" fillId="0" borderId="62" xfId="0" applyFont="1" applyBorder="1" applyAlignment="1" applyProtection="1">
      <alignment horizontal="center" vertical="center"/>
    </xf>
    <xf numFmtId="0" fontId="15" fillId="0" borderId="40" xfId="0" applyFont="1" applyBorder="1" applyAlignment="1">
      <alignment horizontal="center" vertical="center"/>
    </xf>
    <xf numFmtId="0" fontId="15" fillId="0" borderId="42" xfId="0" applyFont="1" applyBorder="1" applyAlignment="1">
      <alignment horizontal="center" vertical="center"/>
    </xf>
    <xf numFmtId="0" fontId="15" fillId="0" borderId="39" xfId="0" applyFont="1" applyBorder="1" applyAlignment="1">
      <alignment horizontal="center" vertical="center"/>
    </xf>
    <xf numFmtId="0" fontId="15" fillId="0" borderId="61" xfId="0" applyFont="1" applyBorder="1" applyAlignment="1">
      <alignment horizontal="center" vertical="center"/>
    </xf>
    <xf numFmtId="0" fontId="15" fillId="0" borderId="68" xfId="0" applyFont="1" applyBorder="1" applyAlignment="1">
      <alignment horizontal="center" vertical="center"/>
    </xf>
    <xf numFmtId="0" fontId="15" fillId="0" borderId="75" xfId="0" applyFont="1" applyBorder="1" applyAlignment="1">
      <alignment horizontal="center" vertical="center"/>
    </xf>
    <xf numFmtId="174" fontId="8" fillId="0" borderId="0" xfId="0" applyNumberFormat="1" applyFont="1" applyAlignment="1">
      <alignment horizontal="right" vertical="center"/>
    </xf>
    <xf numFmtId="174" fontId="19" fillId="9" borderId="62" xfId="0" applyNumberFormat="1" applyFont="1" applyFill="1" applyBorder="1" applyAlignment="1" applyProtection="1">
      <alignment horizontal="right" vertical="center"/>
      <protection locked="0"/>
    </xf>
    <xf numFmtId="174" fontId="19" fillId="9" borderId="38" xfId="0" applyNumberFormat="1" applyFont="1" applyFill="1" applyBorder="1" applyAlignment="1" applyProtection="1">
      <alignment horizontal="right" vertical="center"/>
      <protection locked="0"/>
    </xf>
    <xf numFmtId="174" fontId="19" fillId="9" borderId="64"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9" fillId="9" borderId="2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9" fillId="9" borderId="67"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9" fillId="9" borderId="29"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9" fillId="9" borderId="68"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9" fillId="9" borderId="61" xfId="0" applyNumberFormat="1" applyFont="1" applyFill="1" applyBorder="1" applyAlignment="1" applyProtection="1">
      <alignment horizontal="right" vertical="center"/>
      <protection locked="0"/>
    </xf>
    <xf numFmtId="174" fontId="19" fillId="11" borderId="20" xfId="0" applyNumberFormat="1" applyFont="1" applyFill="1" applyBorder="1" applyAlignment="1">
      <alignment horizontal="right" vertical="center"/>
    </xf>
    <xf numFmtId="174" fontId="19"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8" fillId="0" borderId="0" xfId="0" applyNumberFormat="1" applyFont="1" applyFill="1" applyAlignment="1">
      <alignment horizontal="right" vertical="center"/>
    </xf>
    <xf numFmtId="0" fontId="8" fillId="0" borderId="0" xfId="0" applyFont="1" applyFill="1" applyAlignment="1" applyProtection="1">
      <alignment vertical="center"/>
    </xf>
    <xf numFmtId="174" fontId="19" fillId="11" borderId="24" xfId="0" applyNumberFormat="1" applyFont="1" applyFill="1" applyBorder="1" applyAlignment="1">
      <alignment horizontal="right" vertical="center"/>
    </xf>
    <xf numFmtId="174" fontId="19" fillId="11" borderId="25" xfId="0" applyNumberFormat="1" applyFont="1" applyFill="1" applyBorder="1" applyAlignment="1">
      <alignment horizontal="right" vertical="center"/>
    </xf>
    <xf numFmtId="174" fontId="19" fillId="11" borderId="61" xfId="0" applyNumberFormat="1" applyFont="1" applyFill="1" applyBorder="1" applyAlignment="1">
      <alignment horizontal="right" vertical="center"/>
    </xf>
    <xf numFmtId="174" fontId="19" fillId="11" borderId="39" xfId="0" applyNumberFormat="1" applyFont="1" applyFill="1" applyBorder="1" applyAlignment="1">
      <alignment horizontal="right" vertical="center"/>
    </xf>
    <xf numFmtId="0" fontId="13" fillId="0" borderId="0" xfId="0" applyFont="1" applyBorder="1" applyAlignment="1">
      <alignment vertical="center"/>
    </xf>
    <xf numFmtId="174" fontId="13" fillId="2" borderId="39" xfId="0" applyNumberFormat="1" applyFont="1" applyFill="1" applyBorder="1" applyAlignment="1">
      <alignment horizontal="right" vertical="center"/>
    </xf>
    <xf numFmtId="174" fontId="13" fillId="0" borderId="0" xfId="0" applyNumberFormat="1" applyFont="1" applyAlignment="1">
      <alignment horizontal="right" vertical="center"/>
    </xf>
    <xf numFmtId="0" fontId="13" fillId="0" borderId="0" xfId="0" applyFont="1" applyAlignment="1" applyProtection="1">
      <alignment vertical="center"/>
    </xf>
    <xf numFmtId="0" fontId="8" fillId="0" borderId="0" xfId="0" applyFont="1" applyBorder="1" applyAlignment="1" applyProtection="1">
      <alignment vertical="center"/>
    </xf>
    <xf numFmtId="0" fontId="39" fillId="0" borderId="0" xfId="0" applyFont="1" applyAlignment="1" applyProtection="1">
      <alignment horizontal="center" vertical="center"/>
    </xf>
    <xf numFmtId="0" fontId="13" fillId="0" borderId="0" xfId="0" applyFont="1" applyAlignment="1">
      <alignment vertical="center"/>
    </xf>
    <xf numFmtId="0" fontId="13" fillId="0" borderId="0" xfId="0" applyFont="1" applyFill="1" applyAlignment="1">
      <alignment vertical="center"/>
    </xf>
    <xf numFmtId="0" fontId="38" fillId="0" borderId="24" xfId="0" applyFont="1" applyFill="1" applyBorder="1" applyAlignment="1" applyProtection="1">
      <alignment vertical="center"/>
    </xf>
    <xf numFmtId="0" fontId="13" fillId="0" borderId="25" xfId="0" applyFont="1" applyBorder="1" applyAlignment="1" applyProtection="1">
      <alignment vertical="center"/>
    </xf>
    <xf numFmtId="0" fontId="13" fillId="0" borderId="61" xfId="0" applyFont="1" applyBorder="1" applyAlignment="1">
      <alignment horizontal="center" vertical="center"/>
    </xf>
    <xf numFmtId="0" fontId="13" fillId="0" borderId="61" xfId="0" applyFont="1" applyFill="1" applyBorder="1" applyAlignment="1" applyProtection="1">
      <alignment horizontal="center" vertical="center" wrapText="1"/>
    </xf>
    <xf numFmtId="0" fontId="13" fillId="0" borderId="0" xfId="0" applyFont="1" applyFill="1" applyBorder="1" applyAlignment="1" applyProtection="1">
      <alignment vertical="center"/>
    </xf>
    <xf numFmtId="0" fontId="14" fillId="0" borderId="0" xfId="0" applyFont="1" applyBorder="1" applyAlignment="1" applyProtection="1">
      <alignment vertical="center"/>
    </xf>
    <xf numFmtId="0" fontId="37" fillId="0" borderId="0" xfId="0" applyFont="1" applyBorder="1" applyAlignment="1" applyProtection="1">
      <alignment vertical="center"/>
    </xf>
    <xf numFmtId="0" fontId="8" fillId="0" borderId="0" xfId="0" applyFont="1" applyBorder="1" applyAlignment="1" applyProtection="1">
      <alignment vertical="center" wrapText="1"/>
    </xf>
    <xf numFmtId="0" fontId="13" fillId="0" borderId="0" xfId="0" applyFont="1" applyBorder="1" applyAlignment="1" applyProtection="1">
      <alignment vertical="center" wrapText="1"/>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5" fillId="0" borderId="61" xfId="0" applyFont="1" applyBorder="1" applyAlignment="1" applyProtection="1">
      <alignment horizontal="center" vertical="center" wrapText="1"/>
    </xf>
    <xf numFmtId="0" fontId="13" fillId="0" borderId="61" xfId="0" applyFont="1" applyBorder="1" applyAlignment="1">
      <alignment horizontal="center" vertical="center" wrapText="1"/>
    </xf>
    <xf numFmtId="0" fontId="13"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3" fillId="8" borderId="32" xfId="0" applyFont="1" applyFill="1" applyBorder="1" applyAlignment="1" applyProtection="1">
      <alignment horizontal="center" vertical="top" wrapText="1"/>
    </xf>
    <xf numFmtId="0" fontId="8" fillId="0" borderId="65" xfId="0" applyFont="1" applyFill="1" applyBorder="1" applyAlignment="1" applyProtection="1">
      <alignment vertical="center"/>
    </xf>
    <xf numFmtId="0" fontId="8" fillId="0" borderId="7" xfId="0" applyFont="1" applyFill="1" applyBorder="1" applyAlignment="1" applyProtection="1">
      <alignment vertical="center"/>
    </xf>
    <xf numFmtId="0" fontId="39" fillId="0" borderId="0" xfId="0" applyFont="1" applyAlignment="1" applyProtection="1">
      <alignment vertical="center"/>
    </xf>
    <xf numFmtId="0" fontId="15" fillId="8" borderId="61" xfId="0" applyFont="1" applyFill="1" applyBorder="1" applyAlignment="1" applyProtection="1">
      <alignment horizontal="center" vertical="center" wrapText="1"/>
    </xf>
    <xf numFmtId="0" fontId="14" fillId="0" borderId="17" xfId="0" applyFont="1" applyBorder="1" applyAlignment="1">
      <alignment vertical="center"/>
    </xf>
    <xf numFmtId="0" fontId="15" fillId="0" borderId="0" xfId="0" applyFont="1" applyBorder="1" applyAlignment="1" applyProtection="1">
      <alignment vertical="center" wrapText="1"/>
    </xf>
    <xf numFmtId="0" fontId="40" fillId="0" borderId="0" xfId="0" applyFont="1" applyFill="1" applyBorder="1" applyAlignment="1">
      <alignment vertical="center"/>
    </xf>
    <xf numFmtId="174" fontId="13" fillId="0" borderId="61" xfId="0" applyNumberFormat="1" applyFont="1" applyFill="1" applyBorder="1" applyAlignment="1">
      <alignment vertical="center"/>
    </xf>
    <xf numFmtId="0" fontId="13" fillId="6" borderId="25" xfId="0" applyFont="1" applyFill="1" applyBorder="1" applyAlignment="1" applyProtection="1">
      <alignment horizontal="center" vertical="center" wrapText="1"/>
    </xf>
    <xf numFmtId="0" fontId="13" fillId="6" borderId="26" xfId="0" applyFont="1" applyFill="1" applyBorder="1" applyAlignment="1" applyProtection="1">
      <alignment horizontal="center" vertical="center" wrapText="1"/>
    </xf>
    <xf numFmtId="0" fontId="13" fillId="6" borderId="23" xfId="0" applyFont="1" applyFill="1" applyBorder="1" applyAlignment="1" applyProtection="1">
      <alignment horizontal="center" vertical="center" wrapText="1"/>
    </xf>
    <xf numFmtId="0" fontId="13" fillId="6" borderId="39" xfId="0" applyFont="1" applyFill="1" applyBorder="1" applyAlignment="1" applyProtection="1">
      <alignment horizontal="center" vertical="center" wrapText="1"/>
    </xf>
    <xf numFmtId="0" fontId="15" fillId="0" borderId="0" xfId="0" applyFont="1" applyAlignment="1">
      <alignment vertical="center"/>
    </xf>
    <xf numFmtId="0" fontId="1" fillId="0" borderId="0" xfId="0" applyFont="1" applyFill="1" applyBorder="1" applyAlignment="1">
      <alignment vertical="center"/>
    </xf>
    <xf numFmtId="0" fontId="14" fillId="0" borderId="0" xfId="0" applyFont="1" applyFill="1" applyBorder="1" applyAlignment="1">
      <alignment vertical="center"/>
    </xf>
    <xf numFmtId="0" fontId="1" fillId="0" borderId="0" xfId="0" applyFont="1" applyBorder="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1" fillId="0" borderId="13" xfId="0" applyFont="1" applyBorder="1" applyAlignment="1">
      <alignment vertical="center"/>
    </xf>
    <xf numFmtId="0" fontId="15" fillId="0" borderId="0" xfId="0" applyFont="1" applyFill="1" applyBorder="1" applyAlignment="1">
      <alignment horizontal="left" vertical="center"/>
    </xf>
    <xf numFmtId="0" fontId="15"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5"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5" fillId="0" borderId="19" xfId="0" applyFont="1" applyFill="1" applyBorder="1" applyAlignment="1" applyProtection="1">
      <alignment horizontal="center" vertical="center"/>
    </xf>
    <xf numFmtId="0" fontId="14" fillId="0" borderId="17" xfId="0" applyFont="1" applyBorder="1" applyAlignment="1" applyProtection="1">
      <alignment vertical="center"/>
    </xf>
    <xf numFmtId="0" fontId="14" fillId="0" borderId="0" xfId="0" applyFont="1" applyBorder="1" applyAlignment="1" applyProtection="1">
      <alignment horizontal="left" vertical="center"/>
    </xf>
    <xf numFmtId="0" fontId="14" fillId="0" borderId="0" xfId="0"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4"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5"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5" fillId="0" borderId="14" xfId="0" applyFont="1" applyFill="1" applyBorder="1" applyAlignment="1">
      <alignment horizontal="left" vertical="center"/>
    </xf>
    <xf numFmtId="0" fontId="1" fillId="0" borderId="14" xfId="0" applyFont="1" applyBorder="1" applyAlignment="1">
      <alignment vertical="center"/>
    </xf>
    <xf numFmtId="174" fontId="14"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4" fillId="0" borderId="0" xfId="0" applyNumberFormat="1" applyFont="1" applyFill="1" applyBorder="1" applyAlignment="1">
      <alignment vertical="center"/>
    </xf>
    <xf numFmtId="0" fontId="1" fillId="0" borderId="17" xfId="0" applyFont="1" applyFill="1" applyBorder="1" applyAlignment="1">
      <alignment vertical="center"/>
    </xf>
    <xf numFmtId="174" fontId="15" fillId="0" borderId="61" xfId="0" applyNumberFormat="1" applyFont="1" applyFill="1" applyBorder="1" applyAlignment="1">
      <alignment horizontal="center" vertical="center"/>
    </xf>
    <xf numFmtId="174" fontId="14" fillId="0" borderId="0" xfId="0" applyNumberFormat="1" applyFont="1" applyBorder="1" applyAlignment="1" applyProtection="1">
      <alignment vertical="center"/>
    </xf>
    <xf numFmtId="174" fontId="26" fillId="9" borderId="33" xfId="0" applyNumberFormat="1" applyFont="1" applyFill="1" applyBorder="1" applyAlignment="1" applyProtection="1">
      <alignment vertical="center"/>
      <protection locked="0"/>
    </xf>
    <xf numFmtId="0" fontId="14" fillId="0" borderId="17" xfId="0" applyFont="1" applyFill="1" applyBorder="1" applyAlignment="1">
      <alignment vertical="center"/>
    </xf>
    <xf numFmtId="0" fontId="14" fillId="0" borderId="22" xfId="0" applyFont="1" applyFill="1" applyBorder="1" applyAlignment="1">
      <alignment vertical="center"/>
    </xf>
    <xf numFmtId="0" fontId="15" fillId="0" borderId="0" xfId="0" applyFont="1" applyBorder="1" applyAlignment="1" applyProtection="1">
      <alignment horizontal="right" vertical="center"/>
    </xf>
    <xf numFmtId="178" fontId="15" fillId="0" borderId="3" xfId="0" applyNumberFormat="1" applyFont="1" applyBorder="1" applyAlignment="1">
      <alignment horizontal="center" vertical="center"/>
    </xf>
    <xf numFmtId="0" fontId="23" fillId="0" borderId="0" xfId="0" applyFont="1" applyFill="1" applyBorder="1" applyAlignment="1">
      <alignment horizontal="center" vertical="center"/>
    </xf>
    <xf numFmtId="0" fontId="15" fillId="0" borderId="0" xfId="0" applyFont="1" applyFill="1" applyBorder="1" applyAlignment="1">
      <alignment vertical="center"/>
    </xf>
    <xf numFmtId="0" fontId="14" fillId="0" borderId="0" xfId="0" applyFont="1" applyBorder="1" applyAlignment="1">
      <alignment horizontal="left" vertical="center"/>
    </xf>
    <xf numFmtId="174" fontId="14" fillId="0" borderId="22" xfId="0" applyNumberFormat="1" applyFont="1" applyFill="1" applyBorder="1" applyAlignment="1">
      <alignment vertical="center"/>
    </xf>
    <xf numFmtId="0" fontId="14" fillId="0" borderId="25" xfId="0" applyFont="1" applyFill="1" applyBorder="1" applyAlignment="1">
      <alignment vertical="center"/>
    </xf>
    <xf numFmtId="174" fontId="14" fillId="0" borderId="61" xfId="0" applyNumberFormat="1" applyFont="1" applyFill="1" applyBorder="1" applyAlignment="1">
      <alignment horizontal="center" vertical="center" wrapText="1"/>
    </xf>
    <xf numFmtId="174" fontId="26" fillId="11" borderId="32" xfId="0" applyNumberFormat="1" applyFont="1" applyFill="1" applyBorder="1" applyAlignment="1" applyProtection="1">
      <alignment vertical="center"/>
    </xf>
    <xf numFmtId="174" fontId="26" fillId="9" borderId="39" xfId="0" applyNumberFormat="1" applyFont="1" applyFill="1" applyBorder="1" applyAlignment="1" applyProtection="1">
      <alignment vertical="center"/>
      <protection locked="0"/>
    </xf>
    <xf numFmtId="174" fontId="15" fillId="2" borderId="77" xfId="0" applyNumberFormat="1" applyFont="1" applyFill="1" applyBorder="1" applyAlignment="1" applyProtection="1">
      <alignment vertical="center"/>
    </xf>
    <xf numFmtId="174" fontId="36" fillId="0" borderId="61" xfId="0" applyNumberFormat="1" applyFont="1" applyFill="1" applyBorder="1" applyAlignment="1">
      <alignment horizontal="center" vertical="center"/>
    </xf>
    <xf numFmtId="174" fontId="36" fillId="0" borderId="61" xfId="0" applyNumberFormat="1" applyFont="1" applyFill="1" applyBorder="1" applyAlignment="1">
      <alignment horizontal="center" vertical="center" textRotation="90" wrapText="1"/>
    </xf>
    <xf numFmtId="174" fontId="14" fillId="2" borderId="32" xfId="0" applyNumberFormat="1" applyFont="1" applyFill="1" applyBorder="1" applyAlignment="1" applyProtection="1">
      <alignment vertical="center"/>
    </xf>
    <xf numFmtId="174" fontId="26" fillId="9" borderId="34" xfId="0" applyNumberFormat="1" applyFont="1" applyFill="1" applyBorder="1" applyAlignment="1" applyProtection="1">
      <alignment vertical="center"/>
      <protection locked="0"/>
    </xf>
    <xf numFmtId="174" fontId="26" fillId="9" borderId="71" xfId="0" applyNumberFormat="1" applyFont="1" applyFill="1" applyBorder="1" applyAlignment="1" applyProtection="1">
      <alignment vertical="center"/>
      <protection locked="0"/>
    </xf>
    <xf numFmtId="174" fontId="26" fillId="9" borderId="46" xfId="0" applyNumberFormat="1" applyFont="1" applyFill="1" applyBorder="1" applyAlignment="1" applyProtection="1">
      <alignment vertical="center"/>
      <protection locked="0"/>
    </xf>
    <xf numFmtId="174" fontId="14" fillId="2" borderId="39" xfId="0" applyNumberFormat="1" applyFont="1" applyFill="1" applyBorder="1" applyAlignment="1" applyProtection="1">
      <alignment vertical="center"/>
    </xf>
    <xf numFmtId="174" fontId="26" fillId="9" borderId="40" xfId="0" applyNumberFormat="1" applyFont="1" applyFill="1" applyBorder="1" applyAlignment="1" applyProtection="1">
      <alignment vertical="center"/>
      <protection locked="0"/>
    </xf>
    <xf numFmtId="174" fontId="26" fillId="9" borderId="78" xfId="0" applyNumberFormat="1" applyFont="1" applyFill="1" applyBorder="1" applyAlignment="1" applyProtection="1">
      <alignment vertical="center"/>
      <protection locked="0"/>
    </xf>
    <xf numFmtId="174" fontId="26" fillId="9" borderId="58" xfId="0" applyNumberFormat="1" applyFont="1" applyFill="1" applyBorder="1" applyAlignment="1" applyProtection="1">
      <alignment vertical="center"/>
      <protection locked="0"/>
    </xf>
    <xf numFmtId="174" fontId="36" fillId="0" borderId="32" xfId="0" applyNumberFormat="1" applyFont="1" applyFill="1" applyBorder="1" applyAlignment="1">
      <alignment horizontal="center" vertical="center"/>
    </xf>
    <xf numFmtId="174" fontId="36" fillId="0" borderId="32" xfId="0" applyNumberFormat="1" applyFont="1" applyFill="1" applyBorder="1" applyAlignment="1">
      <alignment horizontal="center" vertical="center" textRotation="90" wrapText="1"/>
    </xf>
    <xf numFmtId="174" fontId="15" fillId="2" borderId="64" xfId="0" applyNumberFormat="1" applyFont="1" applyFill="1" applyBorder="1" applyAlignment="1" applyProtection="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5" fillId="0" borderId="21" xfId="0" applyFont="1" applyBorder="1" applyAlignment="1" applyProtection="1">
      <alignment horizontal="right" vertical="center"/>
    </xf>
    <xf numFmtId="0" fontId="14" fillId="0" borderId="21" xfId="0" applyFont="1" applyFill="1" applyBorder="1" applyAlignment="1">
      <alignment vertical="center"/>
    </xf>
    <xf numFmtId="0" fontId="23" fillId="0" borderId="21" xfId="0" quotePrefix="1" applyFont="1" applyBorder="1" applyAlignment="1" applyProtection="1">
      <alignment horizontal="center" vertical="center"/>
    </xf>
    <xf numFmtId="0" fontId="23" fillId="0" borderId="21" xfId="0" applyFont="1" applyBorder="1" applyAlignment="1" applyProtection="1">
      <alignment horizontal="center" vertical="center"/>
    </xf>
    <xf numFmtId="0" fontId="15" fillId="0" borderId="23" xfId="0" applyFont="1" applyBorder="1" applyAlignment="1" applyProtection="1">
      <alignment horizontal="right" vertical="center"/>
    </xf>
    <xf numFmtId="0" fontId="14" fillId="0" borderId="14" xfId="0" applyFont="1" applyBorder="1" applyAlignment="1" applyProtection="1">
      <alignment horizontal="left" vertical="center"/>
    </xf>
    <xf numFmtId="0" fontId="14" fillId="0" borderId="19" xfId="0" applyFont="1" applyFill="1" applyBorder="1" applyAlignment="1">
      <alignment vertical="center"/>
    </xf>
    <xf numFmtId="174" fontId="14" fillId="13" borderId="33" xfId="0" applyNumberFormat="1" applyFont="1" applyFill="1" applyBorder="1" applyAlignment="1" applyProtection="1">
      <alignment vertical="center"/>
    </xf>
    <xf numFmtId="174" fontId="26" fillId="13" borderId="37" xfId="0" applyNumberFormat="1" applyFont="1" applyFill="1" applyBorder="1" applyAlignment="1" applyProtection="1">
      <alignment vertical="center"/>
    </xf>
    <xf numFmtId="174" fontId="26" fillId="13" borderId="10" xfId="0" applyNumberFormat="1" applyFont="1" applyFill="1" applyBorder="1" applyAlignment="1" applyProtection="1">
      <alignment vertical="center"/>
    </xf>
    <xf numFmtId="174" fontId="26" fillId="13" borderId="2" xfId="0" applyNumberFormat="1" applyFont="1" applyFill="1" applyBorder="1" applyAlignment="1" applyProtection="1">
      <alignment vertical="center"/>
    </xf>
    <xf numFmtId="174" fontId="26" fillId="13" borderId="22" xfId="0" applyNumberFormat="1" applyFont="1" applyFill="1" applyBorder="1" applyAlignment="1" applyProtection="1">
      <alignment vertical="center"/>
    </xf>
    <xf numFmtId="174" fontId="26" fillId="13" borderId="49" xfId="0" applyNumberFormat="1" applyFont="1" applyFill="1" applyBorder="1" applyAlignment="1" applyProtection="1">
      <alignment vertical="center"/>
    </xf>
    <xf numFmtId="174" fontId="26" fillId="13" borderId="12" xfId="0" applyNumberFormat="1" applyFont="1" applyFill="1" applyBorder="1" applyAlignment="1" applyProtection="1">
      <alignment vertical="center"/>
    </xf>
    <xf numFmtId="174" fontId="26" fillId="13" borderId="3" xfId="0" applyNumberFormat="1" applyFont="1" applyFill="1" applyBorder="1" applyAlignment="1" applyProtection="1">
      <alignment vertical="center"/>
    </xf>
    <xf numFmtId="174" fontId="26" fillId="13" borderId="52" xfId="0" applyNumberFormat="1" applyFont="1" applyFill="1" applyBorder="1" applyAlignment="1" applyProtection="1">
      <alignment vertical="center"/>
    </xf>
    <xf numFmtId="174" fontId="15" fillId="13" borderId="64" xfId="0" applyNumberFormat="1" applyFont="1" applyFill="1" applyBorder="1" applyAlignment="1" applyProtection="1">
      <alignment vertical="center"/>
    </xf>
    <xf numFmtId="174" fontId="36" fillId="0" borderId="0" xfId="0" applyNumberFormat="1" applyFont="1" applyFill="1" applyBorder="1" applyAlignment="1">
      <alignment vertical="center"/>
    </xf>
    <xf numFmtId="0" fontId="15" fillId="0" borderId="0" xfId="0" applyFont="1" applyBorder="1" applyAlignment="1">
      <alignment horizontal="left" vertical="center"/>
    </xf>
    <xf numFmtId="174" fontId="14" fillId="2" borderId="61" xfId="0" applyNumberFormat="1" applyFont="1" applyFill="1" applyBorder="1" applyAlignment="1" applyProtection="1">
      <alignment vertical="center"/>
    </xf>
    <xf numFmtId="174" fontId="26" fillId="11" borderId="74" xfId="0" applyNumberFormat="1" applyFont="1" applyFill="1" applyBorder="1" applyAlignment="1" applyProtection="1">
      <alignment vertical="center"/>
    </xf>
    <xf numFmtId="174" fontId="26" fillId="9" borderId="74" xfId="0" applyNumberFormat="1" applyFont="1" applyFill="1" applyBorder="1" applyAlignment="1" applyProtection="1">
      <alignment vertical="center"/>
      <protection locked="0"/>
    </xf>
    <xf numFmtId="174" fontId="26" fillId="11" borderId="72" xfId="0" applyNumberFormat="1" applyFont="1" applyFill="1" applyBorder="1" applyAlignment="1" applyProtection="1">
      <alignment vertical="center"/>
    </xf>
    <xf numFmtId="174" fontId="26" fillId="11" borderId="26" xfId="0" applyNumberFormat="1" applyFont="1" applyFill="1" applyBorder="1" applyAlignment="1" applyProtection="1">
      <alignment vertical="center"/>
    </xf>
    <xf numFmtId="0" fontId="14" fillId="0" borderId="21" xfId="0" applyFont="1" applyBorder="1" applyAlignment="1">
      <alignment horizontal="left" vertical="center"/>
    </xf>
    <xf numFmtId="174" fontId="14" fillId="0" borderId="21" xfId="0" applyNumberFormat="1" applyFont="1" applyFill="1" applyBorder="1" applyAlignment="1">
      <alignment vertical="center"/>
    </xf>
    <xf numFmtId="174" fontId="36" fillId="0" borderId="21" xfId="0" applyNumberFormat="1" applyFont="1" applyFill="1" applyBorder="1" applyAlignment="1">
      <alignment vertical="center"/>
    </xf>
    <xf numFmtId="0" fontId="14" fillId="0" borderId="23" xfId="0" applyFont="1" applyFill="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4" fillId="0" borderId="14" xfId="0" applyFont="1" applyBorder="1" applyAlignment="1">
      <alignment horizontal="left" vertical="center"/>
    </xf>
    <xf numFmtId="0" fontId="14" fillId="0" borderId="14" xfId="0" applyFont="1" applyFill="1" applyBorder="1" applyAlignment="1">
      <alignment vertical="center"/>
    </xf>
    <xf numFmtId="174" fontId="36" fillId="0" borderId="14" xfId="0" applyNumberFormat="1" applyFont="1" applyFill="1" applyBorder="1" applyAlignment="1">
      <alignment vertical="center"/>
    </xf>
    <xf numFmtId="174" fontId="14" fillId="0" borderId="19" xfId="0" applyNumberFormat="1" applyFont="1" applyFill="1" applyBorder="1" applyAlignment="1">
      <alignment vertical="center"/>
    </xf>
    <xf numFmtId="174" fontId="26" fillId="9" borderId="61" xfId="0" applyNumberFormat="1" applyFont="1" applyFill="1" applyBorder="1" applyAlignment="1" applyProtection="1">
      <alignment vertical="center"/>
      <protection locked="0"/>
    </xf>
    <xf numFmtId="174" fontId="15" fillId="0" borderId="22" xfId="0" applyNumberFormat="1" applyFont="1" applyFill="1" applyBorder="1" applyAlignment="1">
      <alignment horizontal="center" vertical="center"/>
    </xf>
    <xf numFmtId="174" fontId="15" fillId="0" borderId="0" xfId="0" applyNumberFormat="1" applyFont="1" applyFill="1" applyBorder="1" applyAlignment="1">
      <alignment horizontal="center" vertical="center"/>
    </xf>
    <xf numFmtId="174" fontId="26" fillId="9" borderId="79" xfId="0" applyNumberFormat="1" applyFont="1" applyFill="1" applyBorder="1" applyAlignment="1" applyProtection="1">
      <alignment vertical="center"/>
      <protection locked="0"/>
    </xf>
    <xf numFmtId="0" fontId="26" fillId="9" borderId="80" xfId="0" applyFont="1" applyFill="1" applyBorder="1" applyAlignment="1" applyProtection="1">
      <alignment vertical="center"/>
      <protection locked="0"/>
    </xf>
    <xf numFmtId="174" fontId="26" fillId="0" borderId="22" xfId="0" applyNumberFormat="1" applyFont="1" applyFill="1" applyBorder="1" applyAlignment="1" applyProtection="1">
      <alignment vertical="center"/>
      <protection locked="0"/>
    </xf>
    <xf numFmtId="174" fontId="26" fillId="0" borderId="0" xfId="0" applyNumberFormat="1" applyFont="1" applyFill="1" applyBorder="1" applyAlignment="1" applyProtection="1">
      <alignment vertical="center"/>
      <protection locked="0"/>
    </xf>
    <xf numFmtId="0" fontId="14" fillId="0" borderId="0" xfId="0" applyFont="1" applyFill="1" applyBorder="1" applyAlignment="1">
      <alignment horizontal="left" vertical="center"/>
    </xf>
    <xf numFmtId="174" fontId="14" fillId="0" borderId="0" xfId="0" applyNumberFormat="1" applyFont="1" applyFill="1" applyBorder="1" applyAlignment="1" applyProtection="1">
      <alignment vertical="center"/>
      <protection locked="0"/>
    </xf>
    <xf numFmtId="174" fontId="14" fillId="0" borderId="22" xfId="0" applyNumberFormat="1" applyFont="1" applyFill="1" applyBorder="1" applyAlignment="1" applyProtection="1">
      <alignment vertical="center"/>
      <protection locked="0"/>
    </xf>
    <xf numFmtId="174" fontId="26" fillId="9" borderId="63" xfId="0" applyNumberFormat="1" applyFont="1" applyFill="1" applyBorder="1" applyAlignment="1" applyProtection="1">
      <alignment vertical="center"/>
      <protection locked="0"/>
    </xf>
    <xf numFmtId="174" fontId="14" fillId="11" borderId="51" xfId="0" applyNumberFormat="1" applyFont="1" applyFill="1" applyBorder="1" applyAlignment="1" applyProtection="1">
      <alignment vertical="center"/>
      <protection locked="0"/>
    </xf>
    <xf numFmtId="174" fontId="15" fillId="0" borderId="22" xfId="0" applyNumberFormat="1" applyFont="1" applyFill="1" applyBorder="1" applyAlignment="1" applyProtection="1">
      <alignment vertical="center"/>
    </xf>
    <xf numFmtId="174" fontId="15" fillId="0" borderId="0" xfId="0" applyNumberFormat="1" applyFont="1" applyFill="1" applyBorder="1" applyAlignment="1" applyProtection="1">
      <alignment vertical="center"/>
    </xf>
    <xf numFmtId="174" fontId="26" fillId="0" borderId="61" xfId="0" applyNumberFormat="1" applyFont="1" applyFill="1" applyBorder="1" applyAlignment="1" applyProtection="1">
      <alignment vertical="center"/>
      <protection locked="0"/>
    </xf>
    <xf numFmtId="0" fontId="15" fillId="0" borderId="0" xfId="0" applyFont="1" applyBorder="1" applyAlignment="1" applyProtection="1">
      <alignment horizontal="left" vertical="center"/>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178" fontId="15" fillId="0" borderId="57" xfId="0" applyNumberFormat="1" applyFont="1" applyBorder="1" applyAlignment="1">
      <alignment horizontal="center" vertical="center"/>
    </xf>
    <xf numFmtId="0" fontId="1" fillId="0" borderId="32" xfId="0" applyFont="1" applyFill="1" applyBorder="1" applyAlignment="1" applyProtection="1">
      <alignment vertical="center"/>
    </xf>
    <xf numFmtId="0" fontId="13" fillId="0" borderId="32" xfId="28" applyFont="1" applyFill="1" applyBorder="1" applyAlignment="1" applyProtection="1">
      <alignment horizontal="center" vertical="center"/>
    </xf>
    <xf numFmtId="0" fontId="29" fillId="0" borderId="0" xfId="0" applyFont="1" applyBorder="1"/>
    <xf numFmtId="0" fontId="19" fillId="9" borderId="28" xfId="28" applyFont="1" applyFill="1" applyBorder="1" applyAlignment="1" applyProtection="1">
      <alignment horizontal="center" vertical="center"/>
      <protection locked="0"/>
    </xf>
    <xf numFmtId="1" fontId="13" fillId="0" borderId="23" xfId="25" applyNumberFormat="1" applyFont="1" applyBorder="1" applyProtection="1"/>
    <xf numFmtId="0" fontId="47" fillId="0" borderId="22" xfId="0" applyFont="1" applyBorder="1"/>
    <xf numFmtId="0" fontId="8" fillId="0" borderId="22" xfId="28" applyFont="1" applyFill="1" applyBorder="1" applyAlignment="1" applyProtection="1">
      <alignment horizontal="center" vertical="center"/>
    </xf>
    <xf numFmtId="168" fontId="14" fillId="2" borderId="68" xfId="0" applyNumberFormat="1" applyFont="1" applyFill="1" applyBorder="1" applyAlignment="1" applyProtection="1">
      <alignment horizontal="right"/>
    </xf>
    <xf numFmtId="168" fontId="14"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9"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1" fillId="17" borderId="2" xfId="0" quotePrefix="1" applyNumberFormat="1" applyFont="1" applyFill="1" applyBorder="1" applyAlignment="1">
      <alignment vertical="center"/>
    </xf>
    <xf numFmtId="2" fontId="1" fillId="17" borderId="3" xfId="0" quotePrefix="1" applyNumberFormat="1" applyFont="1" applyFill="1" applyBorder="1" applyAlignment="1">
      <alignment vertical="center"/>
    </xf>
    <xf numFmtId="9" fontId="0" fillId="17" borderId="0" xfId="33" applyFont="1" applyFill="1" applyAlignment="1">
      <alignment vertical="center"/>
    </xf>
    <xf numFmtId="2" fontId="64" fillId="0" borderId="0" xfId="0" applyNumberFormat="1" applyFont="1" applyAlignment="1">
      <alignment horizontal="left"/>
    </xf>
    <xf numFmtId="2" fontId="65" fillId="0" borderId="0" xfId="0" applyNumberFormat="1" applyFont="1" applyAlignment="1">
      <alignment horizontal="left"/>
    </xf>
    <xf numFmtId="17" fontId="60" fillId="0" borderId="0" xfId="0" quotePrefix="1" applyNumberFormat="1" applyFont="1"/>
    <xf numFmtId="0" fontId="60" fillId="0" borderId="0" xfId="0" applyFont="1"/>
    <xf numFmtId="49" fontId="66" fillId="0" borderId="0" xfId="0" applyNumberFormat="1" applyFont="1" applyAlignment="1">
      <alignment horizontal="left"/>
    </xf>
    <xf numFmtId="49" fontId="65" fillId="0" borderId="0" xfId="0" applyNumberFormat="1" applyFont="1" applyAlignment="1">
      <alignment horizontal="left"/>
    </xf>
    <xf numFmtId="0" fontId="65" fillId="7" borderId="0" xfId="0" applyFont="1" applyFill="1" applyAlignment="1">
      <alignment horizontal="center" vertical="center" wrapText="1"/>
    </xf>
    <xf numFmtId="0" fontId="65" fillId="7" borderId="0" xfId="0" applyFont="1" applyFill="1" applyAlignment="1">
      <alignment horizontal="left" vertical="center" wrapText="1"/>
    </xf>
    <xf numFmtId="49" fontId="67" fillId="23" borderId="0" xfId="0" applyNumberFormat="1" applyFont="1" applyFill="1" applyAlignment="1" applyProtection="1">
      <alignment horizontal="left" vertical="center" wrapText="1"/>
      <protection locked="0"/>
    </xf>
    <xf numFmtId="10" fontId="60" fillId="18" borderId="0" xfId="33" applyNumberFormat="1" applyFont="1" applyFill="1" applyAlignment="1" applyProtection="1">
      <alignment horizontal="center"/>
      <protection locked="0"/>
    </xf>
    <xf numFmtId="179" fontId="60" fillId="18" borderId="0" xfId="0" quotePrefix="1" applyNumberFormat="1" applyFont="1" applyFill="1" applyAlignment="1" applyProtection="1">
      <alignment horizontal="center"/>
      <protection locked="0"/>
    </xf>
    <xf numFmtId="179" fontId="60" fillId="18" borderId="0" xfId="0" applyNumberFormat="1" applyFont="1" applyFill="1" applyAlignment="1" applyProtection="1">
      <alignment horizontal="center"/>
      <protection locked="0"/>
    </xf>
    <xf numFmtId="0" fontId="65" fillId="21" borderId="0" xfId="0" applyFont="1" applyFill="1" applyBorder="1" applyAlignment="1">
      <alignment horizontal="center" vertical="center"/>
    </xf>
    <xf numFmtId="0" fontId="65" fillId="0" borderId="0" xfId="0" applyFont="1" applyAlignment="1">
      <alignment vertical="center"/>
    </xf>
    <xf numFmtId="0" fontId="60" fillId="5" borderId="0" xfId="7" applyNumberFormat="1" applyFont="1" applyFill="1" applyAlignment="1" applyProtection="1">
      <alignment horizontal="center" vertical="center"/>
      <protection locked="0"/>
    </xf>
    <xf numFmtId="181" fontId="60" fillId="5" borderId="0" xfId="7" applyNumberFormat="1" applyFont="1" applyFill="1" applyAlignment="1" applyProtection="1">
      <alignment horizontal="center" vertical="center"/>
      <protection locked="0"/>
    </xf>
    <xf numFmtId="180" fontId="60" fillId="5" borderId="0" xfId="0" applyNumberFormat="1" applyFont="1" applyFill="1" applyAlignment="1" applyProtection="1">
      <alignment horizontal="center" vertical="center"/>
      <protection locked="0"/>
    </xf>
    <xf numFmtId="0" fontId="67" fillId="0" borderId="0" xfId="0" applyFont="1"/>
    <xf numFmtId="0" fontId="68" fillId="7" borderId="0" xfId="0" applyFont="1" applyFill="1" applyAlignment="1">
      <alignment horizontal="center" vertical="center" wrapText="1"/>
    </xf>
    <xf numFmtId="0" fontId="68" fillId="7" borderId="0" xfId="0" applyFont="1" applyFill="1" applyAlignment="1">
      <alignment vertical="center" wrapText="1"/>
    </xf>
    <xf numFmtId="183" fontId="67" fillId="22" borderId="0" xfId="0" applyNumberFormat="1" applyFont="1" applyFill="1" applyAlignment="1">
      <alignment horizontal="center" vertical="center"/>
    </xf>
    <xf numFmtId="0" fontId="69" fillId="0" borderId="0" xfId="0" applyFont="1" applyAlignment="1">
      <alignment wrapText="1"/>
    </xf>
    <xf numFmtId="0" fontId="70" fillId="0" borderId="0" xfId="0" applyFont="1"/>
    <xf numFmtId="0" fontId="71" fillId="0" borderId="0" xfId="0" applyFont="1"/>
    <xf numFmtId="0" fontId="73" fillId="0" borderId="0" xfId="0" applyFont="1" applyAlignment="1">
      <alignment horizontal="center"/>
    </xf>
    <xf numFmtId="0" fontId="72" fillId="0" borderId="0" xfId="0" applyFont="1"/>
    <xf numFmtId="0" fontId="71" fillId="24" borderId="0" xfId="0" applyFont="1" applyFill="1" applyAlignment="1">
      <alignment horizontal="right"/>
    </xf>
    <xf numFmtId="0" fontId="73" fillId="0" borderId="61" xfId="0" applyFont="1" applyBorder="1"/>
    <xf numFmtId="0" fontId="71" fillId="0" borderId="25" xfId="0" applyFont="1" applyBorder="1"/>
    <xf numFmtId="0" fontId="74" fillId="0" borderId="61" xfId="0" applyFont="1" applyBorder="1"/>
    <xf numFmtId="0" fontId="69" fillId="0" borderId="0" xfId="0" applyFont="1"/>
    <xf numFmtId="0" fontId="71" fillId="0" borderId="0" xfId="0" applyFont="1" applyAlignment="1">
      <alignment wrapText="1"/>
    </xf>
    <xf numFmtId="49" fontId="75" fillId="25" borderId="0" xfId="0" applyNumberFormat="1" applyFont="1" applyFill="1" applyAlignment="1">
      <alignment horizontal="center" vertical="center" wrapText="1"/>
    </xf>
    <xf numFmtId="49" fontId="75" fillId="25" borderId="0" xfId="0" applyNumberFormat="1" applyFont="1" applyFill="1" applyAlignment="1">
      <alignment horizontal="left" vertical="center" wrapText="1"/>
    </xf>
    <xf numFmtId="182" fontId="0" fillId="23" borderId="0" xfId="0" applyNumberFormat="1" applyFill="1" applyAlignment="1" applyProtection="1">
      <alignment horizontal="center" vertical="center"/>
      <protection locked="0"/>
    </xf>
    <xf numFmtId="0" fontId="76" fillId="0" borderId="84" xfId="0" applyFont="1" applyBorder="1" applyAlignment="1" applyProtection="1">
      <alignment vertical="center"/>
      <protection locked="0"/>
    </xf>
    <xf numFmtId="0" fontId="71" fillId="0" borderId="0" xfId="0" applyFont="1" applyAlignment="1"/>
    <xf numFmtId="0" fontId="72" fillId="0" borderId="0" xfId="0" applyFont="1" applyFill="1" applyBorder="1"/>
    <xf numFmtId="0" fontId="4" fillId="0" borderId="0" xfId="12" applyFont="1" applyFill="1" applyBorder="1" applyAlignment="1">
      <alignment wrapText="1"/>
    </xf>
    <xf numFmtId="0" fontId="72" fillId="0" borderId="0" xfId="0" applyFont="1" applyFill="1" applyBorder="1" applyAlignment="1">
      <alignment wrapText="1"/>
    </xf>
    <xf numFmtId="0" fontId="72" fillId="0" borderId="0" xfId="0" applyFont="1" applyFill="1" applyBorder="1" applyAlignment="1"/>
    <xf numFmtId="0" fontId="80" fillId="0" borderId="0" xfId="12" quotePrefix="1" applyFont="1" applyFill="1" applyBorder="1" applyAlignment="1">
      <alignment wrapText="1"/>
    </xf>
    <xf numFmtId="0" fontId="80" fillId="0" borderId="0" xfId="12" applyFont="1" applyFill="1" applyBorder="1" applyAlignment="1">
      <alignment wrapText="1"/>
    </xf>
    <xf numFmtId="10" fontId="80"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60" fillId="5" borderId="0" xfId="33" applyNumberFormat="1" applyFont="1" applyFill="1" applyAlignment="1" applyProtection="1">
      <alignment horizontal="center" vertical="center" wrapText="1"/>
      <protection locked="0"/>
    </xf>
    <xf numFmtId="9" fontId="1" fillId="0" borderId="2" xfId="33" applyFont="1" applyBorder="1" applyAlignment="1">
      <alignment vertical="top" wrapText="1"/>
    </xf>
    <xf numFmtId="0" fontId="1" fillId="0" borderId="3" xfId="0" applyFont="1" applyBorder="1" applyAlignment="1">
      <alignment vertical="top" wrapText="1"/>
    </xf>
    <xf numFmtId="9" fontId="1" fillId="0" borderId="3" xfId="33" applyFont="1" applyBorder="1" applyAlignment="1">
      <alignment vertical="top" wrapText="1"/>
    </xf>
    <xf numFmtId="0" fontId="65" fillId="0" borderId="0" xfId="0" applyFont="1" applyAlignment="1">
      <alignment horizontal="left"/>
    </xf>
    <xf numFmtId="49" fontId="81" fillId="0" borderId="0" xfId="0" applyNumberFormat="1" applyFont="1" applyAlignment="1">
      <alignment horizontal="left" vertical="center"/>
    </xf>
    <xf numFmtId="49" fontId="82" fillId="0" borderId="0" xfId="0" applyNumberFormat="1" applyFont="1" applyAlignment="1">
      <alignment horizontal="left"/>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3" fillId="0" borderId="39" xfId="0" applyFont="1" applyBorder="1" applyAlignment="1">
      <alignment horizontal="center" vertical="center"/>
    </xf>
    <xf numFmtId="174" fontId="19" fillId="9" borderId="56" xfId="0" applyNumberFormat="1" applyFont="1" applyFill="1" applyBorder="1" applyAlignment="1" applyProtection="1">
      <alignment horizontal="right" vertical="center"/>
      <protection locked="0"/>
    </xf>
    <xf numFmtId="174" fontId="19" fillId="9" borderId="50" xfId="0" applyNumberFormat="1" applyFont="1" applyFill="1" applyBorder="1" applyAlignment="1" applyProtection="1">
      <alignment horizontal="right" vertical="center"/>
      <protection locked="0"/>
    </xf>
    <xf numFmtId="174" fontId="19" fillId="9" borderId="57"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5" fillId="0" borderId="32" xfId="0" applyFont="1" applyBorder="1" applyAlignment="1">
      <alignment horizontal="center" vertical="center" wrapText="1"/>
    </xf>
    <xf numFmtId="0" fontId="4" fillId="0" borderId="0" xfId="0" applyFont="1"/>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167" fontId="1" fillId="0" borderId="49" xfId="16" applyNumberFormat="1" applyFont="1" applyFill="1" applyBorder="1" applyAlignment="1" applyProtection="1">
      <alignment horizontal="center" vertical="center"/>
    </xf>
    <xf numFmtId="167" fontId="1" fillId="0" borderId="12" xfId="16" applyNumberFormat="1" applyFont="1" applyFill="1" applyBorder="1" applyAlignment="1" applyProtection="1">
      <alignment horizontal="center" vertical="center"/>
    </xf>
    <xf numFmtId="167" fontId="1" fillId="0" borderId="57" xfId="16" applyNumberFormat="1" applyFont="1" applyFill="1" applyBorder="1" applyAlignment="1" applyProtection="1">
      <alignment horizontal="center" vertical="center"/>
    </xf>
    <xf numFmtId="167" fontId="1" fillId="0" borderId="3" xfId="16"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0" borderId="27" xfId="16" applyNumberFormat="1" applyFont="1" applyFill="1" applyBorder="1" applyAlignment="1" applyProtection="1">
      <alignment horizontal="center" vertical="center"/>
    </xf>
    <xf numFmtId="167" fontId="1" fillId="0" borderId="5"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167" fontId="1" fillId="9" borderId="27" xfId="16" applyNumberFormat="1" applyFont="1" applyFill="1" applyBorder="1" applyAlignment="1" applyProtection="1">
      <alignment horizontal="center" vertical="center"/>
      <protection locked="0"/>
    </xf>
    <xf numFmtId="0" fontId="4" fillId="0" borderId="37" xfId="16" applyFont="1" applyBorder="1" applyAlignment="1" applyProtection="1">
      <alignment horizontal="left" vertical="center"/>
    </xf>
    <xf numFmtId="0" fontId="1" fillId="0" borderId="53" xfId="16" applyFont="1" applyBorder="1" applyAlignment="1" applyProtection="1">
      <alignment horizontal="center" vertical="center"/>
    </xf>
    <xf numFmtId="0" fontId="1" fillId="0" borderId="15" xfId="16" applyFont="1" applyBorder="1" applyAlignment="1" applyProtection="1">
      <alignment horizontal="center" vertical="center"/>
    </xf>
    <xf numFmtId="0" fontId="1" fillId="0" borderId="54" xfId="16" applyFont="1" applyBorder="1" applyAlignment="1" applyProtection="1">
      <alignment horizontal="center" vertical="center"/>
    </xf>
    <xf numFmtId="0" fontId="4" fillId="0" borderId="17" xfId="16" applyFont="1" applyBorder="1" applyAlignment="1" applyProtection="1">
      <alignment horizontal="left" vertical="center" wrapText="1"/>
    </xf>
    <xf numFmtId="0" fontId="1" fillId="0" borderId="17" xfId="16" applyFont="1" applyBorder="1" applyAlignment="1" applyProtection="1">
      <alignment horizontal="center" vertical="center"/>
    </xf>
    <xf numFmtId="0" fontId="1" fillId="0" borderId="51" xfId="16" applyFont="1" applyBorder="1" applyProtection="1"/>
    <xf numFmtId="0" fontId="1" fillId="0" borderId="18" xfId="16" applyFont="1" applyBorder="1" applyProtection="1"/>
    <xf numFmtId="0" fontId="1" fillId="0" borderId="52" xfId="16" applyFont="1" applyBorder="1" applyProtection="1"/>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1" fontId="27" fillId="9" borderId="27" xfId="16" applyNumberFormat="1" applyFont="1" applyFill="1" applyBorder="1" applyAlignment="1" applyProtection="1">
      <alignment horizontal="center" vertical="center"/>
      <protection locked="0"/>
    </xf>
    <xf numFmtId="1" fontId="27" fillId="9" borderId="5" xfId="16" applyNumberFormat="1" applyFont="1" applyFill="1" applyBorder="1" applyAlignment="1" applyProtection="1">
      <alignment horizontal="center" vertical="center"/>
      <protection locked="0"/>
    </xf>
    <xf numFmtId="1" fontId="27" fillId="9" borderId="28" xfId="16" applyNumberFormat="1" applyFont="1" applyFill="1" applyBorder="1" applyAlignment="1" applyProtection="1">
      <alignment horizontal="center" vertical="center"/>
      <protection locked="0"/>
    </xf>
    <xf numFmtId="1" fontId="27" fillId="9" borderId="4" xfId="16" applyNumberFormat="1" applyFont="1" applyFill="1" applyBorder="1" applyAlignment="1" applyProtection="1">
      <alignment horizontal="center" vertical="center"/>
      <protection locked="0"/>
    </xf>
    <xf numFmtId="1" fontId="4" fillId="0" borderId="17" xfId="16" applyNumberFormat="1" applyFont="1" applyBorder="1" applyAlignment="1" applyProtection="1">
      <alignment horizontal="center" vertical="center"/>
    </xf>
    <xf numFmtId="1" fontId="4" fillId="0" borderId="0" xfId="16" applyNumberFormat="1" applyFont="1" applyBorder="1" applyAlignment="1" applyProtection="1">
      <alignment horizontal="center" vertical="center"/>
    </xf>
    <xf numFmtId="1" fontId="4" fillId="0" borderId="22" xfId="16" applyNumberFormat="1" applyFont="1" applyBorder="1" applyAlignment="1" applyProtection="1">
      <alignment horizontal="center" vertical="center"/>
    </xf>
    <xf numFmtId="1" fontId="1" fillId="0" borderId="0" xfId="16" applyNumberFormat="1" applyFont="1" applyBorder="1" applyAlignment="1" applyProtection="1">
      <alignment horizontal="center" vertical="center"/>
    </xf>
    <xf numFmtId="1" fontId="1" fillId="0" borderId="22" xfId="16" applyNumberFormat="1" applyFont="1" applyBorder="1" applyAlignment="1" applyProtection="1">
      <alignment horizontal="center" vertical="center"/>
    </xf>
    <xf numFmtId="1" fontId="27" fillId="9" borderId="55" xfId="16" applyNumberFormat="1" applyFont="1" applyFill="1" applyBorder="1" applyAlignment="1" applyProtection="1">
      <alignment horizontal="center" vertical="center"/>
      <protection locked="0"/>
    </xf>
    <xf numFmtId="1" fontId="27" fillId="9" borderId="8" xfId="16" applyNumberFormat="1" applyFont="1" applyFill="1" applyBorder="1" applyAlignment="1" applyProtection="1">
      <alignment horizontal="center" vertical="center"/>
      <protection locked="0"/>
    </xf>
    <xf numFmtId="1" fontId="27" fillId="9" borderId="56" xfId="16" applyNumberFormat="1" applyFont="1" applyFill="1" applyBorder="1" applyAlignment="1" applyProtection="1">
      <alignment horizontal="center" vertical="center"/>
      <protection locked="0"/>
    </xf>
    <xf numFmtId="1" fontId="27" fillId="9" borderId="1" xfId="16" applyNumberFormat="1" applyFont="1" applyFill="1" applyBorder="1" applyAlignment="1" applyProtection="1">
      <alignment horizontal="center" vertical="center"/>
      <protection locked="0"/>
    </xf>
    <xf numFmtId="1" fontId="4" fillId="10" borderId="27" xfId="16" applyNumberFormat="1" applyFont="1" applyFill="1" applyBorder="1" applyAlignment="1" applyProtection="1">
      <alignment horizontal="center" vertical="center"/>
    </xf>
    <xf numFmtId="1" fontId="4" fillId="10" borderId="4" xfId="16" applyNumberFormat="1" applyFont="1" applyFill="1" applyBorder="1" applyAlignment="1" applyProtection="1">
      <alignment horizontal="center" vertical="center"/>
    </xf>
    <xf numFmtId="1" fontId="4" fillId="10" borderId="28" xfId="16" applyNumberFormat="1" applyFont="1" applyFill="1" applyBorder="1" applyAlignment="1" applyProtection="1">
      <alignment horizontal="center" vertical="center"/>
    </xf>
    <xf numFmtId="1" fontId="4" fillId="10" borderId="5" xfId="16" applyNumberFormat="1" applyFont="1" applyFill="1" applyBorder="1" applyAlignment="1" applyProtection="1">
      <alignment horizontal="center" vertical="center"/>
    </xf>
    <xf numFmtId="0" fontId="4" fillId="0" borderId="40" xfId="16" applyFont="1" applyBorder="1" applyAlignment="1" applyProtection="1">
      <alignment horizontal="left" vertical="center" wrapText="1"/>
    </xf>
    <xf numFmtId="1" fontId="4" fillId="10" borderId="29" xfId="16" applyNumberFormat="1" applyFont="1" applyFill="1" applyBorder="1" applyAlignment="1" applyProtection="1">
      <alignment horizontal="center" vertical="center"/>
    </xf>
    <xf numFmtId="1" fontId="4" fillId="10" borderId="30" xfId="16" applyNumberFormat="1" applyFont="1" applyFill="1" applyBorder="1" applyAlignment="1" applyProtection="1">
      <alignment horizontal="center" vertical="center"/>
    </xf>
    <xf numFmtId="1" fontId="4" fillId="10" borderId="31" xfId="16" applyNumberFormat="1" applyFont="1" applyFill="1" applyBorder="1" applyAlignment="1" applyProtection="1">
      <alignment horizontal="center" vertical="center"/>
    </xf>
    <xf numFmtId="1" fontId="4" fillId="10" borderId="45" xfId="16" applyNumberFormat="1" applyFont="1" applyFill="1" applyBorder="1" applyAlignment="1" applyProtection="1">
      <alignment horizontal="center" vertical="center"/>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167" fontId="1" fillId="10" borderId="5" xfId="16" applyNumberFormat="1" applyFont="1" applyFill="1" applyBorder="1" applyAlignment="1" applyProtection="1">
      <alignment horizontal="center" vertical="center"/>
    </xf>
    <xf numFmtId="0" fontId="1" fillId="0" borderId="43" xfId="16" applyFont="1" applyBorder="1" applyAlignment="1" applyProtection="1">
      <alignment horizontal="center" vertical="center"/>
    </xf>
    <xf numFmtId="0" fontId="1" fillId="0" borderId="16" xfId="16" applyFont="1" applyBorder="1" applyAlignment="1" applyProtection="1">
      <alignment horizontal="center" vertical="center"/>
    </xf>
    <xf numFmtId="0" fontId="1" fillId="0" borderId="44" xfId="16" applyFont="1" applyBorder="1" applyAlignment="1" applyProtection="1">
      <alignment horizontal="center" vertical="center"/>
    </xf>
    <xf numFmtId="0" fontId="1" fillId="0" borderId="43" xfId="16" applyFont="1" applyFill="1" applyBorder="1" applyAlignment="1" applyProtection="1">
      <alignment horizontal="center" vertical="center"/>
    </xf>
    <xf numFmtId="164" fontId="4" fillId="10" borderId="28" xfId="33" applyNumberFormat="1" applyFont="1" applyFill="1" applyBorder="1" applyAlignment="1" applyProtection="1">
      <alignment horizontal="center" vertical="center"/>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21" fillId="0" borderId="0" xfId="0" applyFont="1" applyProtection="1"/>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4" fillId="0" borderId="20" xfId="16" applyFont="1" applyBorder="1" applyAlignment="1" applyProtection="1">
      <alignment horizontal="left" vertical="center" indent="1"/>
    </xf>
    <xf numFmtId="164" fontId="4" fillId="10" borderId="31" xfId="33" applyNumberFormat="1" applyFont="1" applyFill="1" applyBorder="1" applyAlignment="1" applyProtection="1">
      <alignment horizontal="center" vertical="center"/>
    </xf>
    <xf numFmtId="0" fontId="1" fillId="0" borderId="0" xfId="16" applyFont="1" applyAlignment="1" applyProtection="1">
      <alignment horizontal="center" vertical="center"/>
    </xf>
    <xf numFmtId="167" fontId="1" fillId="10" borderId="49" xfId="16" applyNumberFormat="1" applyFont="1" applyFill="1" applyBorder="1" applyAlignment="1" applyProtection="1">
      <alignment horizontal="center" vertical="center"/>
    </xf>
    <xf numFmtId="167" fontId="1" fillId="10" borderId="3" xfId="16" applyNumberFormat="1" applyFont="1" applyFill="1" applyBorder="1" applyAlignment="1" applyProtection="1">
      <alignment horizontal="center" vertical="center"/>
    </xf>
    <xf numFmtId="167" fontId="1" fillId="10" borderId="57" xfId="16" applyNumberFormat="1" applyFont="1" applyFill="1" applyBorder="1" applyAlignment="1" applyProtection="1">
      <alignment horizontal="center" vertical="center"/>
    </xf>
    <xf numFmtId="164" fontId="1" fillId="10" borderId="57" xfId="33" applyNumberFormat="1" applyFont="1" applyFill="1" applyBorder="1" applyAlignment="1" applyProtection="1">
      <alignment horizontal="center" vertical="center"/>
    </xf>
    <xf numFmtId="167" fontId="1" fillId="0" borderId="29" xfId="16" applyNumberFormat="1" applyFont="1" applyFill="1" applyBorder="1" applyAlignment="1" applyProtection="1">
      <alignment horizontal="center" vertical="center"/>
    </xf>
    <xf numFmtId="167" fontId="1" fillId="0" borderId="45" xfId="16" applyNumberFormat="1" applyFont="1" applyFill="1" applyBorder="1" applyAlignment="1" applyProtection="1">
      <alignment horizontal="center" vertical="center"/>
    </xf>
    <xf numFmtId="167" fontId="1" fillId="0" borderId="31" xfId="16" applyNumberFormat="1" applyFont="1" applyFill="1" applyBorder="1" applyAlignment="1" applyProtection="1">
      <alignment horizontal="center" vertical="center"/>
    </xf>
    <xf numFmtId="167" fontId="1" fillId="0" borderId="30" xfId="16" applyNumberFormat="1" applyFont="1" applyFill="1" applyBorder="1" applyAlignment="1" applyProtection="1">
      <alignment horizontal="center" vertical="center"/>
    </xf>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7" fontId="1" fillId="0" borderId="17" xfId="16" applyNumberFormat="1" applyFont="1" applyFill="1" applyBorder="1" applyAlignment="1" applyProtection="1">
      <alignment horizontal="center" vertical="center"/>
    </xf>
    <xf numFmtId="167" fontId="1" fillId="0" borderId="0" xfId="16" applyNumberFormat="1" applyFont="1" applyFill="1" applyBorder="1" applyAlignment="1" applyProtection="1">
      <alignment horizontal="center" vertical="center"/>
    </xf>
    <xf numFmtId="167" fontId="1" fillId="0" borderId="22"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27" fillId="9" borderId="4" xfId="16" applyFont="1" applyFill="1" applyBorder="1" applyAlignment="1" applyProtection="1">
      <alignment horizontal="left" vertical="center"/>
      <protection locked="0"/>
    </xf>
    <xf numFmtId="0" fontId="27" fillId="9" borderId="43" xfId="16" applyNumberFormat="1" applyFont="1" applyFill="1" applyBorder="1" applyAlignment="1" applyProtection="1">
      <alignment horizontal="left" vertical="center"/>
      <protection locked="0"/>
    </xf>
    <xf numFmtId="0" fontId="5" fillId="0" borderId="0" xfId="16" applyAlignment="1" applyProtection="1">
      <alignment horizontal="left"/>
      <protection locked="0"/>
    </xf>
    <xf numFmtId="0" fontId="27" fillId="9" borderId="1" xfId="16" applyFont="1" applyFill="1" applyBorder="1" applyAlignment="1" applyProtection="1">
      <alignment horizontal="left" vertical="center"/>
      <protection locked="0"/>
    </xf>
    <xf numFmtId="0" fontId="27" fillId="9" borderId="53" xfId="16" applyNumberFormat="1" applyFont="1" applyFill="1" applyBorder="1" applyAlignment="1" applyProtection="1">
      <alignment horizontal="left" vertical="center"/>
      <protection locked="0"/>
    </xf>
    <xf numFmtId="0" fontId="5" fillId="0" borderId="0" xfId="16" applyAlignment="1" applyProtection="1">
      <alignment horizontal="left"/>
    </xf>
    <xf numFmtId="0" fontId="5" fillId="10" borderId="43" xfId="16" applyFill="1" applyBorder="1" applyProtection="1">
      <protection locked="0"/>
    </xf>
    <xf numFmtId="0" fontId="5" fillId="26" borderId="43" xfId="16" applyFill="1" applyBorder="1" applyProtection="1">
      <protection locked="0"/>
    </xf>
    <xf numFmtId="2" fontId="5" fillId="10" borderId="44" xfId="16" applyNumberFormat="1" applyFill="1" applyBorder="1" applyAlignment="1" applyProtection="1">
      <alignment horizontal="center" vertical="center"/>
      <protection locked="0"/>
    </xf>
    <xf numFmtId="2" fontId="5" fillId="11" borderId="15" xfId="16" applyNumberFormat="1" applyFill="1" applyBorder="1" applyAlignment="1" applyProtection="1">
      <alignment horizontal="center" vertical="center"/>
      <protection locked="0"/>
    </xf>
    <xf numFmtId="2" fontId="5" fillId="11" borderId="66" xfId="16" applyNumberFormat="1" applyFill="1" applyBorder="1" applyAlignment="1" applyProtection="1">
      <alignment horizontal="center" vertical="center"/>
      <protection locked="0"/>
    </xf>
    <xf numFmtId="0" fontId="5" fillId="11" borderId="66" xfId="16" applyFill="1" applyBorder="1" applyAlignment="1" applyProtection="1">
      <alignment horizontal="left" vertical="center"/>
      <protection locked="0"/>
    </xf>
    <xf numFmtId="0" fontId="5" fillId="0" borderId="0" xfId="16" applyFill="1" applyBorder="1" applyProtection="1">
      <protection locked="0"/>
    </xf>
    <xf numFmtId="0" fontId="27" fillId="0" borderId="0" xfId="16" applyFont="1" applyFill="1" applyBorder="1" applyAlignment="1" applyProtection="1">
      <alignment horizontal="left" vertical="center"/>
      <protection locked="0"/>
    </xf>
    <xf numFmtId="0" fontId="27" fillId="0" borderId="0" xfId="16" applyFont="1" applyFill="1" applyBorder="1" applyAlignment="1" applyProtection="1">
      <alignment horizontal="center" vertical="center"/>
      <protection locked="0"/>
    </xf>
    <xf numFmtId="166" fontId="27" fillId="0" borderId="0" xfId="16" applyNumberFormat="1" applyFont="1" applyFill="1" applyBorder="1" applyAlignment="1" applyProtection="1">
      <alignment horizontal="center" vertical="center"/>
      <protection locked="0"/>
    </xf>
    <xf numFmtId="167" fontId="1" fillId="0" borderId="0" xfId="16" applyNumberFormat="1" applyFont="1" applyFill="1" applyBorder="1" applyAlignment="1" applyProtection="1">
      <alignment horizontal="center" vertical="center"/>
      <protection locked="0"/>
    </xf>
    <xf numFmtId="0" fontId="5" fillId="0" borderId="0" xfId="16" applyFill="1" applyBorder="1" applyAlignment="1" applyProtection="1">
      <alignment horizontal="left"/>
      <protection locked="0"/>
    </xf>
    <xf numFmtId="1" fontId="27" fillId="9" borderId="30" xfId="13" applyNumberFormat="1" applyFont="1" applyFill="1" applyBorder="1" applyAlignment="1" applyProtection="1">
      <alignment horizontal="center"/>
      <protection locked="0"/>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83" fillId="10" borderId="29" xfId="28" applyNumberFormat="1" applyFont="1" applyFill="1" applyBorder="1" applyAlignment="1" applyProtection="1">
      <alignment horizontal="center" vertical="center"/>
    </xf>
    <xf numFmtId="167" fontId="83" fillId="10" borderId="30" xfId="28" applyNumberFormat="1" applyFont="1" applyFill="1" applyBorder="1" applyAlignment="1" applyProtection="1">
      <alignment horizontal="center" vertical="center"/>
    </xf>
    <xf numFmtId="167" fontId="83" fillId="10" borderId="31" xfId="28"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1"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13" fillId="10" borderId="74" xfId="28" applyNumberFormat="1" applyFont="1" applyFill="1" applyBorder="1" applyAlignment="1" applyProtection="1">
      <alignment horizontal="center" vertical="center"/>
    </xf>
    <xf numFmtId="167" fontId="13" fillId="10" borderId="72" xfId="28" applyNumberFormat="1" applyFont="1" applyFill="1" applyBorder="1" applyAlignment="1" applyProtection="1">
      <alignment horizontal="center" vertical="center"/>
    </xf>
    <xf numFmtId="167" fontId="13" fillId="10" borderId="73" xfId="28" applyNumberFormat="1" applyFont="1" applyFill="1" applyBorder="1" applyAlignment="1" applyProtection="1">
      <alignment horizontal="center" vertical="center"/>
    </xf>
    <xf numFmtId="167" fontId="13" fillId="10" borderId="68" xfId="28" applyNumberFormat="1" applyFont="1" applyFill="1" applyBorder="1" applyAlignment="1" applyProtection="1">
      <alignment horizontal="center" vertical="center"/>
    </xf>
    <xf numFmtId="167" fontId="13" fillId="10" borderId="45" xfId="28" applyNumberFormat="1" applyFont="1" applyFill="1" applyBorder="1" applyAlignment="1" applyProtection="1">
      <alignment horizontal="center" vertical="center"/>
    </xf>
    <xf numFmtId="167" fontId="13" fillId="10" borderId="30" xfId="28" applyNumberFormat="1" applyFont="1" applyFill="1" applyBorder="1" applyAlignment="1" applyProtection="1">
      <alignment horizontal="center" vertical="center"/>
    </xf>
    <xf numFmtId="167" fontId="13" fillId="10" borderId="31" xfId="28" applyNumberFormat="1" applyFont="1" applyFill="1" applyBorder="1" applyAlignment="1" applyProtection="1">
      <alignment horizontal="center" vertical="center"/>
    </xf>
    <xf numFmtId="167" fontId="13"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8" fillId="10" borderId="45" xfId="28" applyNumberFormat="1" applyFont="1" applyFill="1" applyBorder="1" applyAlignment="1" applyProtection="1">
      <alignment horizontal="center" vertical="center"/>
    </xf>
    <xf numFmtId="167" fontId="8" fillId="10" borderId="60" xfId="28" applyNumberFormat="1" applyFont="1" applyFill="1" applyBorder="1" applyAlignment="1" applyProtection="1">
      <alignment horizontal="center" vertical="center"/>
    </xf>
    <xf numFmtId="167" fontId="8" fillId="10" borderId="29"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174" fontId="19" fillId="9" borderId="62" xfId="0" applyNumberFormat="1" applyFont="1" applyFill="1" applyBorder="1" applyAlignment="1" applyProtection="1">
      <alignment horizontal="right"/>
      <protection locked="0"/>
    </xf>
    <xf numFmtId="0" fontId="8" fillId="0" borderId="0" xfId="0" applyFont="1" applyBorder="1" applyAlignment="1"/>
    <xf numFmtId="174" fontId="19" fillId="9" borderId="38" xfId="0" applyNumberFormat="1" applyFont="1" applyFill="1" applyBorder="1" applyAlignment="1" applyProtection="1">
      <alignment horizontal="right"/>
      <protection locked="0"/>
    </xf>
    <xf numFmtId="174" fontId="19" fillId="9" borderId="49" xfId="0" applyNumberFormat="1" applyFont="1" applyFill="1" applyBorder="1" applyAlignment="1" applyProtection="1">
      <alignment horizontal="right"/>
      <protection locked="0"/>
    </xf>
    <xf numFmtId="174" fontId="19" fillId="9" borderId="11" xfId="0" applyNumberFormat="1" applyFont="1" applyFill="1" applyBorder="1" applyAlignment="1" applyProtection="1">
      <alignment horizontal="right"/>
      <protection locked="0"/>
    </xf>
    <xf numFmtId="174" fontId="8" fillId="2" borderId="63" xfId="0" applyNumberFormat="1" applyFont="1" applyFill="1" applyBorder="1" applyAlignment="1">
      <alignment horizontal="right"/>
    </xf>
    <xf numFmtId="174" fontId="19" fillId="9" borderId="64" xfId="0" applyNumberFormat="1" applyFont="1" applyFill="1" applyBorder="1" applyAlignment="1" applyProtection="1">
      <alignment horizontal="right"/>
      <protection locked="0"/>
    </xf>
    <xf numFmtId="174" fontId="19" fillId="9" borderId="63" xfId="0" applyNumberFormat="1" applyFont="1" applyFill="1" applyBorder="1" applyAlignment="1" applyProtection="1">
      <alignment horizontal="right"/>
      <protection locked="0"/>
    </xf>
    <xf numFmtId="174" fontId="19" fillId="9" borderId="27" xfId="0" applyNumberFormat="1" applyFont="1" applyFill="1" applyBorder="1" applyAlignment="1" applyProtection="1">
      <alignment horizontal="right"/>
      <protection locked="0"/>
    </xf>
    <xf numFmtId="174" fontId="19" fillId="9" borderId="7" xfId="0" applyNumberFormat="1" applyFont="1" applyFill="1" applyBorder="1" applyAlignment="1" applyProtection="1">
      <alignment horizontal="right"/>
      <protection locked="0"/>
    </xf>
    <xf numFmtId="174" fontId="8" fillId="2" borderId="38" xfId="0" applyNumberFormat="1" applyFont="1" applyFill="1" applyBorder="1" applyAlignment="1">
      <alignment horizontal="right"/>
    </xf>
    <xf numFmtId="174" fontId="19" fillId="9" borderId="55" xfId="0" applyNumberFormat="1" applyFont="1" applyFill="1" applyBorder="1" applyAlignment="1" applyProtection="1">
      <alignment horizontal="right"/>
      <protection locked="0"/>
    </xf>
    <xf numFmtId="174" fontId="19" fillId="9" borderId="6" xfId="0" applyNumberFormat="1" applyFont="1" applyFill="1" applyBorder="1" applyAlignment="1" applyProtection="1">
      <alignment horizontal="right"/>
      <protection locked="0"/>
    </xf>
    <xf numFmtId="174" fontId="8" fillId="2" borderId="66" xfId="0" applyNumberFormat="1" applyFont="1" applyFill="1" applyBorder="1" applyAlignment="1">
      <alignment horizontal="right"/>
    </xf>
    <xf numFmtId="174" fontId="19" fillId="9" borderId="66" xfId="0" applyNumberFormat="1" applyFont="1" applyFill="1" applyBorder="1" applyAlignment="1" applyProtection="1">
      <alignment horizontal="right"/>
      <protection locked="0"/>
    </xf>
    <xf numFmtId="174" fontId="19" fillId="9" borderId="67" xfId="0" applyNumberFormat="1" applyFont="1" applyFill="1" applyBorder="1" applyAlignment="1" applyProtection="1">
      <alignment horizontal="right"/>
      <protection locked="0"/>
    </xf>
    <xf numFmtId="174" fontId="19" fillId="9" borderId="76" xfId="0" applyNumberFormat="1" applyFont="1" applyFill="1" applyBorder="1" applyAlignment="1" applyProtection="1">
      <alignment horizontal="right"/>
      <protection locked="0"/>
    </xf>
    <xf numFmtId="174" fontId="8" fillId="2" borderId="62" xfId="0" applyNumberFormat="1" applyFont="1" applyFill="1" applyBorder="1" applyAlignment="1">
      <alignment horizontal="right"/>
    </xf>
    <xf numFmtId="174" fontId="19" fillId="9" borderId="29" xfId="0" applyNumberFormat="1" applyFont="1" applyFill="1" applyBorder="1" applyAlignment="1" applyProtection="1">
      <alignment horizontal="right"/>
      <protection locked="0"/>
    </xf>
    <xf numFmtId="174" fontId="19" fillId="9" borderId="65" xfId="0" applyNumberFormat="1" applyFont="1" applyFill="1" applyBorder="1" applyAlignment="1" applyProtection="1">
      <alignment horizontal="right"/>
      <protection locked="0"/>
    </xf>
    <xf numFmtId="174" fontId="8" fillId="2" borderId="64" xfId="0" applyNumberFormat="1" applyFont="1" applyFill="1" applyBorder="1" applyAlignment="1">
      <alignment horizontal="right"/>
    </xf>
    <xf numFmtId="174" fontId="19" fillId="9" borderId="82" xfId="0" applyNumberFormat="1" applyFont="1" applyFill="1" applyBorder="1" applyAlignment="1" applyProtection="1">
      <alignment horizontal="right"/>
      <protection locked="0"/>
    </xf>
    <xf numFmtId="174" fontId="19" fillId="9" borderId="28" xfId="0" applyNumberFormat="1" applyFont="1" applyFill="1" applyBorder="1" applyAlignment="1" applyProtection="1">
      <alignment horizontal="right"/>
      <protection locked="0"/>
    </xf>
    <xf numFmtId="174" fontId="19" fillId="9" borderId="56" xfId="0" applyNumberFormat="1" applyFont="1" applyFill="1" applyBorder="1" applyAlignment="1" applyProtection="1">
      <alignment horizontal="right"/>
      <protection locked="0"/>
    </xf>
    <xf numFmtId="174" fontId="19" fillId="9" borderId="68" xfId="0" applyNumberFormat="1" applyFont="1" applyFill="1" applyBorder="1" applyAlignment="1" applyProtection="1">
      <alignment horizontal="right"/>
      <protection locked="0"/>
    </xf>
    <xf numFmtId="174" fontId="19" fillId="9" borderId="25" xfId="0" applyNumberFormat="1" applyFont="1" applyFill="1" applyBorder="1" applyAlignment="1" applyProtection="1">
      <alignment horizontal="right"/>
      <protection locked="0"/>
    </xf>
    <xf numFmtId="174" fontId="8" fillId="2" borderId="61" xfId="0" applyNumberFormat="1" applyFont="1" applyFill="1" applyBorder="1" applyAlignment="1">
      <alignment horizontal="right"/>
    </xf>
    <xf numFmtId="174" fontId="19" fillId="9" borderId="61" xfId="0" applyNumberFormat="1" applyFont="1" applyFill="1" applyBorder="1" applyAlignment="1" applyProtection="1">
      <alignment horizontal="right"/>
      <protection locked="0"/>
    </xf>
    <xf numFmtId="174" fontId="19" fillId="11" borderId="20" xfId="0" applyNumberFormat="1" applyFont="1" applyFill="1" applyBorder="1" applyAlignment="1">
      <alignment horizontal="right"/>
    </xf>
    <xf numFmtId="174" fontId="19" fillId="11" borderId="21" xfId="0" applyNumberFormat="1" applyFont="1" applyFill="1" applyBorder="1" applyAlignment="1">
      <alignment horizontal="right"/>
    </xf>
    <xf numFmtId="174" fontId="8" fillId="11" borderId="39" xfId="0" applyNumberFormat="1" applyFont="1" applyFill="1" applyBorder="1" applyAlignment="1">
      <alignment horizontal="right"/>
    </xf>
    <xf numFmtId="174" fontId="19" fillId="9" borderId="39" xfId="0" applyNumberFormat="1" applyFont="1" applyFill="1" applyBorder="1" applyAlignment="1" applyProtection="1">
      <alignment horizontal="right"/>
      <protection locked="0"/>
    </xf>
    <xf numFmtId="174" fontId="19" fillId="9" borderId="73" xfId="0" applyNumberFormat="1" applyFont="1" applyFill="1" applyBorder="1" applyAlignment="1" applyProtection="1">
      <alignment horizontal="right"/>
      <protection locked="0"/>
    </xf>
    <xf numFmtId="174" fontId="19" fillId="11" borderId="61" xfId="0" applyNumberFormat="1" applyFont="1" applyFill="1" applyBorder="1" applyAlignment="1" applyProtection="1">
      <alignment horizontal="right"/>
    </xf>
    <xf numFmtId="174" fontId="8" fillId="11" borderId="61" xfId="0" applyNumberFormat="1" applyFont="1" applyFill="1" applyBorder="1" applyAlignment="1" applyProtection="1">
      <alignment horizontal="right"/>
    </xf>
    <xf numFmtId="174" fontId="19" fillId="9" borderId="23" xfId="0" applyNumberFormat="1" applyFont="1" applyFill="1" applyBorder="1" applyAlignment="1" applyProtection="1">
      <alignment horizontal="right"/>
      <protection locked="0"/>
    </xf>
    <xf numFmtId="174" fontId="13" fillId="2" borderId="39" xfId="0" applyNumberFormat="1" applyFont="1" applyFill="1" applyBorder="1" applyAlignment="1">
      <alignment horizontal="right"/>
    </xf>
    <xf numFmtId="0" fontId="13" fillId="0" borderId="0" xfId="0" applyFont="1" applyBorder="1" applyAlignment="1"/>
    <xf numFmtId="174" fontId="19" fillId="9" borderId="52" xfId="0" applyNumberFormat="1" applyFont="1" applyFill="1" applyBorder="1" applyAlignment="1" applyProtection="1">
      <alignment horizontal="right"/>
      <protection locked="0"/>
    </xf>
    <xf numFmtId="174" fontId="19" fillId="9" borderId="54" xfId="0" applyNumberFormat="1" applyFont="1" applyFill="1" applyBorder="1" applyAlignment="1" applyProtection="1">
      <alignment horizontal="right"/>
      <protection locked="0"/>
    </xf>
    <xf numFmtId="174" fontId="13" fillId="2" borderId="26" xfId="0" applyNumberFormat="1" applyFont="1" applyFill="1" applyBorder="1" applyAlignment="1">
      <alignment horizontal="right"/>
    </xf>
    <xf numFmtId="174" fontId="19" fillId="9" borderId="5" xfId="0" applyNumberFormat="1" applyFont="1" applyFill="1" applyBorder="1" applyAlignment="1" applyProtection="1">
      <protection locked="0"/>
    </xf>
    <xf numFmtId="174" fontId="19" fillId="9" borderId="38" xfId="0" applyNumberFormat="1" applyFont="1" applyFill="1" applyBorder="1" applyAlignment="1" applyProtection="1">
      <protection locked="0"/>
    </xf>
    <xf numFmtId="174" fontId="8" fillId="2" borderId="63" xfId="0" applyNumberFormat="1" applyFont="1" applyFill="1" applyBorder="1" applyAlignment="1"/>
    <xf numFmtId="174" fontId="19" fillId="9" borderId="64" xfId="0" applyNumberFormat="1" applyFont="1" applyFill="1" applyBorder="1" applyAlignment="1" applyProtection="1">
      <protection locked="0"/>
    </xf>
    <xf numFmtId="174" fontId="8" fillId="2" borderId="64" xfId="0" applyNumberFormat="1" applyFont="1" applyFill="1" applyBorder="1" applyAlignment="1"/>
    <xf numFmtId="174" fontId="8" fillId="2" borderId="61" xfId="0" applyNumberFormat="1" applyFont="1" applyFill="1" applyBorder="1" applyAlignment="1"/>
    <xf numFmtId="174" fontId="13" fillId="2" borderId="62" xfId="0" applyNumberFormat="1" applyFont="1" applyFill="1" applyBorder="1" applyAlignment="1"/>
    <xf numFmtId="174" fontId="13" fillId="2" borderId="64" xfId="0" applyNumberFormat="1" applyFont="1" applyFill="1" applyBorder="1" applyAlignment="1"/>
    <xf numFmtId="174" fontId="0" fillId="2" borderId="61" xfId="0" applyNumberFormat="1" applyFill="1" applyBorder="1" applyAlignment="1"/>
    <xf numFmtId="174" fontId="8" fillId="0" borderId="38" xfId="0" applyNumberFormat="1" applyFont="1" applyFill="1" applyBorder="1" applyAlignment="1" applyProtection="1">
      <protection locked="0"/>
    </xf>
    <xf numFmtId="174" fontId="26" fillId="9" borderId="17" xfId="0" applyNumberFormat="1" applyFont="1" applyFill="1" applyBorder="1" applyAlignment="1" applyProtection="1">
      <protection locked="0"/>
    </xf>
    <xf numFmtId="174" fontId="14" fillId="0" borderId="22" xfId="0" applyNumberFormat="1" applyFont="1" applyFill="1" applyBorder="1" applyAlignment="1" applyProtection="1"/>
    <xf numFmtId="174" fontId="26" fillId="9" borderId="51" xfId="0" applyNumberFormat="1" applyFont="1" applyFill="1" applyBorder="1" applyAlignment="1" applyProtection="1">
      <protection locked="0"/>
    </xf>
    <xf numFmtId="174" fontId="14" fillId="0" borderId="17" xfId="0" applyNumberFormat="1" applyFont="1" applyFill="1" applyBorder="1" applyAlignment="1" applyProtection="1"/>
    <xf numFmtId="174" fontId="26" fillId="0" borderId="22" xfId="0" applyNumberFormat="1" applyFont="1" applyFill="1" applyBorder="1" applyAlignment="1" applyProtection="1"/>
    <xf numFmtId="174" fontId="14" fillId="0" borderId="20" xfId="0" applyNumberFormat="1" applyFont="1" applyFill="1" applyBorder="1" applyAlignment="1" applyProtection="1"/>
    <xf numFmtId="174" fontId="15" fillId="2" borderId="85" xfId="0" applyNumberFormat="1" applyFont="1" applyFill="1" applyBorder="1" applyAlignment="1" applyProtection="1"/>
    <xf numFmtId="174" fontId="26" fillId="9" borderId="33" xfId="0" applyNumberFormat="1" applyFont="1" applyFill="1" applyBorder="1" applyAlignment="1" applyProtection="1">
      <protection locked="0"/>
    </xf>
    <xf numFmtId="174" fontId="15" fillId="2" borderId="77" xfId="0" applyNumberFormat="1" applyFont="1" applyFill="1" applyBorder="1" applyAlignment="1" applyProtection="1">
      <protection locked="0"/>
    </xf>
    <xf numFmtId="174" fontId="26" fillId="9" borderId="9" xfId="0" applyNumberFormat="1" applyFont="1" applyFill="1" applyBorder="1" applyAlignment="1" applyProtection="1">
      <alignment horizontal="right"/>
      <protection locked="0"/>
    </xf>
    <xf numFmtId="174" fontId="14" fillId="2" borderId="2" xfId="27" applyNumberFormat="1" applyFont="1" applyFill="1" applyBorder="1"/>
    <xf numFmtId="178" fontId="41" fillId="9" borderId="1" xfId="0" applyNumberFormat="1" applyFont="1" applyFill="1" applyBorder="1" applyAlignment="1" applyProtection="1">
      <alignment horizontal="left"/>
      <protection locked="0"/>
    </xf>
    <xf numFmtId="178" fontId="41" fillId="9" borderId="2" xfId="0" applyNumberFormat="1" applyFont="1" applyFill="1" applyBorder="1" applyAlignment="1" applyProtection="1">
      <alignment horizontal="left"/>
      <protection locked="0"/>
    </xf>
    <xf numFmtId="178" fontId="41" fillId="9" borderId="3" xfId="0" applyNumberFormat="1" applyFont="1" applyFill="1" applyBorder="1" applyAlignment="1" applyProtection="1">
      <alignment horizontal="left"/>
      <protection locked="0"/>
    </xf>
    <xf numFmtId="174" fontId="15" fillId="2" borderId="38" xfId="0" applyNumberFormat="1" applyFont="1" applyFill="1" applyBorder="1" applyAlignment="1" applyProtection="1"/>
    <xf numFmtId="0" fontId="14" fillId="0" borderId="0" xfId="0" applyFont="1" applyFill="1" applyBorder="1" applyAlignment="1"/>
    <xf numFmtId="174" fontId="14" fillId="2" borderId="33" xfId="0" applyNumberFormat="1" applyFont="1" applyFill="1" applyBorder="1" applyAlignment="1" applyProtection="1"/>
    <xf numFmtId="174" fontId="26" fillId="9" borderId="37" xfId="0" applyNumberFormat="1" applyFont="1" applyFill="1" applyBorder="1" applyAlignment="1" applyProtection="1">
      <protection locked="0"/>
    </xf>
    <xf numFmtId="174" fontId="26" fillId="9" borderId="10" xfId="0" applyNumberFormat="1" applyFont="1" applyFill="1" applyBorder="1" applyAlignment="1" applyProtection="1">
      <protection locked="0"/>
    </xf>
    <xf numFmtId="174" fontId="26" fillId="9" borderId="2" xfId="0" applyNumberFormat="1" applyFont="1" applyFill="1" applyBorder="1" applyAlignment="1" applyProtection="1">
      <protection locked="0"/>
    </xf>
    <xf numFmtId="174" fontId="26" fillId="9" borderId="22" xfId="0" applyNumberFormat="1" applyFont="1" applyFill="1" applyBorder="1" applyAlignment="1" applyProtection="1">
      <protection locked="0"/>
    </xf>
    <xf numFmtId="174" fontId="26" fillId="9" borderId="49" xfId="0" applyNumberFormat="1" applyFont="1" applyFill="1" applyBorder="1" applyAlignment="1" applyProtection="1">
      <protection locked="0"/>
    </xf>
    <xf numFmtId="174" fontId="26" fillId="9" borderId="12" xfId="0" applyNumberFormat="1" applyFont="1" applyFill="1" applyBorder="1" applyAlignment="1" applyProtection="1">
      <protection locked="0"/>
    </xf>
    <xf numFmtId="174" fontId="26" fillId="9" borderId="3" xfId="0" applyNumberFormat="1" applyFont="1" applyFill="1" applyBorder="1" applyAlignment="1" applyProtection="1">
      <protection locked="0"/>
    </xf>
    <xf numFmtId="174" fontId="26" fillId="9" borderId="52" xfId="0" applyNumberFormat="1" applyFont="1" applyFill="1" applyBorder="1" applyAlignment="1" applyProtection="1">
      <protection locked="0"/>
    </xf>
    <xf numFmtId="174" fontId="15" fillId="2" borderId="64" xfId="0" applyNumberFormat="1" applyFont="1" applyFill="1" applyBorder="1" applyAlignment="1" applyProtection="1"/>
    <xf numFmtId="166" fontId="9" fillId="4" borderId="0" xfId="7" applyNumberFormat="1" applyFont="1" applyFill="1"/>
    <xf numFmtId="166" fontId="9" fillId="0" borderId="18" xfId="7" applyNumberFormat="1" applyFont="1" applyBorder="1"/>
    <xf numFmtId="166" fontId="9" fillId="5" borderId="0" xfId="7" applyNumberFormat="1" applyFont="1" applyFill="1" applyBorder="1"/>
    <xf numFmtId="166" fontId="9" fillId="0" borderId="0" xfId="7" applyNumberFormat="1" applyFont="1"/>
    <xf numFmtId="166" fontId="9" fillId="5" borderId="16" xfId="7" applyNumberFormat="1" applyFont="1" applyFill="1" applyBorder="1"/>
    <xf numFmtId="166" fontId="9" fillId="0" borderId="0" xfId="0" applyNumberFormat="1" applyFont="1"/>
    <xf numFmtId="166" fontId="9" fillId="14" borderId="0" xfId="7" applyNumberFormat="1" applyFont="1" applyFill="1"/>
    <xf numFmtId="166" fontId="9" fillId="5" borderId="16" xfId="0" applyNumberFormat="1" applyFont="1" applyFill="1" applyBorder="1"/>
    <xf numFmtId="166" fontId="9" fillId="4" borderId="0" xfId="0" applyNumberFormat="1" applyFont="1" applyFill="1"/>
    <xf numFmtId="184" fontId="1" fillId="21" borderId="2" xfId="0" applyNumberFormat="1" applyFont="1" applyFill="1" applyBorder="1"/>
    <xf numFmtId="184" fontId="1" fillId="0" borderId="2" xfId="0" applyNumberFormat="1" applyFont="1" applyBorder="1"/>
    <xf numFmtId="1" fontId="15" fillId="0" borderId="17"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32" xfId="25" applyNumberFormat="1" applyFont="1" applyBorder="1" applyAlignment="1" applyProtection="1">
      <alignment horizontal="center" vertical="center" wrapText="1"/>
    </xf>
    <xf numFmtId="1" fontId="15" fillId="0" borderId="33" xfId="25" applyNumberFormat="1" applyFont="1" applyBorder="1" applyAlignment="1" applyProtection="1">
      <alignment horizontal="center" vertical="center" wrapText="1"/>
    </xf>
    <xf numFmtId="1" fontId="15" fillId="0" borderId="39" xfId="25" applyNumberFormat="1" applyFont="1" applyBorder="1" applyAlignment="1" applyProtection="1">
      <alignment horizontal="center" vertical="center" wrapText="1"/>
    </xf>
    <xf numFmtId="1" fontId="15" fillId="0" borderId="13" xfId="25" applyNumberFormat="1" applyFont="1" applyBorder="1" applyAlignment="1" applyProtection="1">
      <alignment horizontal="center" vertical="center" wrapText="1"/>
    </xf>
    <xf numFmtId="1" fontId="15" fillId="0" borderId="14" xfId="25" applyNumberFormat="1" applyFont="1" applyBorder="1" applyAlignment="1" applyProtection="1">
      <alignment horizontal="center" vertical="center" wrapText="1"/>
    </xf>
    <xf numFmtId="1" fontId="15" fillId="0" borderId="19" xfId="25" applyNumberFormat="1" applyFont="1" applyBorder="1" applyAlignment="1" applyProtection="1">
      <alignment horizontal="center" vertical="center" wrapText="1"/>
    </xf>
    <xf numFmtId="1" fontId="15" fillId="0" borderId="0" xfId="25" applyNumberFormat="1" applyFont="1" applyBorder="1" applyAlignment="1" applyProtection="1">
      <alignment horizontal="center" vertical="center" wrapText="1"/>
    </xf>
    <xf numFmtId="1" fontId="15" fillId="0" borderId="20" xfId="25" applyNumberFormat="1" applyFont="1" applyBorder="1" applyAlignment="1" applyProtection="1">
      <alignment horizontal="center" vertical="center" wrapText="1"/>
    </xf>
    <xf numFmtId="1" fontId="15" fillId="0" borderId="21" xfId="25" applyNumberFormat="1" applyFont="1" applyBorder="1" applyAlignment="1" applyProtection="1">
      <alignment horizontal="center" vertical="center" wrapText="1"/>
    </xf>
    <xf numFmtId="1" fontId="15" fillId="0" borderId="23" xfId="25" applyNumberFormat="1" applyFont="1" applyBorder="1" applyAlignment="1" applyProtection="1">
      <alignment horizontal="center" vertical="center" wrapText="1"/>
    </xf>
    <xf numFmtId="1" fontId="15" fillId="0" borderId="25" xfId="25" quotePrefix="1" applyNumberFormat="1" applyFont="1" applyBorder="1" applyAlignment="1" applyProtection="1">
      <alignment horizontal="center"/>
    </xf>
    <xf numFmtId="1" fontId="15" fillId="0" borderId="25" xfId="25" applyNumberFormat="1" applyFont="1" applyBorder="1" applyAlignment="1" applyProtection="1">
      <alignment horizontal="center"/>
    </xf>
    <xf numFmtId="1" fontId="15" fillId="0" borderId="26" xfId="25" applyNumberFormat="1" applyFont="1" applyBorder="1" applyAlignment="1" applyProtection="1">
      <alignment horizontal="center"/>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4" fillId="0" borderId="34" xfId="19" applyFont="1" applyFill="1" applyBorder="1" applyAlignment="1" applyProtection="1">
      <alignment horizontal="center" vertical="center"/>
    </xf>
    <xf numFmtId="0" fontId="44" fillId="0" borderId="49" xfId="19" applyFont="1" applyFill="1" applyBorder="1" applyAlignment="1" applyProtection="1">
      <alignment horizontal="center" vertical="center"/>
    </xf>
    <xf numFmtId="0" fontId="44" fillId="0" borderId="46" xfId="19" applyFont="1" applyBorder="1" applyAlignment="1" applyProtection="1">
      <alignment horizontal="center" vertical="center"/>
    </xf>
    <xf numFmtId="0" fontId="44" fillId="0" borderId="57" xfId="19" applyFont="1" applyBorder="1" applyAlignment="1" applyProtection="1">
      <alignment horizontal="center" vertical="center"/>
    </xf>
    <xf numFmtId="0" fontId="44" fillId="0" borderId="34" xfId="19" applyFont="1" applyBorder="1" applyAlignment="1" applyProtection="1">
      <alignment horizontal="center"/>
    </xf>
    <xf numFmtId="0" fontId="4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4" fillId="0" borderId="27" xfId="23" applyFont="1" applyBorder="1" applyAlignment="1" applyProtection="1">
      <alignment horizontal="left" vertical="center"/>
    </xf>
    <xf numFmtId="0" fontId="30" fillId="0" borderId="37" xfId="0" applyFont="1" applyBorder="1" applyAlignment="1" applyProtection="1">
      <alignment horizontal="left" vertical="center"/>
    </xf>
    <xf numFmtId="0" fontId="30" fillId="0" borderId="49" xfId="0"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0" fillId="0" borderId="49" xfId="0" applyBorder="1"/>
    <xf numFmtId="0" fontId="4" fillId="0" borderId="37" xfId="15" applyFont="1" applyBorder="1" applyAlignment="1" applyProtection="1">
      <alignment horizontal="center" vertical="center" wrapText="1"/>
    </xf>
    <xf numFmtId="0" fontId="4" fillId="0" borderId="49" xfId="15" applyFont="1" applyBorder="1" applyAlignment="1" applyProtection="1">
      <alignment horizontal="center" vertical="center"/>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0" fontId="0" fillId="0" borderId="48" xfId="0" applyBorder="1"/>
    <xf numFmtId="0" fontId="0" fillId="0" borderId="47" xfId="0" applyBorder="1"/>
    <xf numFmtId="0" fontId="4" fillId="0" borderId="49" xfId="15" applyFont="1" applyBorder="1" applyAlignment="1" applyProtection="1">
      <alignment horizontal="center" vertical="center" wrapText="1"/>
    </xf>
    <xf numFmtId="0" fontId="4" fillId="0" borderId="11" xfId="15" applyFont="1" applyBorder="1" applyAlignment="1" applyProtection="1">
      <alignment horizontal="center" vertical="center"/>
    </xf>
    <xf numFmtId="0" fontId="4" fillId="0" borderId="18" xfId="15" applyFont="1" applyBorder="1" applyAlignment="1" applyProtection="1">
      <alignment horizontal="center" vertical="center"/>
    </xf>
    <xf numFmtId="0" fontId="4" fillId="0" borderId="52"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xf>
    <xf numFmtId="0" fontId="4" fillId="0" borderId="8" xfId="15" applyFont="1" applyBorder="1" applyAlignment="1" applyProtection="1">
      <alignment horizontal="center" vertical="center" wrapText="1"/>
    </xf>
    <xf numFmtId="0" fontId="4" fillId="0" borderId="12" xfId="15" applyFont="1" applyBorder="1" applyAlignment="1" applyProtection="1">
      <alignment horizontal="center"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15" fillId="0" borderId="1" xfId="32" applyFont="1" applyBorder="1" applyAlignment="1">
      <alignment horizontal="center" textRotation="90" wrapText="1"/>
    </xf>
    <xf numFmtId="0" fontId="15" fillId="0" borderId="2" xfId="32" applyFont="1" applyBorder="1" applyAlignment="1">
      <alignment horizontal="center" textRotation="90" wrapText="1"/>
    </xf>
    <xf numFmtId="0" fontId="15" fillId="0" borderId="3" xfId="32" applyFont="1" applyBorder="1" applyAlignment="1">
      <alignment horizontal="center" textRotation="90" wrapText="1"/>
    </xf>
    <xf numFmtId="0" fontId="14" fillId="0" borderId="1" xfId="32" applyFont="1" applyBorder="1" applyAlignment="1">
      <alignment horizontal="center" textRotation="90" wrapText="1"/>
    </xf>
    <xf numFmtId="0" fontId="14" fillId="0" borderId="2" xfId="32" applyFont="1" applyBorder="1" applyAlignment="1">
      <alignment horizontal="center" textRotation="90" wrapText="1"/>
    </xf>
    <xf numFmtId="0" fontId="14" fillId="0" borderId="3" xfId="32" applyFont="1" applyBorder="1" applyAlignment="1">
      <alignment horizontal="center" textRotation="90" wrapText="1"/>
    </xf>
    <xf numFmtId="0" fontId="14" fillId="5" borderId="7" xfId="32" applyFont="1" applyFill="1" applyBorder="1" applyAlignment="1">
      <alignment horizontal="center"/>
    </xf>
    <xf numFmtId="0" fontId="14" fillId="5" borderId="16" xfId="32" applyFont="1" applyFill="1" applyBorder="1" applyAlignment="1">
      <alignment horizontal="center"/>
    </xf>
    <xf numFmtId="0" fontId="14" fillId="5" borderId="5" xfId="32" applyFont="1" applyFill="1" applyBorder="1" applyAlignment="1">
      <alignment horizontal="center"/>
    </xf>
    <xf numFmtId="0" fontId="14" fillId="8" borderId="7" xfId="32" applyFont="1" applyFill="1" applyBorder="1" applyAlignment="1">
      <alignment horizontal="center"/>
    </xf>
    <xf numFmtId="0" fontId="14" fillId="8" borderId="16" xfId="32" applyFont="1" applyFill="1" applyBorder="1" applyAlignment="1">
      <alignment horizontal="center"/>
    </xf>
    <xf numFmtId="0" fontId="14" fillId="8" borderId="5" xfId="32" applyFont="1" applyFill="1" applyBorder="1" applyAlignment="1">
      <alignment horizontal="center"/>
    </xf>
    <xf numFmtId="0" fontId="14" fillId="0" borderId="7" xfId="32" applyFont="1" applyBorder="1" applyAlignment="1">
      <alignment horizontal="center"/>
    </xf>
    <xf numFmtId="0" fontId="14" fillId="0" borderId="16" xfId="32" applyFont="1" applyBorder="1" applyAlignment="1">
      <alignment horizontal="center"/>
    </xf>
    <xf numFmtId="0" fontId="14" fillId="0" borderId="5" xfId="32" applyFont="1" applyBorder="1" applyAlignment="1">
      <alignment horizontal="center"/>
    </xf>
    <xf numFmtId="0" fontId="14" fillId="0" borderId="0" xfId="0" applyFont="1" applyBorder="1" applyAlignment="1" applyProtection="1">
      <alignment horizontal="left" wrapText="1"/>
    </xf>
    <xf numFmtId="0" fontId="14" fillId="0" borderId="0" xfId="0" applyFont="1" applyBorder="1" applyAlignment="1">
      <alignment horizontal="left" wrapText="1"/>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61" fillId="0" borderId="69" xfId="0" applyFont="1" applyBorder="1" applyAlignment="1" applyProtection="1">
      <alignment horizontal="left" vertical="center" wrapText="1"/>
    </xf>
    <xf numFmtId="0" fontId="61" fillId="0" borderId="48" xfId="0" applyFont="1" applyBorder="1" applyAlignment="1" applyProtection="1">
      <alignment horizontal="left" vertical="center" wrapText="1"/>
    </xf>
    <xf numFmtId="0" fontId="61" fillId="0" borderId="47" xfId="0" applyFont="1" applyBorder="1" applyAlignment="1" applyProtection="1">
      <alignment horizontal="left" vertical="center" wrapText="1"/>
    </xf>
    <xf numFmtId="0" fontId="13" fillId="0" borderId="24" xfId="0" applyFont="1" applyBorder="1" applyAlignment="1" applyProtection="1">
      <alignment horizontal="left" vertical="center" wrapText="1"/>
    </xf>
    <xf numFmtId="0" fontId="13" fillId="0" borderId="25" xfId="0" applyFont="1" applyBorder="1" applyAlignment="1" applyProtection="1">
      <alignment horizontal="left" vertical="center" wrapText="1"/>
    </xf>
    <xf numFmtId="0" fontId="13" fillId="0" borderId="26" xfId="0" applyFont="1" applyBorder="1" applyAlignment="1" applyProtection="1">
      <alignment horizontal="left" vertical="center" wrapText="1"/>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7" fillId="0" borderId="13" xfId="0" applyFont="1" applyBorder="1" applyAlignment="1" applyProtection="1">
      <alignment horizontal="left" vertical="center"/>
    </xf>
    <xf numFmtId="0" fontId="37" fillId="0" borderId="14" xfId="0" applyFont="1" applyBorder="1" applyAlignment="1" applyProtection="1">
      <alignment horizontal="left" vertical="center"/>
    </xf>
    <xf numFmtId="0" fontId="37" fillId="0" borderId="19" xfId="0" applyFont="1" applyBorder="1" applyAlignment="1" applyProtection="1">
      <alignment horizontal="left" vertical="center"/>
    </xf>
    <xf numFmtId="0" fontId="37" fillId="0" borderId="20" xfId="0" applyFont="1" applyBorder="1" applyAlignment="1" applyProtection="1">
      <alignment horizontal="left" vertical="center"/>
    </xf>
    <xf numFmtId="0" fontId="37" fillId="0" borderId="21" xfId="0" applyFont="1" applyBorder="1" applyAlignment="1" applyProtection="1">
      <alignment horizontal="left" vertical="center"/>
    </xf>
    <xf numFmtId="0" fontId="37" fillId="0" borderId="23" xfId="0" applyFont="1" applyBorder="1" applyAlignment="1" applyProtection="1">
      <alignment horizontal="left" vertical="center"/>
    </xf>
    <xf numFmtId="0" fontId="13" fillId="0" borderId="32" xfId="0" applyFont="1" applyBorder="1" applyAlignment="1">
      <alignment horizontal="center" vertical="center"/>
    </xf>
    <xf numFmtId="0" fontId="13" fillId="0" borderId="39" xfId="0" applyFont="1" applyBorder="1" applyAlignment="1">
      <alignment horizontal="center" vertical="center"/>
    </xf>
    <xf numFmtId="0" fontId="13" fillId="0" borderId="24" xfId="0" applyFont="1" applyBorder="1" applyAlignment="1" applyProtection="1">
      <alignment horizontal="center" vertical="center"/>
    </xf>
    <xf numFmtId="0" fontId="13" fillId="0" borderId="25" xfId="0" applyFont="1" applyBorder="1" applyAlignment="1" applyProtection="1">
      <alignment horizontal="center" vertical="center"/>
    </xf>
    <xf numFmtId="0" fontId="13"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8" fillId="0" borderId="67" xfId="0" applyFont="1" applyBorder="1" applyAlignment="1">
      <alignment horizontal="center" vertical="center"/>
    </xf>
    <xf numFmtId="0" fontId="38" fillId="0" borderId="49" xfId="0" applyFont="1" applyBorder="1" applyAlignment="1">
      <alignment horizontal="center" vertical="center"/>
    </xf>
    <xf numFmtId="0" fontId="38" fillId="0" borderId="27" xfId="0" applyFont="1" applyBorder="1" applyAlignment="1">
      <alignment horizontal="center" vertical="center"/>
    </xf>
    <xf numFmtId="0" fontId="38"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8" fillId="0" borderId="34" xfId="0" applyFont="1" applyBorder="1" applyAlignment="1">
      <alignment horizontal="center" vertical="center"/>
    </xf>
    <xf numFmtId="0" fontId="38" fillId="0" borderId="37" xfId="0" applyFont="1" applyBorder="1" applyAlignment="1">
      <alignment horizontal="center"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8" fillId="0" borderId="55" xfId="0" applyFont="1" applyBorder="1" applyAlignment="1">
      <alignment horizontal="center" vertical="center"/>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38" fillId="0" borderId="55"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9" fillId="9" borderId="55" xfId="0" applyNumberFormat="1" applyFont="1" applyFill="1" applyBorder="1" applyAlignment="1" applyProtection="1">
      <alignment horizontal="right" vertical="center"/>
      <protection locked="0"/>
    </xf>
    <xf numFmtId="174" fontId="19" fillId="9" borderId="37" xfId="0" applyNumberFormat="1" applyFont="1" applyFill="1" applyBorder="1" applyAlignment="1" applyProtection="1">
      <alignment horizontal="right" vertical="center"/>
      <protection locked="0"/>
    </xf>
    <xf numFmtId="174" fontId="19" fillId="9" borderId="49" xfId="0" applyNumberFormat="1" applyFont="1" applyFill="1" applyBorder="1" applyAlignment="1" applyProtection="1">
      <alignment horizontal="right" vertical="center"/>
      <protection locked="0"/>
    </xf>
    <xf numFmtId="0" fontId="38" fillId="0" borderId="13" xfId="0" applyFont="1" applyBorder="1" applyAlignment="1">
      <alignment horizontal="left" vertical="center"/>
    </xf>
    <xf numFmtId="0" fontId="38" fillId="0" borderId="14" xfId="0" applyFont="1" applyBorder="1" applyAlignment="1">
      <alignment horizontal="left" vertical="center"/>
    </xf>
    <xf numFmtId="0" fontId="38" fillId="0" borderId="19" xfId="0" applyFont="1" applyBorder="1" applyAlignment="1">
      <alignment horizontal="left" vertical="center"/>
    </xf>
    <xf numFmtId="0" fontId="38" fillId="0" borderId="20" xfId="0" applyFont="1" applyBorder="1" applyAlignment="1">
      <alignment horizontal="left" vertical="center"/>
    </xf>
    <xf numFmtId="0" fontId="38" fillId="0" borderId="21" xfId="0" applyFont="1" applyBorder="1" applyAlignment="1">
      <alignment horizontal="left" vertical="center"/>
    </xf>
    <xf numFmtId="0" fontId="38" fillId="0" borderId="23" xfId="0" applyFont="1" applyBorder="1" applyAlignment="1">
      <alignment horizontal="left" vertical="center"/>
    </xf>
    <xf numFmtId="174" fontId="19" fillId="9" borderId="34"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32" xfId="0" applyNumberFormat="1" applyFont="1" applyFill="1" applyBorder="1" applyAlignment="1">
      <alignment horizontal="right" vertical="center"/>
    </xf>
    <xf numFmtId="174" fontId="19" fillId="9" borderId="46" xfId="0" applyNumberFormat="1" applyFont="1" applyFill="1" applyBorder="1" applyAlignment="1" applyProtection="1">
      <alignment horizontal="right" vertical="center"/>
      <protection locked="0"/>
    </xf>
    <xf numFmtId="174" fontId="19" fillId="9" borderId="57" xfId="0" applyNumberFormat="1" applyFont="1" applyFill="1" applyBorder="1" applyAlignment="1" applyProtection="1">
      <alignment horizontal="right" vertical="center"/>
      <protection locked="0"/>
    </xf>
    <xf numFmtId="0" fontId="15" fillId="16" borderId="24" xfId="0" applyFont="1" applyFill="1" applyBorder="1" applyAlignment="1" applyProtection="1">
      <alignment horizontal="center" vertical="center"/>
    </xf>
    <xf numFmtId="0" fontId="15" fillId="16" borderId="25" xfId="0" applyFont="1" applyFill="1" applyBorder="1" applyAlignment="1" applyProtection="1">
      <alignment horizontal="center" vertical="center"/>
    </xf>
    <xf numFmtId="0" fontId="15" fillId="16" borderId="26" xfId="0" applyFont="1" applyFill="1" applyBorder="1" applyAlignment="1" applyProtection="1">
      <alignment horizontal="center" vertical="center"/>
    </xf>
    <xf numFmtId="0" fontId="15"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5" fillId="5" borderId="24" xfId="0" applyFont="1" applyFill="1" applyBorder="1" applyAlignment="1" applyProtection="1">
      <alignment horizontal="center" vertical="center"/>
    </xf>
    <xf numFmtId="0" fontId="15" fillId="5" borderId="25"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5" xfId="0" applyFont="1" applyBorder="1" applyAlignment="1" applyProtection="1">
      <alignment horizontal="center" vertical="center"/>
    </xf>
    <xf numFmtId="0" fontId="15" fillId="0" borderId="26" xfId="0" applyFont="1" applyBorder="1" applyAlignment="1" applyProtection="1">
      <alignment horizontal="center" vertical="center"/>
    </xf>
    <xf numFmtId="0" fontId="15" fillId="0" borderId="24" xfId="0" applyFont="1" applyBorder="1" applyAlignment="1" applyProtection="1">
      <alignment horizontal="center" vertical="center" wrapText="1"/>
    </xf>
    <xf numFmtId="0" fontId="15" fillId="0" borderId="25" xfId="0" applyFont="1" applyBorder="1" applyAlignment="1" applyProtection="1">
      <alignment horizontal="center" vertical="center" wrapText="1"/>
    </xf>
    <xf numFmtId="0" fontId="15" fillId="0" borderId="26" xfId="0" applyFont="1" applyBorder="1" applyAlignment="1" applyProtection="1">
      <alignment horizontal="center" vertical="center" wrapText="1"/>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0" fontId="15" fillId="0" borderId="24" xfId="0" applyFont="1" applyBorder="1" applyAlignment="1" applyProtection="1">
      <alignment horizontal="left" vertical="center"/>
    </xf>
    <xf numFmtId="0" fontId="15" fillId="0" borderId="26" xfId="0" applyFont="1" applyBorder="1" applyAlignment="1" applyProtection="1">
      <alignment horizontal="left" vertical="center"/>
    </xf>
    <xf numFmtId="0" fontId="38" fillId="0" borderId="13" xfId="0" applyFont="1" applyFill="1" applyBorder="1" applyAlignment="1">
      <alignment horizontal="left" vertical="center"/>
    </xf>
    <xf numFmtId="0" fontId="38" fillId="0" borderId="19" xfId="0" applyFont="1" applyFill="1" applyBorder="1" applyAlignment="1">
      <alignment horizontal="left" vertical="center"/>
    </xf>
    <xf numFmtId="0" fontId="38" fillId="0" borderId="20" xfId="0" applyFont="1" applyFill="1" applyBorder="1" applyAlignment="1">
      <alignment horizontal="left" vertical="center"/>
    </xf>
    <xf numFmtId="0" fontId="38" fillId="0" borderId="23" xfId="0" applyFont="1" applyFill="1" applyBorder="1" applyAlignment="1">
      <alignment horizontal="left" vertical="center"/>
    </xf>
    <xf numFmtId="0" fontId="14" fillId="0" borderId="43" xfId="0" applyFont="1" applyBorder="1" applyAlignment="1" applyProtection="1">
      <alignment horizontal="left" vertical="center" indent="1"/>
    </xf>
    <xf numFmtId="0" fontId="14" fillId="0" borderId="44" xfId="0" applyFont="1" applyBorder="1" applyAlignment="1" applyProtection="1">
      <alignment horizontal="left" vertical="center" indent="1"/>
    </xf>
    <xf numFmtId="0" fontId="14" fillId="0" borderId="59" xfId="0" applyFont="1" applyBorder="1" applyAlignment="1" applyProtection="1">
      <alignment horizontal="left" vertical="center" indent="1"/>
    </xf>
    <xf numFmtId="0" fontId="14" fillId="0" borderId="60" xfId="0" applyFont="1" applyBorder="1" applyAlignment="1" applyProtection="1">
      <alignment horizontal="left" vertical="center" indent="1"/>
    </xf>
    <xf numFmtId="0" fontId="14" fillId="0" borderId="24" xfId="0" applyFont="1" applyBorder="1" applyAlignment="1">
      <alignment horizontal="left" vertical="center" indent="1"/>
    </xf>
    <xf numFmtId="0" fontId="14" fillId="0" borderId="26" xfId="0" applyFont="1" applyBorder="1" applyAlignment="1">
      <alignment horizontal="left" vertical="center" indent="1"/>
    </xf>
    <xf numFmtId="0" fontId="14" fillId="0" borderId="69" xfId="0" applyFont="1" applyBorder="1" applyAlignment="1" applyProtection="1">
      <alignment horizontal="left" vertical="center" indent="1"/>
    </xf>
    <xf numFmtId="0" fontId="14" fillId="0" borderId="47" xfId="0" applyFont="1" applyBorder="1" applyAlignment="1" applyProtection="1">
      <alignment horizontal="left" vertical="center" indent="1"/>
    </xf>
    <xf numFmtId="0" fontId="32" fillId="5" borderId="24" xfId="0" applyFont="1" applyFill="1" applyBorder="1" applyAlignment="1">
      <alignment horizontal="left" vertical="center" indent="1"/>
    </xf>
    <xf numFmtId="0" fontId="32" fillId="5" borderId="25" xfId="0" applyFont="1" applyFill="1" applyBorder="1" applyAlignment="1">
      <alignment horizontal="left" vertical="center" indent="1"/>
    </xf>
    <xf numFmtId="0" fontId="32" fillId="8" borderId="24" xfId="0" applyFont="1" applyFill="1" applyBorder="1" applyAlignment="1">
      <alignment horizontal="left" vertical="center" indent="1"/>
    </xf>
    <xf numFmtId="0" fontId="32" fillId="8" borderId="25" xfId="0" applyFont="1" applyFill="1" applyBorder="1" applyAlignment="1">
      <alignment horizontal="left" vertical="center" indent="1"/>
    </xf>
    <xf numFmtId="0" fontId="38" fillId="0" borderId="17" xfId="0" applyFont="1" applyBorder="1" applyAlignment="1">
      <alignment horizontal="left" vertical="center"/>
    </xf>
    <xf numFmtId="0" fontId="38" fillId="0" borderId="22" xfId="0" applyFont="1" applyBorder="1" applyAlignment="1">
      <alignment horizontal="left" vertical="center"/>
    </xf>
    <xf numFmtId="0" fontId="13" fillId="8" borderId="24" xfId="0" applyFont="1" applyFill="1" applyBorder="1" applyAlignment="1">
      <alignment horizontal="left" vertical="center" indent="1"/>
    </xf>
    <xf numFmtId="0" fontId="13" fillId="8" borderId="26" xfId="0" applyFont="1" applyFill="1" applyBorder="1" applyAlignment="1">
      <alignment horizontal="left" vertical="center" indent="1"/>
    </xf>
    <xf numFmtId="0" fontId="32" fillId="0" borderId="24" xfId="0" applyFont="1" applyBorder="1" applyAlignment="1">
      <alignment horizontal="left" vertical="center"/>
    </xf>
    <xf numFmtId="0" fontId="32" fillId="0" borderId="26" xfId="0" applyFont="1" applyBorder="1" applyAlignment="1">
      <alignment horizontal="left" vertical="center"/>
    </xf>
    <xf numFmtId="0" fontId="13" fillId="0" borderId="69" xfId="0" applyFont="1" applyBorder="1" applyAlignment="1">
      <alignment horizontal="left" vertical="center"/>
    </xf>
    <xf numFmtId="0" fontId="13" fillId="0" borderId="47" xfId="0" applyFont="1" applyBorder="1" applyAlignment="1">
      <alignment horizontal="left" vertical="center"/>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3" fillId="0" borderId="34" xfId="0" applyFont="1" applyBorder="1" applyAlignment="1">
      <alignment horizontal="center" vertical="center"/>
    </xf>
    <xf numFmtId="0" fontId="13" fillId="0" borderId="37" xfId="0" applyFont="1" applyBorder="1" applyAlignment="1">
      <alignment horizontal="center" vertical="center"/>
    </xf>
    <xf numFmtId="0" fontId="13" fillId="0" borderId="40" xfId="0" applyFont="1" applyBorder="1" applyAlignment="1">
      <alignment horizontal="center" vertical="center"/>
    </xf>
    <xf numFmtId="0" fontId="13" fillId="8" borderId="20" xfId="0" applyFont="1" applyFill="1" applyBorder="1" applyAlignment="1" applyProtection="1">
      <alignment horizontal="center" vertical="center" wrapText="1"/>
    </xf>
    <xf numFmtId="0" fontId="13" fillId="8" borderId="23" xfId="0" applyFont="1" applyFill="1" applyBorder="1" applyAlignment="1" applyProtection="1">
      <alignment horizontal="center" vertical="center" wrapText="1"/>
    </xf>
    <xf numFmtId="0" fontId="13" fillId="0" borderId="34" xfId="0" applyFont="1" applyBorder="1" applyAlignment="1">
      <alignment horizontal="center" vertical="center" wrapText="1"/>
    </xf>
    <xf numFmtId="0" fontId="13" fillId="0" borderId="40" xfId="0" applyFont="1" applyBorder="1" applyAlignment="1">
      <alignment horizontal="center" vertical="center" wrapText="1"/>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14" fillId="0" borderId="0" xfId="0" applyFont="1" applyBorder="1" applyAlignment="1" applyProtection="1">
      <alignment horizontal="left" vertical="center" wrapText="1"/>
    </xf>
    <xf numFmtId="0" fontId="14" fillId="0" borderId="22" xfId="0" applyFont="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5" fillId="0" borderId="0"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22" xfId="0" applyFont="1" applyBorder="1" applyAlignment="1">
      <alignment horizontal="left" vertical="center" wrapText="1"/>
    </xf>
    <xf numFmtId="0" fontId="15" fillId="0" borderId="0" xfId="0" applyFont="1" applyBorder="1" applyAlignment="1">
      <alignment horizontal="left" vertical="center" wrapText="1"/>
    </xf>
    <xf numFmtId="0" fontId="15" fillId="0" borderId="22" xfId="0" applyFont="1" applyBorder="1" applyAlignment="1">
      <alignment horizontal="left" vertical="center" wrapText="1"/>
    </xf>
    <xf numFmtId="178" fontId="57" fillId="9" borderId="17" xfId="0" applyNumberFormat="1" applyFont="1" applyFill="1" applyBorder="1" applyAlignment="1" applyProtection="1">
      <alignment horizontal="center" vertical="center"/>
      <protection locked="0"/>
    </xf>
    <xf numFmtId="178" fontId="57" fillId="9" borderId="10" xfId="0" applyNumberFormat="1" applyFont="1" applyFill="1" applyBorder="1" applyAlignment="1" applyProtection="1">
      <alignment horizontal="center" vertical="center"/>
      <protection locked="0"/>
    </xf>
    <xf numFmtId="178" fontId="15" fillId="0" borderId="43" xfId="0" applyNumberFormat="1" applyFont="1" applyBorder="1" applyAlignment="1">
      <alignment horizontal="center" vertical="center"/>
    </xf>
    <xf numFmtId="178" fontId="15" fillId="0" borderId="5" xfId="0" applyNumberFormat="1" applyFont="1" applyBorder="1" applyAlignment="1">
      <alignment horizontal="center" vertical="center"/>
    </xf>
    <xf numFmtId="178" fontId="41" fillId="9" borderId="9" xfId="0" applyNumberFormat="1" applyFont="1" applyFill="1" applyBorder="1" applyAlignment="1" applyProtection="1">
      <alignment horizontal="left" vertical="center"/>
      <protection locked="0"/>
    </xf>
    <xf numFmtId="178" fontId="41" fillId="9" borderId="10" xfId="0" applyNumberFormat="1" applyFont="1" applyFill="1" applyBorder="1" applyAlignment="1" applyProtection="1">
      <alignment horizontal="left" vertical="center"/>
      <protection locked="0"/>
    </xf>
    <xf numFmtId="0" fontId="15" fillId="0" borderId="32" xfId="0" applyFont="1" applyBorder="1" applyAlignment="1">
      <alignment horizontal="center" vertical="center" wrapText="1"/>
    </xf>
    <xf numFmtId="0" fontId="15" fillId="0" borderId="63" xfId="0" applyFont="1" applyBorder="1" applyAlignment="1">
      <alignment horizontal="center" vertical="center" wrapText="1"/>
    </xf>
    <xf numFmtId="178" fontId="15" fillId="0" borderId="69" xfId="0" applyNumberFormat="1" applyFont="1" applyBorder="1" applyAlignment="1">
      <alignment horizontal="center" vertical="center" wrapText="1"/>
    </xf>
    <xf numFmtId="178" fontId="15" fillId="0" borderId="83" xfId="0" applyNumberFormat="1" applyFont="1" applyBorder="1" applyAlignment="1">
      <alignment horizontal="center" vertical="center" wrapText="1"/>
    </xf>
    <xf numFmtId="0" fontId="0" fillId="0" borderId="10" xfId="0" applyBorder="1" applyAlignment="1">
      <alignment horizontal="left" vertical="center"/>
    </xf>
    <xf numFmtId="0" fontId="37"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4" borderId="7" xfId="0" quotePrefix="1" applyFont="1" applyFill="1" applyBorder="1" applyAlignment="1">
      <alignment horizontal="center" wrapText="1"/>
    </xf>
    <xf numFmtId="0" fontId="4" fillId="4" borderId="5" xfId="0" quotePrefix="1" applyFont="1" applyFill="1" applyBorder="1" applyAlignment="1">
      <alignment horizontal="center" wrapText="1"/>
    </xf>
    <xf numFmtId="0" fontId="0" fillId="0" borderId="1" xfId="0" applyBorder="1" applyAlignment="1">
      <alignment horizontal="center" vertical="center"/>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4" fillId="4" borderId="16"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1" fillId="0" borderId="5" xfId="0" quotePrefix="1" applyFont="1" applyBorder="1" applyAlignment="1">
      <alignment horizontal="center" vertical="center" wrapText="1"/>
    </xf>
    <xf numFmtId="0" fontId="22"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16" fillId="0" borderId="18" xfId="0" applyFont="1" applyFill="1" applyBorder="1" applyAlignment="1">
      <alignment horizontal="center" vertical="top" wrapText="1"/>
    </xf>
    <xf numFmtId="0" fontId="22" fillId="0" borderId="18" xfId="0" applyFont="1" applyFill="1" applyBorder="1" applyAlignment="1">
      <alignment horizontal="center" vertical="top" wrapText="1"/>
    </xf>
    <xf numFmtId="0" fontId="5" fillId="0" borderId="4" xfId="0" applyFont="1" applyBorder="1" applyAlignment="1">
      <alignment horizontal="center" vertical="center" wrapText="1"/>
    </xf>
    <xf numFmtId="0" fontId="16" fillId="0" borderId="0" xfId="0" applyFont="1" applyFill="1" applyBorder="1" applyAlignment="1">
      <alignment horizontal="center" vertical="top" wrapText="1"/>
    </xf>
    <xf numFmtId="0" fontId="22"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4" fillId="0" borderId="7" xfId="32" applyNumberFormat="1" applyFont="1" applyBorder="1" applyAlignment="1" applyProtection="1">
      <alignment horizontal="center" vertical="center" wrapText="1"/>
    </xf>
    <xf numFmtId="167" fontId="14" fillId="0" borderId="16" xfId="32" applyNumberFormat="1" applyFont="1" applyBorder="1" applyAlignment="1" applyProtection="1">
      <alignment horizontal="center" vertical="center" wrapText="1"/>
    </xf>
    <xf numFmtId="167" fontId="14"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3"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4" fillId="5" borderId="1" xfId="32" applyFont="1" applyFill="1" applyBorder="1" applyAlignment="1">
      <alignment horizontal="center" vertical="center" wrapText="1"/>
    </xf>
    <xf numFmtId="0" fontId="14" fillId="5" borderId="2" xfId="32" applyFont="1" applyFill="1" applyBorder="1" applyAlignment="1">
      <alignment horizontal="center" vertical="center" wrapText="1"/>
    </xf>
    <xf numFmtId="0" fontId="14" fillId="5" borderId="3" xfId="32" applyFont="1" applyFill="1" applyBorder="1" applyAlignment="1">
      <alignment horizontal="center" vertical="center" wrapText="1"/>
    </xf>
    <xf numFmtId="0" fontId="14" fillId="6" borderId="1" xfId="32" applyFont="1" applyFill="1" applyBorder="1" applyAlignment="1">
      <alignment horizontal="center" vertical="center" wrapText="1"/>
    </xf>
    <xf numFmtId="0" fontId="14" fillId="6" borderId="2" xfId="32" applyFont="1" applyFill="1" applyBorder="1" applyAlignment="1">
      <alignment horizontal="center" vertical="center" wrapText="1"/>
    </xf>
    <xf numFmtId="0" fontId="14" fillId="6" borderId="3" xfId="32" applyFont="1" applyFill="1" applyBorder="1" applyAlignment="1">
      <alignment horizontal="center" vertical="center" wrapText="1"/>
    </xf>
    <xf numFmtId="0" fontId="14" fillId="0" borderId="1" xfId="32" applyFont="1" applyBorder="1" applyAlignment="1">
      <alignment horizontal="center" vertical="center" wrapText="1"/>
    </xf>
    <xf numFmtId="0" fontId="14" fillId="0" borderId="2" xfId="32" applyFont="1" applyBorder="1" applyAlignment="1">
      <alignment horizontal="center" vertical="center" wrapText="1"/>
    </xf>
    <xf numFmtId="0" fontId="14" fillId="0" borderId="3" xfId="32" applyFont="1" applyBorder="1" applyAlignment="1">
      <alignment horizontal="center" vertical="center" wrapText="1"/>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8" borderId="9" xfId="33" applyFont="1" applyFill="1" applyBorder="1" applyAlignment="1">
      <alignment horizontal="center"/>
    </xf>
    <xf numFmtId="9" fontId="0" fillId="18" borderId="0" xfId="33" applyFont="1" applyFill="1" applyBorder="1" applyAlignment="1">
      <alignment horizontal="center"/>
    </xf>
    <xf numFmtId="0" fontId="0" fillId="18" borderId="0" xfId="0" applyFill="1" applyBorder="1" applyAlignment="1">
      <alignment horizontal="center"/>
    </xf>
    <xf numFmtId="0" fontId="22" fillId="0" borderId="7" xfId="0" applyFont="1" applyBorder="1" applyAlignment="1">
      <alignment horizontal="center" vertical="top" wrapText="1"/>
    </xf>
    <xf numFmtId="0" fontId="22" fillId="0" borderId="16" xfId="0" applyFont="1" applyBorder="1" applyAlignment="1">
      <alignment horizontal="center" vertical="top" wrapText="1"/>
    </xf>
    <xf numFmtId="0" fontId="22" fillId="0" borderId="5" xfId="0" applyFont="1" applyBorder="1" applyAlignment="1">
      <alignment horizontal="center" vertical="top" wrapText="1"/>
    </xf>
    <xf numFmtId="0" fontId="22" fillId="0" borderId="21" xfId="0" applyFont="1" applyBorder="1" applyAlignment="1">
      <alignment horizontal="center"/>
    </xf>
    <xf numFmtId="0" fontId="4" fillId="4" borderId="4" xfId="0" applyFont="1" applyFill="1" applyBorder="1" applyAlignment="1">
      <alignment horizontal="center" vertical="top" wrapText="1"/>
    </xf>
  </cellXfs>
  <cellStyles count="119">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s>
</file>

<file path=xl/ctrlProps/ctrlProp1.xml><?xml version="1.0" encoding="utf-8"?>
<formControlPr xmlns="http://schemas.microsoft.com/office/spreadsheetml/2009/9/main" objectType="Radio" checked="Checked" firstButton="1" fmlaLink="$B$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314325</xdr:colOff>
          <xdr:row>19</xdr:row>
          <xdr:rowOff>47625</xdr:rowOff>
        </xdr:from>
        <xdr:to>
          <xdr:col>2</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47625</xdr:rowOff>
        </xdr:from>
        <xdr:to>
          <xdr:col>4</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ENW_Main_FBP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Networks\ElecDistrib\Elec_Distrib_Lib\Regulatory_Reporting\Cost_Reporting_\Cost_Reporting_Rules\Rules%202007-08%20development\Master%20RRP%200708%20v7-1-PR%20(inc%20LPN%20test%20data)%20format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vApr13/CDCM%20Inputs/IDNO%20Discounts/Method%20M%20WPD_WM_95%20and%20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Splits and results"/>
      <sheetName val="Allocation Summary"/>
      <sheetName val="WPD - Final Allocation"/>
      <sheetName val="Calc - WPD Opex Allocation"/>
      <sheetName val="Calc-Units"/>
      <sheetName val="Calc-Drivers"/>
      <sheetName val="Calc-MEAV"/>
      <sheetName val="Calc-Net capex"/>
      <sheetName val="Summary of revenue"/>
      <sheetName val="Allowed revenue -DPCR4"/>
      <sheetName val="FBPQ T4"/>
      <sheetName val="FBPQ LR1"/>
      <sheetName val="FBPQ LR4"/>
      <sheetName val="FBPQ LR6"/>
      <sheetName val="FBPQ NL1"/>
      <sheetName val="FBPQ C2"/>
      <sheetName val="RRP 1.3"/>
      <sheetName val="RRP 2.3"/>
      <sheetName val="RRP 2.4"/>
      <sheetName val="RRP 2.6"/>
      <sheetName val="RRP 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ow r="138">
          <cell r="I138">
            <v>0</v>
          </cell>
        </row>
        <row r="139">
          <cell r="I139">
            <v>0</v>
          </cell>
        </row>
        <row r="140">
          <cell r="I140">
            <v>0</v>
          </cell>
        </row>
        <row r="143">
          <cell r="I143">
            <v>0</v>
          </cell>
        </row>
        <row r="144">
          <cell r="I144">
            <v>0</v>
          </cell>
        </row>
      </sheetData>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election activeCell="A7" sqref="A7"/>
    </sheetView>
  </sheetViews>
  <sheetFormatPr defaultColWidth="22.28515625" defaultRowHeight="15"/>
  <cols>
    <col min="1" max="1" width="22.28515625" style="1399"/>
    <col min="2" max="2" width="84.140625" style="1399" bestFit="1" customWidth="1"/>
    <col min="3" max="16384" width="22.28515625" style="1399"/>
  </cols>
  <sheetData>
    <row r="1" spans="1:5" ht="19.5">
      <c r="A1" s="1396" t="str">
        <f>"Index from Method M ("&amp;Inputs!B19&amp;") for "&amp;Inputs!B6&amp;" in "&amp;Inputs!C6&amp;"  Status: "&amp;Inputs!D6&amp;""</f>
        <v>Index from Method M (LR1) for WPD West Midlands in 2014/15  Status: r6349</v>
      </c>
    </row>
    <row r="3" spans="1:5">
      <c r="A3" s="1448" t="s">
        <v>1008</v>
      </c>
    </row>
    <row r="4" spans="1:5">
      <c r="A4" s="1448" t="s">
        <v>1009</v>
      </c>
    </row>
    <row r="5" spans="1:5">
      <c r="A5" s="1448" t="s">
        <v>1010</v>
      </c>
    </row>
    <row r="6" spans="1:5">
      <c r="A6" s="1448"/>
    </row>
    <row r="7" spans="1:5">
      <c r="A7" s="1448" t="s">
        <v>1011</v>
      </c>
    </row>
    <row r="8" spans="1:5">
      <c r="A8" s="1448"/>
    </row>
    <row r="9" spans="1:5" s="1447" customFormat="1">
      <c r="A9" s="1403" t="s">
        <v>1001</v>
      </c>
      <c r="B9" s="1403" t="s">
        <v>1003</v>
      </c>
      <c r="C9" s="1399"/>
      <c r="D9" s="1399"/>
      <c r="E9" s="1399"/>
    </row>
    <row r="10" spans="1:5">
      <c r="A10" s="1399" t="s">
        <v>1002</v>
      </c>
      <c r="B10" s="1399" t="s">
        <v>1007</v>
      </c>
    </row>
    <row r="11" spans="1:5">
      <c r="A11" s="1399" t="s">
        <v>933</v>
      </c>
      <c r="B11" s="1399" t="s">
        <v>1004</v>
      </c>
    </row>
    <row r="12" spans="1:5">
      <c r="A12" s="1399" t="s">
        <v>934</v>
      </c>
      <c r="B12" s="1399" t="s">
        <v>1004</v>
      </c>
    </row>
    <row r="13" spans="1:5">
      <c r="A13" s="1399" t="s">
        <v>935</v>
      </c>
      <c r="B13" s="1399" t="s">
        <v>1004</v>
      </c>
    </row>
    <row r="14" spans="1:5">
      <c r="A14" s="1399" t="s">
        <v>936</v>
      </c>
      <c r="B14" s="1399" t="s">
        <v>1004</v>
      </c>
    </row>
    <row r="15" spans="1:5">
      <c r="A15" s="1399" t="s">
        <v>937</v>
      </c>
      <c r="B15" s="1399" t="s">
        <v>1004</v>
      </c>
    </row>
    <row r="16" spans="1:5">
      <c r="A16" s="1399" t="s">
        <v>938</v>
      </c>
      <c r="B16" s="1399" t="s">
        <v>1004</v>
      </c>
    </row>
    <row r="17" spans="1:2">
      <c r="A17" s="1399" t="s">
        <v>939</v>
      </c>
      <c r="B17" s="1399" t="s">
        <v>1004</v>
      </c>
    </row>
    <row r="18" spans="1:2">
      <c r="A18" s="1399" t="s">
        <v>940</v>
      </c>
      <c r="B18" s="1399" t="s">
        <v>1004</v>
      </c>
    </row>
    <row r="19" spans="1:2">
      <c r="A19" s="1399" t="s">
        <v>941</v>
      </c>
      <c r="B19" s="1399" t="s">
        <v>1004</v>
      </c>
    </row>
    <row r="20" spans="1:2">
      <c r="A20" s="1399" t="s">
        <v>942</v>
      </c>
      <c r="B20" s="1399" t="s">
        <v>1004</v>
      </c>
    </row>
    <row r="21" spans="1:2">
      <c r="A21" s="1399" t="s">
        <v>943</v>
      </c>
      <c r="B21" s="1399" t="s">
        <v>1004</v>
      </c>
    </row>
    <row r="22" spans="1:2">
      <c r="A22" s="1399" t="s">
        <v>944</v>
      </c>
      <c r="B22" s="1399" t="s">
        <v>1004</v>
      </c>
    </row>
    <row r="23" spans="1:2">
      <c r="A23" s="1399" t="s">
        <v>945</v>
      </c>
      <c r="B23" s="1399" t="s">
        <v>1004</v>
      </c>
    </row>
    <row r="24" spans="1:2">
      <c r="A24" s="1399" t="s">
        <v>946</v>
      </c>
      <c r="B24" s="1399" t="s">
        <v>1004</v>
      </c>
    </row>
    <row r="25" spans="1:2">
      <c r="A25" s="1399" t="s">
        <v>932</v>
      </c>
      <c r="B25" s="1399" t="s">
        <v>1005</v>
      </c>
    </row>
    <row r="26" spans="1:2">
      <c r="A26" s="1399" t="s">
        <v>947</v>
      </c>
      <c r="B26" s="1399" t="s">
        <v>1006</v>
      </c>
    </row>
    <row r="27" spans="1:2">
      <c r="A27" s="1399" t="s">
        <v>948</v>
      </c>
      <c r="B27" s="1399" t="s">
        <v>1014</v>
      </c>
    </row>
    <row r="28" spans="1:2">
      <c r="A28" s="1399" t="s">
        <v>949</v>
      </c>
      <c r="B28" s="1399" t="s">
        <v>1014</v>
      </c>
    </row>
    <row r="29" spans="1:2">
      <c r="A29" s="1399" t="s">
        <v>950</v>
      </c>
      <c r="B29" s="1399" t="s">
        <v>1014</v>
      </c>
    </row>
    <row r="30" spans="1:2">
      <c r="A30" s="1399" t="s">
        <v>951</v>
      </c>
      <c r="B30" s="1399" t="s">
        <v>1014</v>
      </c>
    </row>
    <row r="31" spans="1:2">
      <c r="A31" s="1399" t="s">
        <v>952</v>
      </c>
      <c r="B31" s="1399" t="s">
        <v>1014</v>
      </c>
    </row>
    <row r="32" spans="1:2">
      <c r="A32" s="1399" t="s">
        <v>953</v>
      </c>
      <c r="B32" s="1399" t="s">
        <v>1014</v>
      </c>
    </row>
    <row r="33" spans="1:2">
      <c r="A33" s="1399" t="s">
        <v>955</v>
      </c>
      <c r="B33" s="1399" t="s">
        <v>1015</v>
      </c>
    </row>
    <row r="35" spans="1:2" ht="19.5">
      <c r="A35" s="1449" t="s">
        <v>1012</v>
      </c>
    </row>
    <row r="36" spans="1:2">
      <c r="A36" s="1399" t="s">
        <v>1013</v>
      </c>
    </row>
    <row r="37" spans="1:2">
      <c r="A37" s="1399" t="s">
        <v>1017</v>
      </c>
    </row>
    <row r="38" spans="1:2">
      <c r="A38" s="1399" t="s">
        <v>1016</v>
      </c>
    </row>
  </sheetData>
  <autoFilter ref="A9:B33"/>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zoomScale="85" zoomScaleNormal="70" zoomScaleSheetLayoutView="85" zoomScalePageLayoutView="70" workbookViewId="0">
      <selection sqref="A1:XFD1048576"/>
    </sheetView>
  </sheetViews>
  <sheetFormatPr defaultColWidth="10.28515625" defaultRowHeight="12.75"/>
  <cols>
    <col min="1" max="1" width="3.28515625" style="1795" customWidth="1"/>
    <col min="2" max="2" width="30.85546875" style="1795" customWidth="1"/>
    <col min="3" max="3" width="14.42578125" style="1795" customWidth="1"/>
    <col min="4" max="25" width="15" style="1795" customWidth="1"/>
    <col min="26" max="16384" width="10.28515625" style="1795"/>
  </cols>
  <sheetData>
    <row r="1" spans="1:13" s="1704" customFormat="1" ht="26.25">
      <c r="A1" s="827" t="s">
        <v>167</v>
      </c>
      <c r="B1" s="828"/>
      <c r="C1" s="1703"/>
      <c r="D1" s="1703"/>
      <c r="E1" s="1703"/>
      <c r="F1" s="1703"/>
      <c r="G1" s="829"/>
    </row>
    <row r="2" spans="1:13" s="1704" customFormat="1" ht="18">
      <c r="A2" s="828" t="s">
        <v>168</v>
      </c>
      <c r="B2" s="830"/>
    </row>
    <row r="3" spans="1:13" s="1705" customFormat="1" ht="27" thickBot="1">
      <c r="A3" s="831" t="s">
        <v>790</v>
      </c>
      <c r="B3" s="832"/>
      <c r="D3" s="1706"/>
    </row>
    <row r="5" spans="1:13" s="1707" customFormat="1" ht="15.75" customHeight="1">
      <c r="B5" s="1708" t="s">
        <v>791</v>
      </c>
    </row>
    <row r="6" spans="1:13" s="1707" customFormat="1" ht="15.75" customHeight="1" thickBot="1"/>
    <row r="7" spans="1:13" s="1707" customFormat="1" ht="15.75" customHeight="1">
      <c r="B7" s="1987"/>
      <c r="C7" s="1988"/>
      <c r="D7" s="1709" t="s">
        <v>116</v>
      </c>
      <c r="E7" s="1710"/>
      <c r="F7" s="1710"/>
      <c r="G7" s="1710"/>
      <c r="H7" s="1711"/>
      <c r="I7" s="1709" t="s">
        <v>117</v>
      </c>
      <c r="J7" s="1712"/>
      <c r="K7" s="1712"/>
      <c r="L7" s="1712"/>
      <c r="M7" s="1711"/>
    </row>
    <row r="8" spans="1:13" s="1707" customFormat="1" ht="15.75" customHeight="1">
      <c r="B8" s="1989"/>
      <c r="C8" s="1990"/>
      <c r="D8" s="1713" t="s">
        <v>32</v>
      </c>
      <c r="E8" s="1714" t="s">
        <v>33</v>
      </c>
      <c r="F8" s="1714" t="s">
        <v>29</v>
      </c>
      <c r="G8" s="1714" t="s">
        <v>34</v>
      </c>
      <c r="H8" s="1715" t="s">
        <v>35</v>
      </c>
      <c r="I8" s="1713" t="s">
        <v>118</v>
      </c>
      <c r="J8" s="1714" t="s">
        <v>136</v>
      </c>
      <c r="K8" s="1714" t="s">
        <v>137</v>
      </c>
      <c r="L8" s="1714" t="s">
        <v>138</v>
      </c>
      <c r="M8" s="1715" t="s">
        <v>139</v>
      </c>
    </row>
    <row r="9" spans="1:13" s="1707" customFormat="1" ht="15.75" customHeight="1">
      <c r="B9" s="1716" t="s">
        <v>123</v>
      </c>
      <c r="C9" s="1717"/>
      <c r="D9" s="833"/>
      <c r="E9" s="834"/>
      <c r="F9" s="834"/>
      <c r="G9" s="834"/>
      <c r="H9" s="835"/>
      <c r="I9" s="833"/>
      <c r="J9" s="834"/>
      <c r="K9" s="834"/>
      <c r="L9" s="834"/>
      <c r="M9" s="835"/>
    </row>
    <row r="10" spans="1:13" s="1707" customFormat="1" ht="15.75" customHeight="1">
      <c r="B10" s="1718" t="s">
        <v>792</v>
      </c>
      <c r="C10" s="1717" t="s">
        <v>14</v>
      </c>
      <c r="D10" s="836">
        <f t="shared" ref="D10:M10" si="0">D37+D46</f>
        <v>0</v>
      </c>
      <c r="E10" s="837">
        <f t="shared" si="0"/>
        <v>0</v>
      </c>
      <c r="F10" s="837">
        <f t="shared" si="0"/>
        <v>0</v>
      </c>
      <c r="G10" s="837">
        <f t="shared" si="0"/>
        <v>0</v>
      </c>
      <c r="H10" s="835">
        <f t="shared" si="0"/>
        <v>0</v>
      </c>
      <c r="I10" s="836">
        <f t="shared" si="0"/>
        <v>0</v>
      </c>
      <c r="J10" s="838">
        <f t="shared" si="0"/>
        <v>0</v>
      </c>
      <c r="K10" s="838">
        <f t="shared" si="0"/>
        <v>0</v>
      </c>
      <c r="L10" s="838">
        <f t="shared" si="0"/>
        <v>0</v>
      </c>
      <c r="M10" s="839">
        <f t="shared" si="0"/>
        <v>0</v>
      </c>
    </row>
    <row r="11" spans="1:13" s="1707" customFormat="1" ht="15.75" customHeight="1">
      <c r="B11" s="1718" t="s">
        <v>793</v>
      </c>
      <c r="C11" s="1717" t="s">
        <v>14</v>
      </c>
      <c r="D11" s="840"/>
      <c r="E11" s="840"/>
      <c r="F11" s="840"/>
      <c r="G11" s="840"/>
      <c r="H11" s="841"/>
      <c r="I11" s="842"/>
      <c r="J11" s="843"/>
      <c r="K11" s="843"/>
      <c r="L11" s="843"/>
      <c r="M11" s="844"/>
    </row>
    <row r="12" spans="1:13" s="1707" customFormat="1" ht="15.75" customHeight="1">
      <c r="B12" s="1718" t="s">
        <v>794</v>
      </c>
      <c r="C12" s="1717" t="s">
        <v>14</v>
      </c>
      <c r="D12" s="840"/>
      <c r="E12" s="840"/>
      <c r="F12" s="840"/>
      <c r="G12" s="840"/>
      <c r="H12" s="841"/>
      <c r="I12" s="842"/>
      <c r="J12" s="843"/>
      <c r="K12" s="843"/>
      <c r="L12" s="843"/>
      <c r="M12" s="844"/>
    </row>
    <row r="13" spans="1:13" s="1707" customFormat="1" ht="15.75" customHeight="1">
      <c r="B13" s="1716" t="s">
        <v>795</v>
      </c>
      <c r="C13" s="1717"/>
      <c r="D13" s="833"/>
      <c r="E13" s="834"/>
      <c r="F13" s="834"/>
      <c r="G13" s="834"/>
      <c r="H13" s="835"/>
      <c r="I13" s="833"/>
      <c r="J13" s="834"/>
      <c r="K13" s="834"/>
      <c r="L13" s="834"/>
      <c r="M13" s="835"/>
    </row>
    <row r="14" spans="1:13" s="1707" customFormat="1" ht="15.75" customHeight="1">
      <c r="B14" s="1718" t="s">
        <v>796</v>
      </c>
      <c r="C14" s="1717" t="s">
        <v>14</v>
      </c>
      <c r="D14" s="840"/>
      <c r="E14" s="840"/>
      <c r="F14" s="840"/>
      <c r="G14" s="840"/>
      <c r="H14" s="841"/>
      <c r="I14" s="842"/>
      <c r="J14" s="843"/>
      <c r="K14" s="843"/>
      <c r="L14" s="843"/>
      <c r="M14" s="844"/>
    </row>
    <row r="15" spans="1:13" s="1707" customFormat="1" ht="15.75" customHeight="1">
      <c r="B15" s="1718" t="s">
        <v>797</v>
      </c>
      <c r="C15" s="1717" t="s">
        <v>14</v>
      </c>
      <c r="D15" s="840"/>
      <c r="E15" s="840"/>
      <c r="F15" s="840"/>
      <c r="G15" s="840"/>
      <c r="H15" s="841"/>
      <c r="I15" s="842"/>
      <c r="J15" s="843"/>
      <c r="K15" s="843"/>
      <c r="L15" s="843"/>
      <c r="M15" s="844"/>
    </row>
    <row r="16" spans="1:13" s="1707" customFormat="1" ht="15.75" customHeight="1">
      <c r="B16" s="1718" t="s">
        <v>798</v>
      </c>
      <c r="C16" s="1717" t="s">
        <v>14</v>
      </c>
      <c r="D16" s="840"/>
      <c r="E16" s="840"/>
      <c r="F16" s="840"/>
      <c r="G16" s="840"/>
      <c r="H16" s="841"/>
      <c r="I16" s="842"/>
      <c r="J16" s="843"/>
      <c r="K16" s="843"/>
      <c r="L16" s="843"/>
      <c r="M16" s="844"/>
    </row>
    <row r="17" spans="2:13" s="1707" customFormat="1" ht="15.75" customHeight="1">
      <c r="B17" s="1716" t="s">
        <v>652</v>
      </c>
      <c r="C17" s="1717"/>
      <c r="D17" s="833"/>
      <c r="E17" s="834"/>
      <c r="F17" s="834"/>
      <c r="G17" s="834"/>
      <c r="H17" s="835"/>
      <c r="I17" s="833"/>
      <c r="J17" s="834"/>
      <c r="K17" s="834"/>
      <c r="L17" s="834"/>
      <c r="M17" s="835"/>
    </row>
    <row r="18" spans="2:13" s="1707" customFormat="1" ht="15.75" customHeight="1">
      <c r="B18" s="1718" t="s">
        <v>799</v>
      </c>
      <c r="C18" s="1717" t="s">
        <v>14</v>
      </c>
      <c r="D18" s="840"/>
      <c r="E18" s="840"/>
      <c r="F18" s="840"/>
      <c r="G18" s="840"/>
      <c r="H18" s="841"/>
      <c r="I18" s="842"/>
      <c r="J18" s="843"/>
      <c r="K18" s="843"/>
      <c r="L18" s="843"/>
      <c r="M18" s="844"/>
    </row>
    <row r="19" spans="2:13" s="1707" customFormat="1" ht="15.75" customHeight="1">
      <c r="B19" s="1718" t="s">
        <v>800</v>
      </c>
      <c r="C19" s="1717" t="s">
        <v>14</v>
      </c>
      <c r="D19" s="840"/>
      <c r="E19" s="840"/>
      <c r="F19" s="840"/>
      <c r="G19" s="840"/>
      <c r="H19" s="841"/>
      <c r="I19" s="842"/>
      <c r="J19" s="843"/>
      <c r="K19" s="843"/>
      <c r="L19" s="843"/>
      <c r="M19" s="844"/>
    </row>
    <row r="20" spans="2:13" s="1707" customFormat="1" ht="15.75" customHeight="1">
      <c r="B20" s="1718" t="s">
        <v>801</v>
      </c>
      <c r="C20" s="1717" t="s">
        <v>14</v>
      </c>
      <c r="D20" s="840"/>
      <c r="E20" s="840"/>
      <c r="F20" s="840"/>
      <c r="G20" s="840"/>
      <c r="H20" s="841"/>
      <c r="I20" s="842"/>
      <c r="J20" s="843"/>
      <c r="K20" s="843"/>
      <c r="L20" s="843"/>
      <c r="M20" s="844"/>
    </row>
    <row r="21" spans="2:13" s="1707" customFormat="1" ht="15.75" customHeight="1">
      <c r="B21" s="1718" t="s">
        <v>802</v>
      </c>
      <c r="C21" s="1717" t="s">
        <v>14</v>
      </c>
      <c r="D21" s="840"/>
      <c r="E21" s="840"/>
      <c r="F21" s="840"/>
      <c r="G21" s="840"/>
      <c r="H21" s="841"/>
      <c r="I21" s="842"/>
      <c r="J21" s="843"/>
      <c r="K21" s="843"/>
      <c r="L21" s="843"/>
      <c r="M21" s="844"/>
    </row>
    <row r="22" spans="2:13" s="1720" customFormat="1" ht="15.75" customHeight="1">
      <c r="B22" s="1156"/>
      <c r="C22" s="1719" t="s">
        <v>14</v>
      </c>
      <c r="D22" s="840"/>
      <c r="E22" s="840"/>
      <c r="F22" s="840"/>
      <c r="G22" s="840"/>
      <c r="H22" s="841"/>
      <c r="I22" s="842"/>
      <c r="J22" s="843"/>
      <c r="K22" s="843"/>
      <c r="L22" s="843"/>
      <c r="M22" s="844"/>
    </row>
    <row r="23" spans="2:13" s="1720" customFormat="1" ht="15.75" customHeight="1">
      <c r="B23" s="1156" t="s">
        <v>803</v>
      </c>
      <c r="C23" s="1719" t="s">
        <v>14</v>
      </c>
      <c r="D23" s="845"/>
      <c r="E23" s="845"/>
      <c r="F23" s="845"/>
      <c r="G23" s="845"/>
      <c r="H23" s="846"/>
      <c r="I23" s="847"/>
      <c r="J23" s="848"/>
      <c r="K23" s="848"/>
      <c r="L23" s="848"/>
      <c r="M23" s="849"/>
    </row>
    <row r="24" spans="2:13" s="1720" customFormat="1" ht="15.75" customHeight="1">
      <c r="B24" s="1156" t="s">
        <v>804</v>
      </c>
      <c r="C24" s="1719" t="s">
        <v>14</v>
      </c>
      <c r="D24" s="845"/>
      <c r="E24" s="845"/>
      <c r="F24" s="845"/>
      <c r="G24" s="845"/>
      <c r="H24" s="846"/>
      <c r="I24" s="847"/>
      <c r="J24" s="848"/>
      <c r="K24" s="848"/>
      <c r="L24" s="848"/>
      <c r="M24" s="849"/>
    </row>
    <row r="25" spans="2:13" s="1720" customFormat="1" ht="15.75" customHeight="1" thickBot="1">
      <c r="B25" s="1721" t="s">
        <v>246</v>
      </c>
      <c r="C25" s="1722" t="s">
        <v>14</v>
      </c>
      <c r="D25" s="1723">
        <f t="shared" ref="D25:M25" si="1">SUM(D10:D24)</f>
        <v>0</v>
      </c>
      <c r="E25" s="1724">
        <f t="shared" si="1"/>
        <v>0</v>
      </c>
      <c r="F25" s="1724">
        <f t="shared" si="1"/>
        <v>0</v>
      </c>
      <c r="G25" s="1724">
        <f t="shared" si="1"/>
        <v>0</v>
      </c>
      <c r="H25" s="1724">
        <f t="shared" si="1"/>
        <v>0</v>
      </c>
      <c r="I25" s="1723">
        <f t="shared" si="1"/>
        <v>0</v>
      </c>
      <c r="J25" s="1724">
        <f t="shared" si="1"/>
        <v>0</v>
      </c>
      <c r="K25" s="1724">
        <f t="shared" si="1"/>
        <v>0</v>
      </c>
      <c r="L25" s="1724">
        <f t="shared" si="1"/>
        <v>0</v>
      </c>
      <c r="M25" s="1725">
        <f t="shared" si="1"/>
        <v>0</v>
      </c>
    </row>
    <row r="26" spans="2:13" s="1707" customFormat="1" ht="15.75" customHeight="1">
      <c r="B26" s="1726"/>
      <c r="C26" s="1727"/>
      <c r="D26" s="1728"/>
      <c r="E26" s="1728"/>
      <c r="F26" s="1728"/>
    </row>
    <row r="27" spans="2:13" s="1707" customFormat="1" ht="15.75" customHeight="1"/>
    <row r="28" spans="2:13" s="1707" customFormat="1" ht="15.75" customHeight="1">
      <c r="B28" s="1708" t="s">
        <v>805</v>
      </c>
      <c r="C28" s="1708"/>
      <c r="D28" s="1708"/>
      <c r="E28" s="1708"/>
      <c r="F28" s="1708"/>
      <c r="G28" s="1708"/>
      <c r="H28" s="1708"/>
      <c r="I28" s="1708"/>
      <c r="J28" s="1708"/>
      <c r="K28" s="1708"/>
    </row>
    <row r="29" spans="2:13" s="1707" customFormat="1" ht="15.75" customHeight="1">
      <c r="B29" s="1708"/>
      <c r="C29" s="1708"/>
      <c r="D29" s="1708"/>
      <c r="E29" s="1708"/>
      <c r="F29" s="1708"/>
      <c r="G29" s="1708"/>
      <c r="H29" s="1708"/>
      <c r="I29" s="1708"/>
      <c r="J29" s="1708"/>
      <c r="K29" s="1708"/>
    </row>
    <row r="30" spans="2:13" s="1707" customFormat="1" ht="15.75" customHeight="1" thickBot="1">
      <c r="B30" s="1157" t="s">
        <v>806</v>
      </c>
      <c r="C30" s="1708"/>
      <c r="D30" s="1708"/>
      <c r="E30" s="1708"/>
      <c r="F30" s="1708"/>
      <c r="G30" s="1708"/>
      <c r="H30" s="1708"/>
      <c r="I30" s="1708"/>
      <c r="J30" s="1708"/>
      <c r="K30" s="1708"/>
    </row>
    <row r="31" spans="2:13" s="1707" customFormat="1" ht="15.75" customHeight="1">
      <c r="B31" s="1987"/>
      <c r="C31" s="1988"/>
      <c r="D31" s="1710" t="s">
        <v>116</v>
      </c>
      <c r="E31" s="1710"/>
      <c r="F31" s="1710"/>
      <c r="G31" s="1710"/>
      <c r="H31" s="1711"/>
      <c r="I31" s="1709" t="s">
        <v>117</v>
      </c>
      <c r="J31" s="1712"/>
      <c r="K31" s="1712"/>
      <c r="L31" s="1712"/>
      <c r="M31" s="1711"/>
    </row>
    <row r="32" spans="2:13" s="1707" customFormat="1" ht="15.75" customHeight="1">
      <c r="B32" s="1989"/>
      <c r="C32" s="1990"/>
      <c r="D32" s="1729" t="s">
        <v>32</v>
      </c>
      <c r="E32" s="1714" t="s">
        <v>33</v>
      </c>
      <c r="F32" s="1714" t="s">
        <v>29</v>
      </c>
      <c r="G32" s="1714" t="s">
        <v>34</v>
      </c>
      <c r="H32" s="1715" t="s">
        <v>35</v>
      </c>
      <c r="I32" s="1713" t="s">
        <v>118</v>
      </c>
      <c r="J32" s="1714" t="s">
        <v>136</v>
      </c>
      <c r="K32" s="1714" t="s">
        <v>137</v>
      </c>
      <c r="L32" s="1714" t="s">
        <v>138</v>
      </c>
      <c r="M32" s="1715" t="s">
        <v>139</v>
      </c>
    </row>
    <row r="33" spans="2:13" s="1707" customFormat="1" ht="15.75" customHeight="1">
      <c r="B33" s="1718" t="s">
        <v>737</v>
      </c>
      <c r="C33" s="1717" t="s">
        <v>14</v>
      </c>
      <c r="D33" s="840"/>
      <c r="E33" s="840"/>
      <c r="F33" s="840"/>
      <c r="G33" s="840"/>
      <c r="H33" s="841"/>
      <c r="I33" s="842"/>
      <c r="J33" s="843"/>
      <c r="K33" s="843"/>
      <c r="L33" s="843"/>
      <c r="M33" s="844"/>
    </row>
    <row r="34" spans="2:13" s="1707" customFormat="1" ht="15.75" customHeight="1">
      <c r="B34" s="1718" t="s">
        <v>239</v>
      </c>
      <c r="C34" s="1717" t="s">
        <v>14</v>
      </c>
      <c r="D34" s="840"/>
      <c r="E34" s="840"/>
      <c r="F34" s="840"/>
      <c r="G34" s="840"/>
      <c r="H34" s="841"/>
      <c r="I34" s="842"/>
      <c r="J34" s="843"/>
      <c r="K34" s="843"/>
      <c r="L34" s="843"/>
      <c r="M34" s="844"/>
    </row>
    <row r="35" spans="2:13" s="1707" customFormat="1" ht="15.75" customHeight="1">
      <c r="B35" s="1718" t="s">
        <v>245</v>
      </c>
      <c r="C35" s="1717" t="s">
        <v>14</v>
      </c>
      <c r="D35" s="840"/>
      <c r="E35" s="840"/>
      <c r="F35" s="840"/>
      <c r="G35" s="840"/>
      <c r="H35" s="841"/>
      <c r="I35" s="842"/>
      <c r="J35" s="843"/>
      <c r="K35" s="843"/>
      <c r="L35" s="843"/>
      <c r="M35" s="844"/>
    </row>
    <row r="36" spans="2:13" s="1707" customFormat="1" ht="15.75" customHeight="1">
      <c r="B36" s="1718" t="s">
        <v>497</v>
      </c>
      <c r="C36" s="1730" t="s">
        <v>14</v>
      </c>
      <c r="D36" s="840"/>
      <c r="E36" s="840"/>
      <c r="F36" s="840"/>
      <c r="G36" s="840"/>
      <c r="H36" s="841"/>
      <c r="I36" s="842"/>
      <c r="J36" s="843"/>
      <c r="K36" s="843"/>
      <c r="L36" s="843"/>
      <c r="M36" s="844"/>
    </row>
    <row r="37" spans="2:13" s="1707" customFormat="1" ht="15.75" customHeight="1" thickBot="1">
      <c r="B37" s="1731" t="s">
        <v>246</v>
      </c>
      <c r="C37" s="1732" t="s">
        <v>14</v>
      </c>
      <c r="D37" s="1733">
        <f t="shared" ref="D37:M37" si="2">SUM(D33:D36)</f>
        <v>0</v>
      </c>
      <c r="E37" s="1734">
        <f t="shared" si="2"/>
        <v>0</v>
      </c>
      <c r="F37" s="1734">
        <f t="shared" si="2"/>
        <v>0</v>
      </c>
      <c r="G37" s="1734">
        <f t="shared" si="2"/>
        <v>0</v>
      </c>
      <c r="H37" s="1735">
        <f t="shared" si="2"/>
        <v>0</v>
      </c>
      <c r="I37" s="1736">
        <f t="shared" si="2"/>
        <v>0</v>
      </c>
      <c r="J37" s="1734">
        <f t="shared" si="2"/>
        <v>0</v>
      </c>
      <c r="K37" s="1734">
        <f t="shared" si="2"/>
        <v>0</v>
      </c>
      <c r="L37" s="1734">
        <f t="shared" si="2"/>
        <v>0</v>
      </c>
      <c r="M37" s="1735">
        <f t="shared" si="2"/>
        <v>0</v>
      </c>
    </row>
    <row r="38" spans="2:13" s="1707" customFormat="1" ht="15.75" customHeight="1"/>
    <row r="39" spans="2:13" s="1707" customFormat="1" ht="15.75" customHeight="1" thickBot="1">
      <c r="B39" s="1157" t="s">
        <v>807</v>
      </c>
      <c r="C39" s="1708"/>
      <c r="D39" s="1708"/>
      <c r="E39" s="1708"/>
      <c r="F39" s="1708"/>
      <c r="G39" s="1708"/>
      <c r="H39" s="1708"/>
      <c r="I39" s="1708"/>
      <c r="J39" s="1708"/>
      <c r="K39" s="1708"/>
    </row>
    <row r="40" spans="2:13" s="1707" customFormat="1" ht="15.75" customHeight="1">
      <c r="B40" s="1987"/>
      <c r="C40" s="1988"/>
      <c r="D40" s="1710" t="s">
        <v>116</v>
      </c>
      <c r="E40" s="1710"/>
      <c r="F40" s="1710"/>
      <c r="G40" s="1710"/>
      <c r="H40" s="1711"/>
      <c r="I40" s="1709" t="s">
        <v>117</v>
      </c>
      <c r="J40" s="1712"/>
      <c r="K40" s="1712"/>
      <c r="L40" s="1712"/>
      <c r="M40" s="1711"/>
    </row>
    <row r="41" spans="2:13" s="1707" customFormat="1" ht="15.75" customHeight="1">
      <c r="B41" s="1989"/>
      <c r="C41" s="1990"/>
      <c r="D41" s="1729" t="s">
        <v>32</v>
      </c>
      <c r="E41" s="1714" t="s">
        <v>33</v>
      </c>
      <c r="F41" s="1714" t="s">
        <v>29</v>
      </c>
      <c r="G41" s="1714" t="s">
        <v>34</v>
      </c>
      <c r="H41" s="1715" t="s">
        <v>35</v>
      </c>
      <c r="I41" s="1713" t="s">
        <v>118</v>
      </c>
      <c r="J41" s="1714" t="s">
        <v>136</v>
      </c>
      <c r="K41" s="1714" t="s">
        <v>137</v>
      </c>
      <c r="L41" s="1714" t="s">
        <v>138</v>
      </c>
      <c r="M41" s="1715" t="s">
        <v>139</v>
      </c>
    </row>
    <row r="42" spans="2:13" s="1707" customFormat="1" ht="15.75" customHeight="1">
      <c r="B42" s="1718" t="s">
        <v>737</v>
      </c>
      <c r="C42" s="1717" t="s">
        <v>14</v>
      </c>
      <c r="D42" s="850"/>
      <c r="E42" s="851"/>
      <c r="F42" s="840"/>
      <c r="G42" s="840"/>
      <c r="H42" s="841"/>
      <c r="I42" s="842"/>
      <c r="J42" s="843"/>
      <c r="K42" s="843"/>
      <c r="L42" s="843"/>
      <c r="M42" s="844"/>
    </row>
    <row r="43" spans="2:13" s="1707" customFormat="1" ht="15.75" customHeight="1">
      <c r="B43" s="1718" t="s">
        <v>239</v>
      </c>
      <c r="C43" s="1717" t="s">
        <v>14</v>
      </c>
      <c r="D43" s="850"/>
      <c r="E43" s="851"/>
      <c r="F43" s="840"/>
      <c r="G43" s="840"/>
      <c r="H43" s="841"/>
      <c r="I43" s="842"/>
      <c r="J43" s="843"/>
      <c r="K43" s="843"/>
      <c r="L43" s="843"/>
      <c r="M43" s="844"/>
    </row>
    <row r="44" spans="2:13" s="1707" customFormat="1" ht="15.75" customHeight="1">
      <c r="B44" s="1718" t="s">
        <v>245</v>
      </c>
      <c r="C44" s="1717" t="s">
        <v>14</v>
      </c>
      <c r="D44" s="850"/>
      <c r="E44" s="851"/>
      <c r="F44" s="840"/>
      <c r="G44" s="840"/>
      <c r="H44" s="841"/>
      <c r="I44" s="842"/>
      <c r="J44" s="843"/>
      <c r="K44" s="843"/>
      <c r="L44" s="843"/>
      <c r="M44" s="844"/>
    </row>
    <row r="45" spans="2:13" s="1707" customFormat="1" ht="15.75" customHeight="1">
      <c r="B45" s="1718" t="s">
        <v>497</v>
      </c>
      <c r="C45" s="1730" t="s">
        <v>14</v>
      </c>
      <c r="D45" s="850"/>
      <c r="E45" s="851"/>
      <c r="F45" s="840"/>
      <c r="G45" s="840"/>
      <c r="H45" s="841"/>
      <c r="I45" s="842"/>
      <c r="J45" s="843"/>
      <c r="K45" s="843"/>
      <c r="L45" s="843"/>
      <c r="M45" s="844"/>
    </row>
    <row r="46" spans="2:13" s="1707" customFormat="1" ht="15.75" customHeight="1" thickBot="1">
      <c r="B46" s="1731" t="s">
        <v>246</v>
      </c>
      <c r="C46" s="1732" t="s">
        <v>14</v>
      </c>
      <c r="D46" s="1733">
        <f t="shared" ref="D46:M46" si="3">SUM(D42:D45)</f>
        <v>0</v>
      </c>
      <c r="E46" s="1734">
        <f t="shared" si="3"/>
        <v>0</v>
      </c>
      <c r="F46" s="1734">
        <f t="shared" si="3"/>
        <v>0</v>
      </c>
      <c r="G46" s="1734">
        <f t="shared" si="3"/>
        <v>0</v>
      </c>
      <c r="H46" s="1735">
        <f t="shared" si="3"/>
        <v>0</v>
      </c>
      <c r="I46" s="1736">
        <f t="shared" si="3"/>
        <v>0</v>
      </c>
      <c r="J46" s="1734">
        <f t="shared" si="3"/>
        <v>0</v>
      </c>
      <c r="K46" s="1734">
        <f t="shared" si="3"/>
        <v>0</v>
      </c>
      <c r="L46" s="1734">
        <f t="shared" si="3"/>
        <v>0</v>
      </c>
      <c r="M46" s="1735">
        <f t="shared" si="3"/>
        <v>0</v>
      </c>
    </row>
    <row r="47" spans="2:13" s="1707" customFormat="1" ht="15.75" customHeight="1"/>
    <row r="48" spans="2:13" s="1707" customFormat="1" ht="15.75" customHeight="1">
      <c r="B48" s="1708" t="s">
        <v>808</v>
      </c>
      <c r="C48" s="1708"/>
      <c r="D48" s="1708"/>
      <c r="E48" s="1708"/>
      <c r="F48" s="1708"/>
      <c r="G48" s="1708"/>
      <c r="H48" s="1708"/>
      <c r="I48" s="1708"/>
      <c r="J48" s="1708"/>
      <c r="K48" s="1708"/>
      <c r="L48" s="1708"/>
    </row>
    <row r="49" spans="2:24" s="1707" customFormat="1" ht="15.75" customHeight="1" thickBot="1">
      <c r="B49" s="1157"/>
      <c r="C49" s="1708"/>
      <c r="D49" s="1708"/>
      <c r="E49" s="1708"/>
      <c r="F49" s="1708"/>
      <c r="G49" s="1708"/>
      <c r="H49" s="1708"/>
      <c r="I49" s="1708"/>
      <c r="J49" s="1708"/>
      <c r="K49" s="1708"/>
      <c r="L49" s="1708"/>
    </row>
    <row r="50" spans="2:24" s="1707" customFormat="1" ht="15.75" customHeight="1">
      <c r="B50" s="1737"/>
      <c r="C50" s="1738" t="s">
        <v>809</v>
      </c>
      <c r="D50" s="1739" t="s">
        <v>810</v>
      </c>
      <c r="E50" s="1739" t="s">
        <v>811</v>
      </c>
      <c r="F50" s="1739" t="s">
        <v>812</v>
      </c>
      <c r="G50" s="1739" t="s">
        <v>813</v>
      </c>
      <c r="H50" s="1740" t="s">
        <v>814</v>
      </c>
      <c r="I50" s="1708"/>
    </row>
    <row r="51" spans="2:24" s="1707" customFormat="1" ht="15.75" customHeight="1">
      <c r="B51" s="1741" t="s">
        <v>737</v>
      </c>
      <c r="C51" s="1742"/>
      <c r="D51" s="1743"/>
      <c r="E51" s="852"/>
      <c r="F51" s="1743"/>
      <c r="G51" s="1743"/>
      <c r="H51" s="1744"/>
      <c r="I51" s="1708"/>
    </row>
    <row r="52" spans="2:24" s="1707" customFormat="1" ht="15.75" customHeight="1">
      <c r="B52" s="1741" t="s">
        <v>239</v>
      </c>
      <c r="C52" s="1742"/>
      <c r="D52" s="1743"/>
      <c r="E52" s="852"/>
      <c r="F52" s="1743"/>
      <c r="G52" s="1743"/>
      <c r="H52" s="1744"/>
      <c r="I52" s="1708"/>
    </row>
    <row r="53" spans="2:24" s="1707" customFormat="1" ht="15.75" customHeight="1">
      <c r="B53" s="1741" t="s">
        <v>245</v>
      </c>
      <c r="C53" s="1742"/>
      <c r="D53" s="1743"/>
      <c r="E53" s="852"/>
      <c r="F53" s="1743"/>
      <c r="G53" s="1743"/>
      <c r="H53" s="1744"/>
      <c r="I53" s="1708"/>
    </row>
    <row r="54" spans="2:24" s="1707" customFormat="1" ht="15.75" customHeight="1">
      <c r="B54" s="1741" t="s">
        <v>497</v>
      </c>
      <c r="C54" s="1742"/>
      <c r="D54" s="1743"/>
      <c r="E54" s="852"/>
      <c r="F54" s="1743"/>
      <c r="G54" s="1743"/>
      <c r="H54" s="1744"/>
      <c r="I54" s="1708"/>
    </row>
    <row r="55" spans="2:24" s="1707" customFormat="1" ht="15.75" customHeight="1" thickBot="1">
      <c r="B55" s="1745" t="s">
        <v>246</v>
      </c>
      <c r="C55" s="1746">
        <f t="shared" ref="C55:H55" si="4">SUM(C51:C54)</f>
        <v>0</v>
      </c>
      <c r="D55" s="1747">
        <f t="shared" si="4"/>
        <v>0</v>
      </c>
      <c r="E55" s="1747">
        <f t="shared" si="4"/>
        <v>0</v>
      </c>
      <c r="F55" s="1747">
        <f t="shared" si="4"/>
        <v>0</v>
      </c>
      <c r="G55" s="1747">
        <f t="shared" si="4"/>
        <v>0</v>
      </c>
      <c r="H55" s="1748">
        <f t="shared" si="4"/>
        <v>0</v>
      </c>
      <c r="I55" s="1708"/>
    </row>
    <row r="56" spans="2:24" s="1707" customFormat="1" ht="15.75" customHeight="1">
      <c r="B56" s="1708"/>
      <c r="C56" s="1708"/>
      <c r="D56" s="1708"/>
      <c r="E56" s="1708"/>
      <c r="F56" s="1708"/>
      <c r="G56" s="1708"/>
      <c r="H56" s="1708"/>
      <c r="I56" s="1708"/>
    </row>
    <row r="57" spans="2:24" s="1707" customFormat="1" ht="15.75" customHeight="1" thickBot="1"/>
    <row r="58" spans="2:24" s="1707" customFormat="1" ht="15.75" customHeight="1">
      <c r="B58" s="1980" t="s">
        <v>815</v>
      </c>
      <c r="C58" s="1991"/>
      <c r="D58" s="1991"/>
      <c r="E58" s="1991"/>
      <c r="F58" s="1991"/>
      <c r="G58" s="1991"/>
      <c r="H58" s="1992"/>
      <c r="I58" s="1749"/>
      <c r="J58" s="2001" t="s">
        <v>816</v>
      </c>
      <c r="K58" s="2002"/>
      <c r="L58" s="2002"/>
      <c r="M58" s="2002"/>
      <c r="N58" s="2002"/>
      <c r="O58" s="2002"/>
      <c r="P58" s="2003"/>
      <c r="R58" s="1980" t="s">
        <v>117</v>
      </c>
      <c r="S58" s="1981"/>
      <c r="T58" s="1981"/>
      <c r="U58" s="1981"/>
      <c r="V58" s="1981"/>
      <c r="W58" s="1981"/>
      <c r="X58" s="1982"/>
    </row>
    <row r="59" spans="2:24" s="1707" customFormat="1" ht="15.75" customHeight="1">
      <c r="B59" s="1978"/>
      <c r="C59" s="1750" t="s">
        <v>817</v>
      </c>
      <c r="D59" s="2004" t="s">
        <v>818</v>
      </c>
      <c r="E59" s="2005"/>
      <c r="F59" s="2005"/>
      <c r="G59" s="2005"/>
      <c r="H59" s="2006"/>
      <c r="J59" s="1751"/>
      <c r="K59" s="1750" t="s">
        <v>817</v>
      </c>
      <c r="L59" s="2004" t="s">
        <v>819</v>
      </c>
      <c r="M59" s="2005"/>
      <c r="N59" s="2005"/>
      <c r="O59" s="2005"/>
      <c r="P59" s="2006"/>
      <c r="R59" s="1978"/>
      <c r="S59" s="1983" t="s">
        <v>817</v>
      </c>
      <c r="T59" s="1975" t="s">
        <v>819</v>
      </c>
      <c r="U59" s="1976"/>
      <c r="V59" s="1976"/>
      <c r="W59" s="1976"/>
      <c r="X59" s="1977"/>
    </row>
    <row r="60" spans="2:24" s="1707" customFormat="1" ht="48.75" customHeight="1">
      <c r="B60" s="1979"/>
      <c r="C60" s="1752"/>
      <c r="D60" s="1753" t="s">
        <v>820</v>
      </c>
      <c r="E60" s="1753" t="s">
        <v>821</v>
      </c>
      <c r="F60" s="1753" t="s">
        <v>822</v>
      </c>
      <c r="G60" s="1158" t="s">
        <v>823</v>
      </c>
      <c r="H60" s="1754" t="s">
        <v>824</v>
      </c>
      <c r="I60" s="1755"/>
      <c r="J60" s="1756"/>
      <c r="K60" s="1757"/>
      <c r="L60" s="1158" t="s">
        <v>820</v>
      </c>
      <c r="M60" s="1158" t="s">
        <v>821</v>
      </c>
      <c r="N60" s="1158" t="s">
        <v>822</v>
      </c>
      <c r="O60" s="1158" t="s">
        <v>823</v>
      </c>
      <c r="P60" s="1754" t="s">
        <v>824</v>
      </c>
      <c r="R60" s="1979"/>
      <c r="S60" s="1986"/>
      <c r="T60" s="1158" t="s">
        <v>820</v>
      </c>
      <c r="U60" s="1158" t="s">
        <v>821</v>
      </c>
      <c r="V60" s="1158" t="s">
        <v>822</v>
      </c>
      <c r="W60" s="1158" t="s">
        <v>823</v>
      </c>
      <c r="X60" s="1754" t="s">
        <v>824</v>
      </c>
    </row>
    <row r="61" spans="2:24" s="1707" customFormat="1" ht="15.75" customHeight="1">
      <c r="B61" s="1741" t="s">
        <v>737</v>
      </c>
      <c r="C61" s="1742">
        <f>SUM(D61:H61)</f>
        <v>0</v>
      </c>
      <c r="D61" s="853"/>
      <c r="E61" s="853"/>
      <c r="F61" s="853"/>
      <c r="G61" s="852"/>
      <c r="H61" s="854"/>
      <c r="I61" s="1755"/>
      <c r="J61" s="1758" t="s">
        <v>737</v>
      </c>
      <c r="K61" s="1759">
        <f>SUM(L61:P61)</f>
        <v>0</v>
      </c>
      <c r="L61" s="855"/>
      <c r="M61" s="855"/>
      <c r="N61" s="855"/>
      <c r="O61" s="856"/>
      <c r="P61" s="857"/>
      <c r="R61" s="1758" t="s">
        <v>737</v>
      </c>
      <c r="S61" s="1759">
        <f>SUM(T61:X61)</f>
        <v>0</v>
      </c>
      <c r="T61" s="855"/>
      <c r="U61" s="855"/>
      <c r="V61" s="855"/>
      <c r="W61" s="856"/>
      <c r="X61" s="857"/>
    </row>
    <row r="62" spans="2:24" s="1707" customFormat="1" ht="15.75" customHeight="1">
      <c r="B62" s="1741" t="s">
        <v>239</v>
      </c>
      <c r="C62" s="1759">
        <f>SUM(D62:H62)</f>
        <v>0</v>
      </c>
      <c r="D62" s="853"/>
      <c r="E62" s="853"/>
      <c r="F62" s="853"/>
      <c r="G62" s="852"/>
      <c r="H62" s="854"/>
      <c r="I62" s="1755"/>
      <c r="J62" s="1741" t="s">
        <v>239</v>
      </c>
      <c r="K62" s="1759">
        <f>SUM(L62:P62)</f>
        <v>0</v>
      </c>
      <c r="L62" s="853"/>
      <c r="M62" s="853"/>
      <c r="N62" s="853"/>
      <c r="O62" s="852"/>
      <c r="P62" s="854"/>
      <c r="R62" s="1741" t="s">
        <v>239</v>
      </c>
      <c r="S62" s="1759">
        <f>SUM(T62:X62)</f>
        <v>0</v>
      </c>
      <c r="T62" s="853"/>
      <c r="U62" s="853"/>
      <c r="V62" s="853"/>
      <c r="W62" s="852"/>
      <c r="X62" s="854"/>
    </row>
    <row r="63" spans="2:24" s="1707" customFormat="1" ht="15.75" customHeight="1">
      <c r="B63" s="1741" t="s">
        <v>245</v>
      </c>
      <c r="C63" s="1759">
        <f>SUM(D63:H63)</f>
        <v>0</v>
      </c>
      <c r="D63" s="853"/>
      <c r="E63" s="853"/>
      <c r="F63" s="853"/>
      <c r="G63" s="852"/>
      <c r="H63" s="854"/>
      <c r="I63" s="1755"/>
      <c r="J63" s="1741" t="s">
        <v>245</v>
      </c>
      <c r="K63" s="1759">
        <f>SUM(L63:P63)</f>
        <v>0</v>
      </c>
      <c r="L63" s="853"/>
      <c r="M63" s="853"/>
      <c r="N63" s="853"/>
      <c r="O63" s="852"/>
      <c r="P63" s="854"/>
      <c r="R63" s="1741" t="s">
        <v>245</v>
      </c>
      <c r="S63" s="1759">
        <f>SUM(T63:X63)</f>
        <v>0</v>
      </c>
      <c r="T63" s="853"/>
      <c r="U63" s="853"/>
      <c r="V63" s="853"/>
      <c r="W63" s="852"/>
      <c r="X63" s="854"/>
    </row>
    <row r="64" spans="2:24" s="1707" customFormat="1" ht="15.75" customHeight="1">
      <c r="B64" s="1741" t="s">
        <v>497</v>
      </c>
      <c r="C64" s="1759">
        <f>SUM(D64:H64)</f>
        <v>0</v>
      </c>
      <c r="D64" s="853"/>
      <c r="E64" s="853"/>
      <c r="F64" s="853"/>
      <c r="G64" s="852"/>
      <c r="H64" s="854"/>
      <c r="I64" s="1755"/>
      <c r="J64" s="1741" t="s">
        <v>497</v>
      </c>
      <c r="K64" s="1759">
        <f>SUM(L64:P64)</f>
        <v>0</v>
      </c>
      <c r="L64" s="853"/>
      <c r="M64" s="853"/>
      <c r="N64" s="853"/>
      <c r="O64" s="852"/>
      <c r="P64" s="854"/>
      <c r="R64" s="1741" t="s">
        <v>497</v>
      </c>
      <c r="S64" s="1759">
        <f>SUM(T64:X64)</f>
        <v>0</v>
      </c>
      <c r="T64" s="853"/>
      <c r="U64" s="853"/>
      <c r="V64" s="853"/>
      <c r="W64" s="852"/>
      <c r="X64" s="854"/>
    </row>
    <row r="65" spans="2:24" s="1707" customFormat="1" ht="15.75" customHeight="1" thickBot="1">
      <c r="B65" s="1745" t="s">
        <v>246</v>
      </c>
      <c r="C65" s="1746">
        <f t="shared" ref="C65:H65" si="5">SUM(C61:C64)</f>
        <v>0</v>
      </c>
      <c r="D65" s="1747">
        <f t="shared" si="5"/>
        <v>0</v>
      </c>
      <c r="E65" s="1747">
        <f t="shared" si="5"/>
        <v>0</v>
      </c>
      <c r="F65" s="1747">
        <f t="shared" si="5"/>
        <v>0</v>
      </c>
      <c r="G65" s="1747">
        <f t="shared" si="5"/>
        <v>0</v>
      </c>
      <c r="H65" s="1748">
        <f t="shared" si="5"/>
        <v>0</v>
      </c>
      <c r="I65" s="1755"/>
      <c r="J65" s="1745" t="s">
        <v>246</v>
      </c>
      <c r="K65" s="1746">
        <f t="shared" ref="K65:P65" si="6">SUM(K61:K64)</f>
        <v>0</v>
      </c>
      <c r="L65" s="1747">
        <f t="shared" si="6"/>
        <v>0</v>
      </c>
      <c r="M65" s="1747">
        <f t="shared" si="6"/>
        <v>0</v>
      </c>
      <c r="N65" s="1747">
        <f t="shared" si="6"/>
        <v>0</v>
      </c>
      <c r="O65" s="1747">
        <f t="shared" si="6"/>
        <v>0</v>
      </c>
      <c r="P65" s="1748">
        <f t="shared" si="6"/>
        <v>0</v>
      </c>
      <c r="R65" s="1745" t="s">
        <v>246</v>
      </c>
      <c r="S65" s="1746">
        <f t="shared" ref="S65:X65" si="7">SUM(S61:S64)</f>
        <v>0</v>
      </c>
      <c r="T65" s="1747">
        <f t="shared" si="7"/>
        <v>0</v>
      </c>
      <c r="U65" s="1747">
        <f t="shared" si="7"/>
        <v>0</v>
      </c>
      <c r="V65" s="1747">
        <f t="shared" si="7"/>
        <v>0</v>
      </c>
      <c r="W65" s="1747">
        <f t="shared" si="7"/>
        <v>0</v>
      </c>
      <c r="X65" s="1748">
        <f t="shared" si="7"/>
        <v>0</v>
      </c>
    </row>
    <row r="66" spans="2:24" s="1707" customFormat="1" ht="15.75" customHeight="1" thickBot="1">
      <c r="B66" s="1760"/>
      <c r="C66" s="1761"/>
      <c r="D66" s="1761"/>
      <c r="E66" s="1761"/>
      <c r="F66" s="1761"/>
      <c r="G66" s="1761"/>
      <c r="H66" s="1761"/>
      <c r="I66" s="1755"/>
      <c r="J66" s="1760"/>
      <c r="K66" s="1761"/>
      <c r="L66" s="1761"/>
      <c r="M66" s="1761"/>
      <c r="N66" s="1761"/>
      <c r="O66" s="1761"/>
      <c r="P66" s="1761"/>
      <c r="R66" s="1760"/>
      <c r="S66" s="1761"/>
      <c r="T66" s="1761"/>
      <c r="U66" s="1761"/>
      <c r="V66" s="1761"/>
      <c r="W66" s="1761"/>
      <c r="X66" s="1761"/>
    </row>
    <row r="67" spans="2:24" s="1707" customFormat="1" ht="15.75" customHeight="1">
      <c r="B67" s="1980" t="s">
        <v>815</v>
      </c>
      <c r="C67" s="1981"/>
      <c r="D67" s="1981"/>
      <c r="E67" s="1981"/>
      <c r="F67" s="1981"/>
      <c r="G67" s="1981"/>
      <c r="H67" s="1982"/>
      <c r="I67" s="1749"/>
      <c r="J67" s="1980" t="s">
        <v>816</v>
      </c>
      <c r="K67" s="1981"/>
      <c r="L67" s="1981"/>
      <c r="M67" s="1981"/>
      <c r="N67" s="1981"/>
      <c r="O67" s="1981"/>
      <c r="P67" s="1982"/>
      <c r="R67" s="1980" t="s">
        <v>117</v>
      </c>
      <c r="S67" s="1981"/>
      <c r="T67" s="1981"/>
      <c r="U67" s="1981"/>
      <c r="V67" s="1981"/>
      <c r="W67" s="1981"/>
      <c r="X67" s="1982"/>
    </row>
    <row r="68" spans="2:24" s="1707" customFormat="1" ht="15.75" customHeight="1">
      <c r="B68" s="1978"/>
      <c r="C68" s="1999" t="s">
        <v>825</v>
      </c>
      <c r="D68" s="1975" t="s">
        <v>818</v>
      </c>
      <c r="E68" s="1976"/>
      <c r="F68" s="1976"/>
      <c r="G68" s="1976"/>
      <c r="H68" s="1977"/>
      <c r="J68" s="1978"/>
      <c r="K68" s="1983" t="s">
        <v>825</v>
      </c>
      <c r="L68" s="1762" t="s">
        <v>819</v>
      </c>
      <c r="M68" s="1763"/>
      <c r="N68" s="1763"/>
      <c r="O68" s="1763"/>
      <c r="P68" s="1764"/>
      <c r="R68" s="1978"/>
      <c r="S68" s="1983" t="s">
        <v>825</v>
      </c>
      <c r="T68" s="1975" t="s">
        <v>819</v>
      </c>
      <c r="U68" s="1976"/>
      <c r="V68" s="1976"/>
      <c r="W68" s="1976"/>
      <c r="X68" s="1977"/>
    </row>
    <row r="69" spans="2:24" s="1707" customFormat="1" ht="30" customHeight="1">
      <c r="B69" s="1979"/>
      <c r="C69" s="2000"/>
      <c r="D69" s="1158" t="s">
        <v>820</v>
      </c>
      <c r="E69" s="1158" t="s">
        <v>821</v>
      </c>
      <c r="F69" s="1158" t="s">
        <v>822</v>
      </c>
      <c r="G69" s="1158" t="s">
        <v>823</v>
      </c>
      <c r="H69" s="1765" t="s">
        <v>824</v>
      </c>
      <c r="I69" s="1755"/>
      <c r="J69" s="1979"/>
      <c r="K69" s="1986"/>
      <c r="L69" s="1766" t="s">
        <v>820</v>
      </c>
      <c r="M69" s="1766" t="s">
        <v>821</v>
      </c>
      <c r="N69" s="1766" t="s">
        <v>822</v>
      </c>
      <c r="O69" s="1766" t="s">
        <v>823</v>
      </c>
      <c r="P69" s="1765" t="s">
        <v>824</v>
      </c>
      <c r="R69" s="1979"/>
      <c r="S69" s="1986"/>
      <c r="T69" s="1158" t="s">
        <v>820</v>
      </c>
      <c r="U69" s="1158" t="s">
        <v>821</v>
      </c>
      <c r="V69" s="1158" t="s">
        <v>822</v>
      </c>
      <c r="W69" s="1158" t="s">
        <v>823</v>
      </c>
      <c r="X69" s="1765" t="s">
        <v>824</v>
      </c>
    </row>
    <row r="70" spans="2:24" s="1707" customFormat="1" ht="15.75" customHeight="1">
      <c r="B70" s="1767" t="s">
        <v>737</v>
      </c>
      <c r="C70" s="855"/>
      <c r="D70" s="855"/>
      <c r="E70" s="855"/>
      <c r="F70" s="855"/>
      <c r="G70" s="856"/>
      <c r="H70" s="1768"/>
      <c r="I70" s="1755"/>
      <c r="J70" s="1758" t="s">
        <v>737</v>
      </c>
      <c r="K70" s="858"/>
      <c r="L70" s="855"/>
      <c r="M70" s="855"/>
      <c r="N70" s="855"/>
      <c r="O70" s="856"/>
      <c r="P70" s="859"/>
      <c r="R70" s="1758" t="s">
        <v>737</v>
      </c>
      <c r="S70" s="858"/>
      <c r="T70" s="855"/>
      <c r="U70" s="855"/>
      <c r="V70" s="855"/>
      <c r="W70" s="856"/>
      <c r="X70" s="859"/>
    </row>
    <row r="71" spans="2:24" s="1707" customFormat="1" ht="15.75" customHeight="1">
      <c r="B71" s="1769" t="s">
        <v>239</v>
      </c>
      <c r="C71" s="853"/>
      <c r="D71" s="853"/>
      <c r="E71" s="853"/>
      <c r="F71" s="853"/>
      <c r="G71" s="852"/>
      <c r="H71" s="1770"/>
      <c r="I71" s="1755"/>
      <c r="J71" s="1741" t="s">
        <v>239</v>
      </c>
      <c r="K71" s="860"/>
      <c r="L71" s="853"/>
      <c r="M71" s="853"/>
      <c r="N71" s="853"/>
      <c r="O71" s="852"/>
      <c r="P71" s="861"/>
      <c r="R71" s="1741" t="s">
        <v>239</v>
      </c>
      <c r="S71" s="860"/>
      <c r="T71" s="853"/>
      <c r="U71" s="853"/>
      <c r="V71" s="853"/>
      <c r="W71" s="852"/>
      <c r="X71" s="861"/>
    </row>
    <row r="72" spans="2:24" s="1707" customFormat="1" ht="15.75" customHeight="1">
      <c r="B72" s="1769" t="s">
        <v>245</v>
      </c>
      <c r="C72" s="853"/>
      <c r="D72" s="853"/>
      <c r="E72" s="853"/>
      <c r="F72" s="853"/>
      <c r="G72" s="852"/>
      <c r="H72" s="1770"/>
      <c r="I72" s="1755"/>
      <c r="J72" s="1741" t="s">
        <v>245</v>
      </c>
      <c r="K72" s="860"/>
      <c r="L72" s="853"/>
      <c r="M72" s="853"/>
      <c r="N72" s="853"/>
      <c r="O72" s="852"/>
      <c r="P72" s="861"/>
      <c r="R72" s="1741" t="s">
        <v>245</v>
      </c>
      <c r="S72" s="860"/>
      <c r="T72" s="853"/>
      <c r="U72" s="853"/>
      <c r="V72" s="853"/>
      <c r="W72" s="852"/>
      <c r="X72" s="861"/>
    </row>
    <row r="73" spans="2:24" s="1707" customFormat="1" ht="15.75" customHeight="1">
      <c r="B73" s="1769" t="s">
        <v>497</v>
      </c>
      <c r="C73" s="853"/>
      <c r="D73" s="853"/>
      <c r="E73" s="853"/>
      <c r="F73" s="853"/>
      <c r="G73" s="852"/>
      <c r="H73" s="1770"/>
      <c r="I73" s="1755"/>
      <c r="J73" s="1741" t="s">
        <v>497</v>
      </c>
      <c r="K73" s="860"/>
      <c r="L73" s="853"/>
      <c r="M73" s="853"/>
      <c r="N73" s="853"/>
      <c r="O73" s="852"/>
      <c r="P73" s="861"/>
      <c r="R73" s="1741" t="s">
        <v>497</v>
      </c>
      <c r="S73" s="860"/>
      <c r="T73" s="853"/>
      <c r="U73" s="853"/>
      <c r="V73" s="853"/>
      <c r="W73" s="852"/>
      <c r="X73" s="861"/>
    </row>
    <row r="74" spans="2:24" s="1707" customFormat="1" ht="15.75" customHeight="1" thickBot="1">
      <c r="B74" s="1771" t="s">
        <v>246</v>
      </c>
      <c r="C74" s="1772">
        <f t="shared" ref="C74:H74" si="8">SUM(C70:C73)</f>
        <v>0</v>
      </c>
      <c r="D74" s="1747">
        <f t="shared" si="8"/>
        <v>0</v>
      </c>
      <c r="E74" s="1747">
        <f t="shared" si="8"/>
        <v>0</v>
      </c>
      <c r="F74" s="1747">
        <f t="shared" si="8"/>
        <v>0</v>
      </c>
      <c r="G74" s="1747">
        <f t="shared" si="8"/>
        <v>0</v>
      </c>
      <c r="H74" s="1773">
        <f t="shared" si="8"/>
        <v>0</v>
      </c>
      <c r="I74" s="1755"/>
      <c r="J74" s="1745" t="s">
        <v>246</v>
      </c>
      <c r="K74" s="1746">
        <f t="shared" ref="K74:P74" si="9">SUM(K70:K73)</f>
        <v>0</v>
      </c>
      <c r="L74" s="1747">
        <f t="shared" si="9"/>
        <v>0</v>
      </c>
      <c r="M74" s="1747">
        <f t="shared" si="9"/>
        <v>0</v>
      </c>
      <c r="N74" s="1747">
        <f t="shared" si="9"/>
        <v>0</v>
      </c>
      <c r="O74" s="1747">
        <f t="shared" si="9"/>
        <v>0</v>
      </c>
      <c r="P74" s="1773">
        <f t="shared" si="9"/>
        <v>0</v>
      </c>
      <c r="R74" s="1745" t="s">
        <v>246</v>
      </c>
      <c r="S74" s="1746">
        <f t="shared" ref="S74:X74" si="10">SUM(S70:S73)</f>
        <v>0</v>
      </c>
      <c r="T74" s="1747">
        <f t="shared" si="10"/>
        <v>0</v>
      </c>
      <c r="U74" s="1747">
        <f t="shared" si="10"/>
        <v>0</v>
      </c>
      <c r="V74" s="1747">
        <f t="shared" si="10"/>
        <v>0</v>
      </c>
      <c r="W74" s="1747">
        <f t="shared" si="10"/>
        <v>0</v>
      </c>
      <c r="X74" s="1773">
        <f t="shared" si="10"/>
        <v>0</v>
      </c>
    </row>
    <row r="75" spans="2:24" s="1707" customFormat="1" ht="15.75" customHeight="1" thickBot="1">
      <c r="B75" s="1760"/>
      <c r="C75" s="1761"/>
      <c r="D75" s="1761"/>
      <c r="E75" s="1761"/>
      <c r="F75" s="1761"/>
      <c r="G75" s="1761"/>
      <c r="H75" s="1761"/>
      <c r="I75" s="1755"/>
      <c r="J75" s="1774"/>
      <c r="K75" s="1775"/>
      <c r="L75" s="1775"/>
      <c r="M75" s="1775"/>
      <c r="N75" s="1775"/>
      <c r="O75" s="1775"/>
      <c r="P75" s="1775"/>
      <c r="R75" s="1760"/>
      <c r="S75" s="1761"/>
      <c r="T75" s="1761"/>
      <c r="U75" s="1761"/>
      <c r="V75" s="1761"/>
      <c r="W75" s="1761"/>
      <c r="X75" s="1761"/>
    </row>
    <row r="76" spans="2:24" s="1707" customFormat="1" ht="15.75" customHeight="1">
      <c r="B76" s="1980" t="s">
        <v>815</v>
      </c>
      <c r="C76" s="1981"/>
      <c r="D76" s="1981"/>
      <c r="E76" s="1981"/>
      <c r="F76" s="1981"/>
      <c r="G76" s="1981"/>
      <c r="H76" s="1982"/>
      <c r="J76" s="1980" t="s">
        <v>816</v>
      </c>
      <c r="K76" s="1981"/>
      <c r="L76" s="1981"/>
      <c r="M76" s="1981"/>
      <c r="N76" s="1981"/>
      <c r="O76" s="1981"/>
      <c r="P76" s="1982"/>
      <c r="R76" s="1980" t="s">
        <v>117</v>
      </c>
      <c r="S76" s="1981"/>
      <c r="T76" s="1981"/>
      <c r="U76" s="1981"/>
      <c r="V76" s="1981"/>
      <c r="W76" s="1981"/>
      <c r="X76" s="1982"/>
    </row>
    <row r="77" spans="2:24" s="1707" customFormat="1" ht="15.75" customHeight="1">
      <c r="B77" s="1978"/>
      <c r="C77" s="1983" t="s">
        <v>826</v>
      </c>
      <c r="D77" s="1975" t="s">
        <v>827</v>
      </c>
      <c r="E77" s="1976"/>
      <c r="F77" s="1976"/>
      <c r="G77" s="1976"/>
      <c r="H77" s="1977"/>
      <c r="J77" s="1978"/>
      <c r="K77" s="1985" t="s">
        <v>826</v>
      </c>
      <c r="L77" s="1762" t="s">
        <v>828</v>
      </c>
      <c r="M77" s="1763"/>
      <c r="N77" s="1763"/>
      <c r="O77" s="1763"/>
      <c r="P77" s="1764"/>
      <c r="R77" s="1978"/>
      <c r="S77" s="1985" t="s">
        <v>826</v>
      </c>
      <c r="T77" s="1975" t="s">
        <v>828</v>
      </c>
      <c r="U77" s="1976"/>
      <c r="V77" s="1976"/>
      <c r="W77" s="1976"/>
      <c r="X77" s="1977"/>
    </row>
    <row r="78" spans="2:24" s="1707" customFormat="1" ht="30" customHeight="1">
      <c r="B78" s="1979"/>
      <c r="C78" s="1984"/>
      <c r="D78" s="1158" t="s">
        <v>820</v>
      </c>
      <c r="E78" s="1158" t="s">
        <v>821</v>
      </c>
      <c r="F78" s="1158" t="s">
        <v>822</v>
      </c>
      <c r="G78" s="1158" t="s">
        <v>823</v>
      </c>
      <c r="H78" s="1765" t="s">
        <v>824</v>
      </c>
      <c r="J78" s="1979"/>
      <c r="K78" s="1986"/>
      <c r="L78" s="1766" t="s">
        <v>820</v>
      </c>
      <c r="M78" s="1766" t="s">
        <v>821</v>
      </c>
      <c r="N78" s="1766" t="s">
        <v>822</v>
      </c>
      <c r="O78" s="1766" t="s">
        <v>823</v>
      </c>
      <c r="P78" s="1765" t="s">
        <v>824</v>
      </c>
      <c r="R78" s="1979"/>
      <c r="S78" s="1986"/>
      <c r="T78" s="1158" t="s">
        <v>820</v>
      </c>
      <c r="U78" s="1158" t="s">
        <v>821</v>
      </c>
      <c r="V78" s="1158" t="s">
        <v>822</v>
      </c>
      <c r="W78" s="1158" t="s">
        <v>823</v>
      </c>
      <c r="X78" s="1765" t="s">
        <v>824</v>
      </c>
    </row>
    <row r="79" spans="2:24" s="1707" customFormat="1" ht="15.75" customHeight="1">
      <c r="B79" s="1758" t="s">
        <v>737</v>
      </c>
      <c r="C79" s="1776">
        <f>SUM(D33:F33)</f>
        <v>0</v>
      </c>
      <c r="D79" s="862"/>
      <c r="E79" s="862"/>
      <c r="F79" s="862"/>
      <c r="G79" s="843"/>
      <c r="H79" s="863"/>
      <c r="J79" s="1758" t="s">
        <v>737</v>
      </c>
      <c r="K79" s="1776">
        <f>SUM(G33:H33)</f>
        <v>0</v>
      </c>
      <c r="L79" s="862"/>
      <c r="M79" s="862"/>
      <c r="N79" s="862"/>
      <c r="O79" s="864"/>
      <c r="P79" s="865"/>
      <c r="R79" s="1758" t="s">
        <v>737</v>
      </c>
      <c r="S79" s="1776">
        <f>SUM(I33:M33)</f>
        <v>0</v>
      </c>
      <c r="T79" s="862"/>
      <c r="U79" s="862"/>
      <c r="V79" s="862"/>
      <c r="W79" s="864"/>
      <c r="X79" s="865"/>
    </row>
    <row r="80" spans="2:24" s="1707" customFormat="1" ht="15.75" customHeight="1">
      <c r="B80" s="1741" t="s">
        <v>239</v>
      </c>
      <c r="C80" s="1776">
        <f>SUM(D34:F34)</f>
        <v>0</v>
      </c>
      <c r="D80" s="840"/>
      <c r="E80" s="840"/>
      <c r="F80" s="840"/>
      <c r="G80" s="843"/>
      <c r="H80" s="863"/>
      <c r="J80" s="1741" t="s">
        <v>239</v>
      </c>
      <c r="K80" s="1776">
        <f>SUM(G34:H34)</f>
        <v>0</v>
      </c>
      <c r="L80" s="840"/>
      <c r="M80" s="840"/>
      <c r="N80" s="840"/>
      <c r="O80" s="843"/>
      <c r="P80" s="863"/>
      <c r="R80" s="1741" t="s">
        <v>239</v>
      </c>
      <c r="S80" s="1776">
        <f>SUM(I34:M34)</f>
        <v>0</v>
      </c>
      <c r="T80" s="840"/>
      <c r="U80" s="840"/>
      <c r="V80" s="840"/>
      <c r="W80" s="843"/>
      <c r="X80" s="863"/>
    </row>
    <row r="81" spans="2:24" s="1707" customFormat="1" ht="15.75" customHeight="1">
      <c r="B81" s="1741" t="s">
        <v>245</v>
      </c>
      <c r="C81" s="1776">
        <f>SUM(D35:F35)</f>
        <v>0</v>
      </c>
      <c r="D81" s="840"/>
      <c r="E81" s="840"/>
      <c r="F81" s="840"/>
      <c r="G81" s="843"/>
      <c r="H81" s="863"/>
      <c r="J81" s="1741" t="s">
        <v>245</v>
      </c>
      <c r="K81" s="1776">
        <f>SUM(G35:H35)</f>
        <v>0</v>
      </c>
      <c r="L81" s="840"/>
      <c r="M81" s="840"/>
      <c r="N81" s="840"/>
      <c r="O81" s="843"/>
      <c r="P81" s="863"/>
      <c r="R81" s="1741" t="s">
        <v>245</v>
      </c>
      <c r="S81" s="1776">
        <f>SUM(I35:M35)</f>
        <v>0</v>
      </c>
      <c r="T81" s="840"/>
      <c r="U81" s="840"/>
      <c r="V81" s="840"/>
      <c r="W81" s="843"/>
      <c r="X81" s="863"/>
    </row>
    <row r="82" spans="2:24" s="1707" customFormat="1" ht="15.75" customHeight="1">
      <c r="B82" s="1741" t="s">
        <v>497</v>
      </c>
      <c r="C82" s="1776">
        <f>SUM(D36:F36)</f>
        <v>0</v>
      </c>
      <c r="D82" s="840"/>
      <c r="E82" s="840"/>
      <c r="F82" s="840"/>
      <c r="G82" s="843"/>
      <c r="H82" s="863"/>
      <c r="J82" s="1741" t="s">
        <v>497</v>
      </c>
      <c r="K82" s="1776">
        <f>SUM(G36:H36)</f>
        <v>0</v>
      </c>
      <c r="L82" s="840"/>
      <c r="M82" s="840"/>
      <c r="N82" s="840"/>
      <c r="O82" s="843"/>
      <c r="P82" s="863"/>
      <c r="R82" s="1741" t="s">
        <v>497</v>
      </c>
      <c r="S82" s="1776">
        <f>SUM(I36:M36)</f>
        <v>0</v>
      </c>
      <c r="T82" s="840"/>
      <c r="U82" s="840"/>
      <c r="V82" s="840"/>
      <c r="W82" s="843"/>
      <c r="X82" s="863"/>
    </row>
    <row r="83" spans="2:24" s="1707" customFormat="1" ht="15.75" customHeight="1" thickBot="1">
      <c r="B83" s="1745" t="s">
        <v>246</v>
      </c>
      <c r="C83" s="1777">
        <f t="shared" ref="C83:H83" si="11">SUM(C79:C82)</f>
        <v>0</v>
      </c>
      <c r="D83" s="1778">
        <f t="shared" si="11"/>
        <v>0</v>
      </c>
      <c r="E83" s="1778">
        <f t="shared" si="11"/>
        <v>0</v>
      </c>
      <c r="F83" s="1778">
        <f t="shared" si="11"/>
        <v>0</v>
      </c>
      <c r="G83" s="1778">
        <f t="shared" si="11"/>
        <v>0</v>
      </c>
      <c r="H83" s="1773">
        <f t="shared" si="11"/>
        <v>0</v>
      </c>
      <c r="J83" s="1745" t="s">
        <v>246</v>
      </c>
      <c r="K83" s="1777">
        <f t="shared" ref="K83:P83" si="12">SUM(K79:K82)</f>
        <v>0</v>
      </c>
      <c r="L83" s="1778">
        <f t="shared" si="12"/>
        <v>0</v>
      </c>
      <c r="M83" s="1778">
        <f t="shared" si="12"/>
        <v>0</v>
      </c>
      <c r="N83" s="1778">
        <f t="shared" si="12"/>
        <v>0</v>
      </c>
      <c r="O83" s="1778">
        <f t="shared" si="12"/>
        <v>0</v>
      </c>
      <c r="P83" s="1773">
        <f t="shared" si="12"/>
        <v>0</v>
      </c>
      <c r="R83" s="1745" t="s">
        <v>246</v>
      </c>
      <c r="S83" s="1777">
        <f t="shared" ref="S83:X83" si="13">SUM(S79:S82)</f>
        <v>0</v>
      </c>
      <c r="T83" s="1778">
        <f t="shared" si="13"/>
        <v>0</v>
      </c>
      <c r="U83" s="1778">
        <f t="shared" si="13"/>
        <v>0</v>
      </c>
      <c r="V83" s="1778">
        <f t="shared" si="13"/>
        <v>0</v>
      </c>
      <c r="W83" s="1778">
        <f t="shared" si="13"/>
        <v>0</v>
      </c>
      <c r="X83" s="1773">
        <f t="shared" si="13"/>
        <v>0</v>
      </c>
    </row>
    <row r="84" spans="2:24" s="1707" customFormat="1" ht="15.75" customHeight="1" thickBot="1">
      <c r="J84" s="1779"/>
      <c r="K84" s="1779"/>
      <c r="L84" s="1779"/>
      <c r="M84" s="1779"/>
      <c r="N84" s="1779"/>
      <c r="O84" s="1779"/>
      <c r="P84" s="1779"/>
    </row>
    <row r="85" spans="2:24" s="1707" customFormat="1" ht="15.75" customHeight="1">
      <c r="B85" s="1980" t="s">
        <v>815</v>
      </c>
      <c r="C85" s="1981"/>
      <c r="D85" s="1981"/>
      <c r="E85" s="1981"/>
      <c r="F85" s="1981"/>
      <c r="G85" s="1981"/>
      <c r="H85" s="1982"/>
      <c r="J85" s="1980" t="s">
        <v>816</v>
      </c>
      <c r="K85" s="1981"/>
      <c r="L85" s="1981"/>
      <c r="M85" s="1981"/>
      <c r="N85" s="1981"/>
      <c r="O85" s="1981"/>
      <c r="P85" s="1982"/>
      <c r="R85" s="1980" t="s">
        <v>117</v>
      </c>
      <c r="S85" s="1981"/>
      <c r="T85" s="1981"/>
      <c r="U85" s="1981"/>
      <c r="V85" s="1981"/>
      <c r="W85" s="1981"/>
      <c r="X85" s="1982"/>
    </row>
    <row r="86" spans="2:24" s="1707" customFormat="1" ht="15.75" customHeight="1">
      <c r="B86" s="1978"/>
      <c r="C86" s="1985" t="s">
        <v>829</v>
      </c>
      <c r="D86" s="1975" t="s">
        <v>830</v>
      </c>
      <c r="E86" s="1976"/>
      <c r="F86" s="1976"/>
      <c r="G86" s="1976"/>
      <c r="H86" s="1977"/>
      <c r="J86" s="1978"/>
      <c r="K86" s="1985" t="s">
        <v>829</v>
      </c>
      <c r="L86" s="1762" t="s">
        <v>831</v>
      </c>
      <c r="M86" s="1763"/>
      <c r="N86" s="1763"/>
      <c r="O86" s="1763"/>
      <c r="P86" s="1764"/>
      <c r="R86" s="1978"/>
      <c r="S86" s="1985" t="s">
        <v>829</v>
      </c>
      <c r="T86" s="1975" t="s">
        <v>831</v>
      </c>
      <c r="U86" s="1976"/>
      <c r="V86" s="1976"/>
      <c r="W86" s="1976"/>
      <c r="X86" s="1977"/>
    </row>
    <row r="87" spans="2:24" s="1707" customFormat="1" ht="30" customHeight="1" thickBot="1">
      <c r="B87" s="1979"/>
      <c r="C87" s="1986"/>
      <c r="D87" s="1158" t="s">
        <v>820</v>
      </c>
      <c r="E87" s="1158" t="s">
        <v>821</v>
      </c>
      <c r="F87" s="1158" t="s">
        <v>822</v>
      </c>
      <c r="G87" s="1158" t="s">
        <v>823</v>
      </c>
      <c r="H87" s="1780" t="s">
        <v>824</v>
      </c>
      <c r="J87" s="1979"/>
      <c r="K87" s="1986"/>
      <c r="L87" s="1766" t="s">
        <v>820</v>
      </c>
      <c r="M87" s="1766" t="s">
        <v>821</v>
      </c>
      <c r="N87" s="1766" t="s">
        <v>822</v>
      </c>
      <c r="O87" s="1766" t="s">
        <v>823</v>
      </c>
      <c r="P87" s="1765"/>
      <c r="R87" s="1979"/>
      <c r="S87" s="1986"/>
      <c r="T87" s="1158" t="s">
        <v>820</v>
      </c>
      <c r="U87" s="1158" t="s">
        <v>821</v>
      </c>
      <c r="V87" s="1158" t="s">
        <v>822</v>
      </c>
      <c r="W87" s="1158" t="s">
        <v>823</v>
      </c>
      <c r="X87" s="1765"/>
    </row>
    <row r="88" spans="2:24" s="1707" customFormat="1" ht="15.75" customHeight="1">
      <c r="B88" s="1758" t="s">
        <v>737</v>
      </c>
      <c r="C88" s="1776">
        <f t="shared" ref="C88:G91" si="14">IF(C70&gt;0,C79*1000/C70,0)</f>
        <v>0</v>
      </c>
      <c r="D88" s="1781">
        <f t="shared" si="14"/>
        <v>0</v>
      </c>
      <c r="E88" s="1781">
        <f t="shared" si="14"/>
        <v>0</v>
      </c>
      <c r="F88" s="1781">
        <f t="shared" si="14"/>
        <v>0</v>
      </c>
      <c r="G88" s="1781">
        <f t="shared" si="14"/>
        <v>0</v>
      </c>
      <c r="H88" s="866"/>
      <c r="J88" s="1758" t="s">
        <v>737</v>
      </c>
      <c r="K88" s="1776">
        <f t="shared" ref="K88:O91" si="15">IF(K70&gt;0,K79*1000/K70,0)</f>
        <v>0</v>
      </c>
      <c r="L88" s="1781">
        <f t="shared" si="15"/>
        <v>0</v>
      </c>
      <c r="M88" s="1781">
        <f t="shared" si="15"/>
        <v>0</v>
      </c>
      <c r="N88" s="1781">
        <f t="shared" si="15"/>
        <v>0</v>
      </c>
      <c r="O88" s="1781">
        <f t="shared" si="15"/>
        <v>0</v>
      </c>
      <c r="P88" s="865"/>
      <c r="R88" s="1758" t="s">
        <v>737</v>
      </c>
      <c r="S88" s="1776">
        <f t="shared" ref="S88:W91" si="16">IF(S70&gt;0,S79*1000/S70,0)</f>
        <v>0</v>
      </c>
      <c r="T88" s="1781">
        <f t="shared" si="16"/>
        <v>0</v>
      </c>
      <c r="U88" s="1781">
        <f t="shared" si="16"/>
        <v>0</v>
      </c>
      <c r="V88" s="1781">
        <f t="shared" si="16"/>
        <v>0</v>
      </c>
      <c r="W88" s="1781">
        <f t="shared" si="16"/>
        <v>0</v>
      </c>
      <c r="X88" s="865"/>
    </row>
    <row r="89" spans="2:24" s="1707" customFormat="1" ht="15.75" customHeight="1">
      <c r="B89" s="1741" t="s">
        <v>239</v>
      </c>
      <c r="C89" s="1782">
        <f t="shared" si="14"/>
        <v>0</v>
      </c>
      <c r="D89" s="1783">
        <f t="shared" si="14"/>
        <v>0</v>
      </c>
      <c r="E89" s="1783">
        <f t="shared" si="14"/>
        <v>0</v>
      </c>
      <c r="F89" s="1783">
        <f t="shared" si="14"/>
        <v>0</v>
      </c>
      <c r="G89" s="1783">
        <f t="shared" si="14"/>
        <v>0</v>
      </c>
      <c r="H89" s="863"/>
      <c r="J89" s="1741" t="s">
        <v>239</v>
      </c>
      <c r="K89" s="1782">
        <f t="shared" si="15"/>
        <v>0</v>
      </c>
      <c r="L89" s="1783">
        <f t="shared" si="15"/>
        <v>0</v>
      </c>
      <c r="M89" s="1783">
        <f t="shared" si="15"/>
        <v>0</v>
      </c>
      <c r="N89" s="1783">
        <f t="shared" si="15"/>
        <v>0</v>
      </c>
      <c r="O89" s="1783">
        <f t="shared" si="15"/>
        <v>0</v>
      </c>
      <c r="P89" s="863"/>
      <c r="R89" s="1741" t="s">
        <v>239</v>
      </c>
      <c r="S89" s="1782">
        <f t="shared" si="16"/>
        <v>0</v>
      </c>
      <c r="T89" s="1783">
        <f t="shared" si="16"/>
        <v>0</v>
      </c>
      <c r="U89" s="1783">
        <f t="shared" si="16"/>
        <v>0</v>
      </c>
      <c r="V89" s="1783">
        <f t="shared" si="16"/>
        <v>0</v>
      </c>
      <c r="W89" s="1783">
        <f t="shared" si="16"/>
        <v>0</v>
      </c>
      <c r="X89" s="863"/>
    </row>
    <row r="90" spans="2:24" s="1707" customFormat="1" ht="15.75" customHeight="1">
      <c r="B90" s="1741" t="s">
        <v>245</v>
      </c>
      <c r="C90" s="1782">
        <f t="shared" si="14"/>
        <v>0</v>
      </c>
      <c r="D90" s="1783">
        <f t="shared" si="14"/>
        <v>0</v>
      </c>
      <c r="E90" s="1783">
        <f t="shared" si="14"/>
        <v>0</v>
      </c>
      <c r="F90" s="1783">
        <f t="shared" si="14"/>
        <v>0</v>
      </c>
      <c r="G90" s="1783">
        <f t="shared" si="14"/>
        <v>0</v>
      </c>
      <c r="H90" s="863"/>
      <c r="J90" s="1741" t="s">
        <v>245</v>
      </c>
      <c r="K90" s="1782">
        <f t="shared" si="15"/>
        <v>0</v>
      </c>
      <c r="L90" s="1783">
        <f t="shared" si="15"/>
        <v>0</v>
      </c>
      <c r="M90" s="1783">
        <f t="shared" si="15"/>
        <v>0</v>
      </c>
      <c r="N90" s="1783">
        <f t="shared" si="15"/>
        <v>0</v>
      </c>
      <c r="O90" s="1783">
        <f t="shared" si="15"/>
        <v>0</v>
      </c>
      <c r="P90" s="863"/>
      <c r="R90" s="1741" t="s">
        <v>245</v>
      </c>
      <c r="S90" s="1782">
        <f t="shared" si="16"/>
        <v>0</v>
      </c>
      <c r="T90" s="1783">
        <f t="shared" si="16"/>
        <v>0</v>
      </c>
      <c r="U90" s="1783">
        <f t="shared" si="16"/>
        <v>0</v>
      </c>
      <c r="V90" s="1783">
        <f t="shared" si="16"/>
        <v>0</v>
      </c>
      <c r="W90" s="1783">
        <f t="shared" si="16"/>
        <v>0</v>
      </c>
      <c r="X90" s="863"/>
    </row>
    <row r="91" spans="2:24" s="1707" customFormat="1" ht="15.75" customHeight="1" thickBot="1">
      <c r="B91" s="1784" t="s">
        <v>497</v>
      </c>
      <c r="C91" s="1785">
        <f t="shared" si="14"/>
        <v>0</v>
      </c>
      <c r="D91" s="1786">
        <f t="shared" si="14"/>
        <v>0</v>
      </c>
      <c r="E91" s="1786">
        <f t="shared" si="14"/>
        <v>0</v>
      </c>
      <c r="F91" s="1786">
        <f t="shared" si="14"/>
        <v>0</v>
      </c>
      <c r="G91" s="1786">
        <f t="shared" si="14"/>
        <v>0</v>
      </c>
      <c r="H91" s="867"/>
      <c r="J91" s="1784" t="s">
        <v>497</v>
      </c>
      <c r="K91" s="1785">
        <f t="shared" si="15"/>
        <v>0</v>
      </c>
      <c r="L91" s="1786">
        <f t="shared" si="15"/>
        <v>0</v>
      </c>
      <c r="M91" s="1786">
        <f t="shared" si="15"/>
        <v>0</v>
      </c>
      <c r="N91" s="1786">
        <f t="shared" si="15"/>
        <v>0</v>
      </c>
      <c r="O91" s="1786">
        <f t="shared" si="15"/>
        <v>0</v>
      </c>
      <c r="P91" s="867"/>
      <c r="R91" s="1784" t="s">
        <v>497</v>
      </c>
      <c r="S91" s="1785">
        <f t="shared" si="16"/>
        <v>0</v>
      </c>
      <c r="T91" s="1786">
        <f t="shared" si="16"/>
        <v>0</v>
      </c>
      <c r="U91" s="1786">
        <f t="shared" si="16"/>
        <v>0</v>
      </c>
      <c r="V91" s="1786">
        <f t="shared" si="16"/>
        <v>0</v>
      </c>
      <c r="W91" s="1786">
        <f t="shared" si="16"/>
        <v>0</v>
      </c>
      <c r="X91" s="867"/>
    </row>
    <row r="92" spans="2:24" s="1707" customFormat="1" ht="15.75" customHeight="1"/>
    <row r="93" spans="2:24" s="1707" customFormat="1" ht="15.75" customHeight="1"/>
    <row r="94" spans="2:24" s="1707" customFormat="1" ht="15.75" customHeight="1">
      <c r="B94" s="1708" t="s">
        <v>832</v>
      </c>
    </row>
    <row r="95" spans="2:24" s="1707" customFormat="1" ht="15.75" customHeight="1" thickBot="1"/>
    <row r="96" spans="2:24" s="1707" customFormat="1" ht="42" customHeight="1">
      <c r="B96" s="1787"/>
      <c r="C96" s="1738" t="s">
        <v>809</v>
      </c>
      <c r="D96" s="1739" t="s">
        <v>810</v>
      </c>
      <c r="E96" s="1739" t="s">
        <v>811</v>
      </c>
      <c r="F96" s="1739" t="s">
        <v>812</v>
      </c>
      <c r="G96" s="1739" t="s">
        <v>813</v>
      </c>
      <c r="H96" s="1740" t="s">
        <v>814</v>
      </c>
      <c r="I96" s="1708"/>
    </row>
    <row r="97" spans="2:24" s="1707" customFormat="1" ht="15.75" customHeight="1">
      <c r="B97" s="1758" t="s">
        <v>737</v>
      </c>
      <c r="C97" s="1759">
        <f>D97+E97</f>
        <v>0</v>
      </c>
      <c r="D97" s="1788">
        <f>C107</f>
        <v>0</v>
      </c>
      <c r="E97" s="856"/>
      <c r="F97" s="1788">
        <f>K107</f>
        <v>0</v>
      </c>
      <c r="G97" s="1788">
        <f>S107</f>
        <v>0</v>
      </c>
      <c r="H97" s="1789">
        <f>E97-SUM(F97:G97)</f>
        <v>0</v>
      </c>
      <c r="I97" s="1708"/>
    </row>
    <row r="98" spans="2:24" s="1707" customFormat="1" ht="15.75" customHeight="1">
      <c r="B98" s="1741" t="s">
        <v>239</v>
      </c>
      <c r="C98" s="1759">
        <f>D98+E98</f>
        <v>0</v>
      </c>
      <c r="D98" s="1788">
        <f>C108</f>
        <v>0</v>
      </c>
      <c r="E98" s="856"/>
      <c r="F98" s="1788">
        <f>K108</f>
        <v>0</v>
      </c>
      <c r="G98" s="1788">
        <f>S108</f>
        <v>0</v>
      </c>
      <c r="H98" s="1789">
        <f>E98-SUM(F98:G98)</f>
        <v>0</v>
      </c>
      <c r="I98" s="1708"/>
    </row>
    <row r="99" spans="2:24" s="1707" customFormat="1" ht="15.75" customHeight="1">
      <c r="B99" s="1741" t="s">
        <v>245</v>
      </c>
      <c r="C99" s="1759">
        <f>D99+E99</f>
        <v>0</v>
      </c>
      <c r="D99" s="1788">
        <f>C109</f>
        <v>0</v>
      </c>
      <c r="E99" s="856"/>
      <c r="F99" s="1788">
        <f>K109</f>
        <v>0</v>
      </c>
      <c r="G99" s="1788">
        <f>S109</f>
        <v>0</v>
      </c>
      <c r="H99" s="1789">
        <f>E99-SUM(F99:G99)</f>
        <v>0</v>
      </c>
      <c r="I99" s="1708"/>
    </row>
    <row r="100" spans="2:24" s="1707" customFormat="1" ht="15.75" customHeight="1">
      <c r="B100" s="1741" t="s">
        <v>497</v>
      </c>
      <c r="C100" s="1759">
        <f>D100+E100</f>
        <v>0</v>
      </c>
      <c r="D100" s="1788">
        <f>C110</f>
        <v>0</v>
      </c>
      <c r="E100" s="856"/>
      <c r="F100" s="1788">
        <f>K110</f>
        <v>0</v>
      </c>
      <c r="G100" s="1788">
        <f>S110</f>
        <v>0</v>
      </c>
      <c r="H100" s="1789">
        <f>E100-SUM(F100:G100)</f>
        <v>0</v>
      </c>
      <c r="I100" s="1708"/>
    </row>
    <row r="101" spans="2:24" s="1707" customFormat="1" ht="15.75" customHeight="1" thickBot="1">
      <c r="B101" s="1745" t="s">
        <v>246</v>
      </c>
      <c r="C101" s="1746">
        <f t="shared" ref="C101:H101" si="17">SUM(C97:C100)</f>
        <v>0</v>
      </c>
      <c r="D101" s="1747">
        <f t="shared" si="17"/>
        <v>0</v>
      </c>
      <c r="E101" s="1747">
        <f t="shared" si="17"/>
        <v>0</v>
      </c>
      <c r="F101" s="1747">
        <f t="shared" si="17"/>
        <v>0</v>
      </c>
      <c r="G101" s="1747">
        <f t="shared" si="17"/>
        <v>0</v>
      </c>
      <c r="H101" s="1748">
        <f t="shared" si="17"/>
        <v>0</v>
      </c>
      <c r="I101" s="1708"/>
    </row>
    <row r="102" spans="2:24" s="1707" customFormat="1" ht="15.75" customHeight="1">
      <c r="B102" s="1708"/>
      <c r="C102" s="1708"/>
      <c r="D102" s="1708"/>
      <c r="E102" s="1708"/>
      <c r="F102" s="1708"/>
      <c r="G102" s="1708"/>
      <c r="H102" s="1708"/>
      <c r="I102" s="1708"/>
    </row>
    <row r="103" spans="2:24" s="1707" customFormat="1" ht="15.75" customHeight="1" thickBot="1"/>
    <row r="104" spans="2:24" s="1707" customFormat="1" ht="15.75" customHeight="1">
      <c r="B104" s="1980" t="s">
        <v>815</v>
      </c>
      <c r="C104" s="1981"/>
      <c r="D104" s="1981"/>
      <c r="E104" s="1981"/>
      <c r="F104" s="1981"/>
      <c r="G104" s="1981"/>
      <c r="H104" s="1982"/>
      <c r="I104" s="1749"/>
      <c r="J104" s="1980" t="s">
        <v>816</v>
      </c>
      <c r="K104" s="1981"/>
      <c r="L104" s="1981"/>
      <c r="M104" s="1981"/>
      <c r="N104" s="1981"/>
      <c r="O104" s="1981"/>
      <c r="P104" s="1982"/>
      <c r="R104" s="1980" t="s">
        <v>117</v>
      </c>
      <c r="S104" s="1981"/>
      <c r="T104" s="1981"/>
      <c r="U104" s="1981"/>
      <c r="V104" s="1981"/>
      <c r="W104" s="1981"/>
      <c r="X104" s="1982"/>
    </row>
    <row r="105" spans="2:24" s="1707" customFormat="1" ht="15.75" customHeight="1">
      <c r="B105" s="1978"/>
      <c r="C105" s="1983" t="s">
        <v>817</v>
      </c>
      <c r="D105" s="1994" t="s">
        <v>818</v>
      </c>
      <c r="E105" s="1995"/>
      <c r="F105" s="1995"/>
      <c r="G105" s="1995"/>
      <c r="H105" s="1996"/>
      <c r="J105" s="1978"/>
      <c r="K105" s="1997" t="s">
        <v>817</v>
      </c>
      <c r="L105" s="1790" t="s">
        <v>819</v>
      </c>
      <c r="M105" s="1791"/>
      <c r="N105" s="1791"/>
      <c r="O105" s="1791"/>
      <c r="P105" s="1792"/>
      <c r="R105" s="1978"/>
      <c r="S105" s="1983" t="s">
        <v>817</v>
      </c>
      <c r="T105" s="1975" t="s">
        <v>819</v>
      </c>
      <c r="U105" s="1976"/>
      <c r="V105" s="1976"/>
      <c r="W105" s="1976"/>
      <c r="X105" s="1977"/>
    </row>
    <row r="106" spans="2:24" s="1707" customFormat="1" ht="39.75" customHeight="1">
      <c r="B106" s="1979"/>
      <c r="C106" s="1986"/>
      <c r="D106" s="1158" t="s">
        <v>833</v>
      </c>
      <c r="E106" s="1158" t="s">
        <v>822</v>
      </c>
      <c r="F106" s="1158" t="s">
        <v>652</v>
      </c>
      <c r="G106" s="1158" t="s">
        <v>834</v>
      </c>
      <c r="H106" s="1754" t="s">
        <v>824</v>
      </c>
      <c r="I106" s="1755"/>
      <c r="J106" s="1979"/>
      <c r="K106" s="1998"/>
      <c r="L106" s="1158" t="s">
        <v>833</v>
      </c>
      <c r="M106" s="1158" t="s">
        <v>822</v>
      </c>
      <c r="N106" s="1158" t="s">
        <v>652</v>
      </c>
      <c r="O106" s="1158" t="s">
        <v>834</v>
      </c>
      <c r="P106" s="1754" t="s">
        <v>824</v>
      </c>
      <c r="R106" s="1979"/>
      <c r="S106" s="1993"/>
      <c r="T106" s="1158" t="s">
        <v>833</v>
      </c>
      <c r="U106" s="1158" t="s">
        <v>822</v>
      </c>
      <c r="V106" s="1158" t="s">
        <v>652</v>
      </c>
      <c r="W106" s="1158" t="s">
        <v>834</v>
      </c>
      <c r="X106" s="1754" t="s">
        <v>824</v>
      </c>
    </row>
    <row r="107" spans="2:24" s="1707" customFormat="1" ht="15.75" customHeight="1">
      <c r="B107" s="1758" t="s">
        <v>737</v>
      </c>
      <c r="C107" s="1759">
        <f>SUM(D107:H107)</f>
        <v>0</v>
      </c>
      <c r="D107" s="855"/>
      <c r="E107" s="855"/>
      <c r="F107" s="855"/>
      <c r="G107" s="856"/>
      <c r="H107" s="857"/>
      <c r="I107" s="1755"/>
      <c r="J107" s="1758" t="s">
        <v>737</v>
      </c>
      <c r="K107" s="1759">
        <f>SUM(L107:P107)</f>
        <v>0</v>
      </c>
      <c r="L107" s="855"/>
      <c r="M107" s="855"/>
      <c r="N107" s="855"/>
      <c r="O107" s="856"/>
      <c r="P107" s="857"/>
      <c r="R107" s="1758" t="s">
        <v>737</v>
      </c>
      <c r="S107" s="1759">
        <f>SUM(T107:X107)</f>
        <v>0</v>
      </c>
      <c r="T107" s="855"/>
      <c r="U107" s="855"/>
      <c r="V107" s="855"/>
      <c r="W107" s="856"/>
      <c r="X107" s="857"/>
    </row>
    <row r="108" spans="2:24" s="1707" customFormat="1" ht="15.75" customHeight="1">
      <c r="B108" s="1741" t="s">
        <v>239</v>
      </c>
      <c r="C108" s="1759">
        <f>SUM(D108:H108)</f>
        <v>0</v>
      </c>
      <c r="D108" s="853"/>
      <c r="E108" s="853"/>
      <c r="F108" s="853"/>
      <c r="G108" s="852"/>
      <c r="H108" s="854"/>
      <c r="I108" s="1755"/>
      <c r="J108" s="1741" t="s">
        <v>239</v>
      </c>
      <c r="K108" s="1759">
        <f>SUM(L108:P108)</f>
        <v>0</v>
      </c>
      <c r="L108" s="853"/>
      <c r="M108" s="853"/>
      <c r="N108" s="853"/>
      <c r="O108" s="852"/>
      <c r="P108" s="854"/>
      <c r="R108" s="1741" t="s">
        <v>239</v>
      </c>
      <c r="S108" s="1759">
        <f>SUM(T108:X108)</f>
        <v>0</v>
      </c>
      <c r="T108" s="853"/>
      <c r="U108" s="853"/>
      <c r="V108" s="853"/>
      <c r="W108" s="852"/>
      <c r="X108" s="854"/>
    </row>
    <row r="109" spans="2:24" s="1707" customFormat="1" ht="15.75" customHeight="1">
      <c r="B109" s="1741" t="s">
        <v>245</v>
      </c>
      <c r="C109" s="1759">
        <f>SUM(D109:H109)</f>
        <v>0</v>
      </c>
      <c r="D109" s="853"/>
      <c r="E109" s="853"/>
      <c r="F109" s="853"/>
      <c r="G109" s="852"/>
      <c r="H109" s="854"/>
      <c r="I109" s="1755"/>
      <c r="J109" s="1741" t="s">
        <v>245</v>
      </c>
      <c r="K109" s="1759">
        <f>SUM(L109:P109)</f>
        <v>0</v>
      </c>
      <c r="L109" s="853"/>
      <c r="M109" s="853"/>
      <c r="N109" s="853"/>
      <c r="O109" s="852"/>
      <c r="P109" s="854"/>
      <c r="R109" s="1741" t="s">
        <v>245</v>
      </c>
      <c r="S109" s="1759">
        <f>SUM(T109:X109)</f>
        <v>0</v>
      </c>
      <c r="T109" s="853"/>
      <c r="U109" s="853"/>
      <c r="V109" s="853"/>
      <c r="W109" s="852"/>
      <c r="X109" s="854"/>
    </row>
    <row r="110" spans="2:24" s="1707" customFormat="1" ht="15.75" customHeight="1">
      <c r="B110" s="1741" t="s">
        <v>497</v>
      </c>
      <c r="C110" s="1759">
        <f>SUM(D110:H110)</f>
        <v>0</v>
      </c>
      <c r="D110" s="853"/>
      <c r="E110" s="853"/>
      <c r="F110" s="853"/>
      <c r="G110" s="852"/>
      <c r="H110" s="854"/>
      <c r="I110" s="1755"/>
      <c r="J110" s="1741" t="s">
        <v>497</v>
      </c>
      <c r="K110" s="1759">
        <f>SUM(L110:P110)</f>
        <v>0</v>
      </c>
      <c r="L110" s="853"/>
      <c r="M110" s="853"/>
      <c r="N110" s="853"/>
      <c r="O110" s="852"/>
      <c r="P110" s="854"/>
      <c r="R110" s="1741" t="s">
        <v>497</v>
      </c>
      <c r="S110" s="1759">
        <f>SUM(T110:X110)</f>
        <v>0</v>
      </c>
      <c r="T110" s="853"/>
      <c r="U110" s="853"/>
      <c r="V110" s="853"/>
      <c r="W110" s="852"/>
      <c r="X110" s="854"/>
    </row>
    <row r="111" spans="2:24" s="1707" customFormat="1" ht="15.75" customHeight="1" thickBot="1">
      <c r="B111" s="1745" t="s">
        <v>246</v>
      </c>
      <c r="C111" s="1746">
        <f t="shared" ref="C111:H111" si="18">SUM(C107:C110)</f>
        <v>0</v>
      </c>
      <c r="D111" s="1747">
        <f t="shared" si="18"/>
        <v>0</v>
      </c>
      <c r="E111" s="1747">
        <f t="shared" si="18"/>
        <v>0</v>
      </c>
      <c r="F111" s="1747">
        <f t="shared" si="18"/>
        <v>0</v>
      </c>
      <c r="G111" s="1747">
        <f t="shared" si="18"/>
        <v>0</v>
      </c>
      <c r="H111" s="1748">
        <f t="shared" si="18"/>
        <v>0</v>
      </c>
      <c r="I111" s="1755"/>
      <c r="J111" s="1745" t="s">
        <v>246</v>
      </c>
      <c r="K111" s="1746">
        <f t="shared" ref="K111:P111" si="19">SUM(K107:K110)</f>
        <v>0</v>
      </c>
      <c r="L111" s="1747">
        <f t="shared" si="19"/>
        <v>0</v>
      </c>
      <c r="M111" s="1747">
        <f t="shared" si="19"/>
        <v>0</v>
      </c>
      <c r="N111" s="1747">
        <f t="shared" si="19"/>
        <v>0</v>
      </c>
      <c r="O111" s="1747">
        <f t="shared" si="19"/>
        <v>0</v>
      </c>
      <c r="P111" s="1748">
        <f t="shared" si="19"/>
        <v>0</v>
      </c>
      <c r="R111" s="1745" t="s">
        <v>246</v>
      </c>
      <c r="S111" s="1746">
        <f t="shared" ref="S111:X111" si="20">SUM(S107:S110)</f>
        <v>0</v>
      </c>
      <c r="T111" s="1747">
        <f t="shared" si="20"/>
        <v>0</v>
      </c>
      <c r="U111" s="1747">
        <f t="shared" si="20"/>
        <v>0</v>
      </c>
      <c r="V111" s="1747">
        <f t="shared" si="20"/>
        <v>0</v>
      </c>
      <c r="W111" s="1747">
        <f t="shared" si="20"/>
        <v>0</v>
      </c>
      <c r="X111" s="1748">
        <f t="shared" si="20"/>
        <v>0</v>
      </c>
    </row>
    <row r="112" spans="2:24" s="1707" customFormat="1" ht="15.75" customHeight="1" thickBot="1">
      <c r="B112" s="1760"/>
      <c r="C112" s="1761"/>
      <c r="D112" s="1761"/>
      <c r="E112" s="1761"/>
      <c r="F112" s="1761"/>
      <c r="G112" s="1761"/>
      <c r="H112" s="1761"/>
      <c r="I112" s="1755"/>
      <c r="J112" s="1760"/>
      <c r="K112" s="1761"/>
      <c r="L112" s="1761"/>
      <c r="M112" s="1761"/>
      <c r="N112" s="1761"/>
      <c r="O112" s="1761"/>
      <c r="P112" s="1761"/>
      <c r="R112" s="1760"/>
      <c r="S112" s="1761"/>
      <c r="T112" s="1761"/>
      <c r="U112" s="1761"/>
      <c r="V112" s="1761"/>
      <c r="W112" s="1761"/>
      <c r="X112" s="1761"/>
    </row>
    <row r="113" spans="2:24" s="1707" customFormat="1" ht="15.75" customHeight="1">
      <c r="B113" s="1980" t="s">
        <v>815</v>
      </c>
      <c r="C113" s="1981"/>
      <c r="D113" s="1981"/>
      <c r="E113" s="1981"/>
      <c r="F113" s="1981"/>
      <c r="G113" s="1981"/>
      <c r="H113" s="1982"/>
      <c r="I113" s="1749"/>
      <c r="J113" s="1980" t="s">
        <v>816</v>
      </c>
      <c r="K113" s="1981"/>
      <c r="L113" s="1981"/>
      <c r="M113" s="1981"/>
      <c r="N113" s="1981"/>
      <c r="O113" s="1981"/>
      <c r="P113" s="1982"/>
      <c r="R113" s="1980" t="s">
        <v>117</v>
      </c>
      <c r="S113" s="1981"/>
      <c r="T113" s="1981"/>
      <c r="U113" s="1981"/>
      <c r="V113" s="1981"/>
      <c r="W113" s="1981"/>
      <c r="X113" s="1982"/>
    </row>
    <row r="114" spans="2:24" s="1707" customFormat="1" ht="15.75" customHeight="1">
      <c r="B114" s="1978"/>
      <c r="C114" s="1983" t="s">
        <v>825</v>
      </c>
      <c r="D114" s="1762" t="s">
        <v>818</v>
      </c>
      <c r="E114" s="1763"/>
      <c r="F114" s="1763"/>
      <c r="G114" s="1763"/>
      <c r="H114" s="1764"/>
      <c r="J114" s="1978"/>
      <c r="K114" s="1983" t="s">
        <v>825</v>
      </c>
      <c r="L114" s="1790" t="s">
        <v>819</v>
      </c>
      <c r="M114" s="1791"/>
      <c r="N114" s="1791"/>
      <c r="O114" s="1791"/>
      <c r="P114" s="1792"/>
      <c r="R114" s="1978"/>
      <c r="S114" s="1983" t="s">
        <v>825</v>
      </c>
      <c r="T114" s="1975" t="s">
        <v>819</v>
      </c>
      <c r="U114" s="1976"/>
      <c r="V114" s="1976"/>
      <c r="W114" s="1976"/>
      <c r="X114" s="1977"/>
    </row>
    <row r="115" spans="2:24" s="1707" customFormat="1" ht="42.75" customHeight="1">
      <c r="B115" s="1979"/>
      <c r="C115" s="1986"/>
      <c r="D115" s="1158" t="s">
        <v>833</v>
      </c>
      <c r="E115" s="1158" t="s">
        <v>822</v>
      </c>
      <c r="F115" s="1158" t="s">
        <v>652</v>
      </c>
      <c r="G115" s="1158" t="s">
        <v>834</v>
      </c>
      <c r="H115" s="1754" t="s">
        <v>824</v>
      </c>
      <c r="I115" s="1755"/>
      <c r="J115" s="1979"/>
      <c r="K115" s="1986"/>
      <c r="L115" s="1158" t="s">
        <v>833</v>
      </c>
      <c r="M115" s="1158" t="s">
        <v>822</v>
      </c>
      <c r="N115" s="1158" t="s">
        <v>652</v>
      </c>
      <c r="O115" s="1158" t="s">
        <v>834</v>
      </c>
      <c r="P115" s="1754" t="s">
        <v>824</v>
      </c>
      <c r="R115" s="1979"/>
      <c r="S115" s="1986"/>
      <c r="T115" s="1158" t="s">
        <v>833</v>
      </c>
      <c r="U115" s="1158" t="s">
        <v>822</v>
      </c>
      <c r="V115" s="1158" t="s">
        <v>652</v>
      </c>
      <c r="W115" s="1158" t="s">
        <v>834</v>
      </c>
      <c r="X115" s="1754" t="s">
        <v>824</v>
      </c>
    </row>
    <row r="116" spans="2:24" s="1707" customFormat="1" ht="15.75" customHeight="1">
      <c r="B116" s="1767" t="s">
        <v>737</v>
      </c>
      <c r="C116" s="855"/>
      <c r="D116" s="855"/>
      <c r="E116" s="855"/>
      <c r="F116" s="855"/>
      <c r="G116" s="859"/>
      <c r="H116" s="1768"/>
      <c r="I116" s="1755"/>
      <c r="J116" s="1758" t="s">
        <v>737</v>
      </c>
      <c r="K116" s="858"/>
      <c r="L116" s="855"/>
      <c r="M116" s="855"/>
      <c r="N116" s="855"/>
      <c r="O116" s="856"/>
      <c r="P116" s="859"/>
      <c r="R116" s="1758" t="s">
        <v>737</v>
      </c>
      <c r="S116" s="858"/>
      <c r="T116" s="855"/>
      <c r="U116" s="855"/>
      <c r="V116" s="855"/>
      <c r="W116" s="856"/>
      <c r="X116" s="859"/>
    </row>
    <row r="117" spans="2:24" s="1707" customFormat="1" ht="15.75" customHeight="1">
      <c r="B117" s="1769" t="s">
        <v>239</v>
      </c>
      <c r="C117" s="853"/>
      <c r="D117" s="853"/>
      <c r="E117" s="853"/>
      <c r="F117" s="853"/>
      <c r="G117" s="861"/>
      <c r="H117" s="1770"/>
      <c r="I117" s="1755"/>
      <c r="J117" s="1741" t="s">
        <v>239</v>
      </c>
      <c r="K117" s="860"/>
      <c r="L117" s="853"/>
      <c r="M117" s="853"/>
      <c r="N117" s="853"/>
      <c r="O117" s="852"/>
      <c r="P117" s="861"/>
      <c r="R117" s="1741" t="s">
        <v>239</v>
      </c>
      <c r="S117" s="860"/>
      <c r="T117" s="853"/>
      <c r="U117" s="853"/>
      <c r="V117" s="853"/>
      <c r="W117" s="852"/>
      <c r="X117" s="861"/>
    </row>
    <row r="118" spans="2:24" s="1707" customFormat="1" ht="15.75" customHeight="1">
      <c r="B118" s="1769" t="s">
        <v>245</v>
      </c>
      <c r="C118" s="853"/>
      <c r="D118" s="853"/>
      <c r="E118" s="853"/>
      <c r="F118" s="853"/>
      <c r="G118" s="861"/>
      <c r="H118" s="1770"/>
      <c r="I118" s="1755"/>
      <c r="J118" s="1741" t="s">
        <v>245</v>
      </c>
      <c r="K118" s="860"/>
      <c r="L118" s="853"/>
      <c r="M118" s="853"/>
      <c r="N118" s="853"/>
      <c r="O118" s="852"/>
      <c r="P118" s="861"/>
      <c r="R118" s="1741" t="s">
        <v>245</v>
      </c>
      <c r="S118" s="860"/>
      <c r="T118" s="853"/>
      <c r="U118" s="853"/>
      <c r="V118" s="853"/>
      <c r="W118" s="852"/>
      <c r="X118" s="861"/>
    </row>
    <row r="119" spans="2:24" s="1707" customFormat="1" ht="15.75" customHeight="1">
      <c r="B119" s="1769" t="s">
        <v>497</v>
      </c>
      <c r="C119" s="853"/>
      <c r="D119" s="853"/>
      <c r="E119" s="853"/>
      <c r="F119" s="853"/>
      <c r="G119" s="861"/>
      <c r="H119" s="1770"/>
      <c r="I119" s="1755"/>
      <c r="J119" s="1741" t="s">
        <v>497</v>
      </c>
      <c r="K119" s="860"/>
      <c r="L119" s="853"/>
      <c r="M119" s="853"/>
      <c r="N119" s="853"/>
      <c r="O119" s="852"/>
      <c r="P119" s="861"/>
      <c r="R119" s="1741" t="s">
        <v>497</v>
      </c>
      <c r="S119" s="860"/>
      <c r="T119" s="853"/>
      <c r="U119" s="853"/>
      <c r="V119" s="853"/>
      <c r="W119" s="852"/>
      <c r="X119" s="861"/>
    </row>
    <row r="120" spans="2:24" s="1707" customFormat="1" ht="15.75" customHeight="1" thickBot="1">
      <c r="B120" s="1771" t="s">
        <v>246</v>
      </c>
      <c r="C120" s="1772">
        <f>SUM(C116:C119)</f>
        <v>0</v>
      </c>
      <c r="D120" s="1747">
        <f>SUM(D116:D119)</f>
        <v>0</v>
      </c>
      <c r="E120" s="1747">
        <f>SUM(E116:E119)</f>
        <v>0</v>
      </c>
      <c r="F120" s="1747">
        <f>SUM(F116:F119)</f>
        <v>0</v>
      </c>
      <c r="G120" s="1793"/>
      <c r="H120" s="1773">
        <f>SUM(H116:H119)</f>
        <v>0</v>
      </c>
      <c r="I120" s="1755"/>
      <c r="J120" s="1745" t="s">
        <v>246</v>
      </c>
      <c r="K120" s="1746">
        <f t="shared" ref="K120:P120" si="21">SUM(K116:K119)</f>
        <v>0</v>
      </c>
      <c r="L120" s="1747">
        <f t="shared" si="21"/>
        <v>0</v>
      </c>
      <c r="M120" s="1747">
        <f t="shared" si="21"/>
        <v>0</v>
      </c>
      <c r="N120" s="1747">
        <f t="shared" si="21"/>
        <v>0</v>
      </c>
      <c r="O120" s="1747">
        <f t="shared" si="21"/>
        <v>0</v>
      </c>
      <c r="P120" s="1773">
        <f t="shared" si="21"/>
        <v>0</v>
      </c>
      <c r="R120" s="1745" t="s">
        <v>246</v>
      </c>
      <c r="S120" s="1746">
        <f t="shared" ref="S120:X120" si="22">SUM(S116:S119)</f>
        <v>0</v>
      </c>
      <c r="T120" s="1747">
        <f t="shared" si="22"/>
        <v>0</v>
      </c>
      <c r="U120" s="1747">
        <f t="shared" si="22"/>
        <v>0</v>
      </c>
      <c r="V120" s="1747">
        <f t="shared" si="22"/>
        <v>0</v>
      </c>
      <c r="W120" s="1747">
        <f t="shared" si="22"/>
        <v>0</v>
      </c>
      <c r="X120" s="1773">
        <f t="shared" si="22"/>
        <v>0</v>
      </c>
    </row>
    <row r="121" spans="2:24" s="1707" customFormat="1" ht="15.75" customHeight="1" thickBot="1">
      <c r="B121" s="1760"/>
      <c r="C121" s="1761"/>
      <c r="D121" s="1761"/>
      <c r="E121" s="1761"/>
      <c r="F121" s="1761"/>
      <c r="G121" s="1761"/>
      <c r="H121" s="1761"/>
      <c r="I121" s="1755"/>
      <c r="J121" s="1760"/>
      <c r="K121" s="1761"/>
      <c r="L121" s="1761"/>
      <c r="M121" s="1761"/>
      <c r="N121" s="1761"/>
      <c r="O121" s="1761"/>
      <c r="P121" s="1761"/>
      <c r="R121" s="1760"/>
      <c r="S121" s="1761"/>
      <c r="T121" s="1761"/>
      <c r="U121" s="1761"/>
      <c r="V121" s="1761"/>
      <c r="W121" s="1761"/>
      <c r="X121" s="1761"/>
    </row>
    <row r="122" spans="2:24" s="1707" customFormat="1" ht="15.75" customHeight="1">
      <c r="B122" s="1980" t="s">
        <v>815</v>
      </c>
      <c r="C122" s="1981"/>
      <c r="D122" s="1981"/>
      <c r="E122" s="1981"/>
      <c r="F122" s="1981"/>
      <c r="G122" s="1981"/>
      <c r="H122" s="1982"/>
      <c r="J122" s="1980" t="s">
        <v>816</v>
      </c>
      <c r="K122" s="1981"/>
      <c r="L122" s="1981"/>
      <c r="M122" s="1981"/>
      <c r="N122" s="1981"/>
      <c r="O122" s="1981"/>
      <c r="P122" s="1982"/>
      <c r="R122" s="1980" t="s">
        <v>117</v>
      </c>
      <c r="S122" s="1981"/>
      <c r="T122" s="1981"/>
      <c r="U122" s="1981"/>
      <c r="V122" s="1981"/>
      <c r="W122" s="1981"/>
      <c r="X122" s="1982"/>
    </row>
    <row r="123" spans="2:24" s="1707" customFormat="1" ht="15.75" customHeight="1">
      <c r="B123" s="1978"/>
      <c r="C123" s="1983" t="s">
        <v>826</v>
      </c>
      <c r="D123" s="1790" t="s">
        <v>827</v>
      </c>
      <c r="E123" s="1791"/>
      <c r="F123" s="1791"/>
      <c r="G123" s="1791"/>
      <c r="H123" s="1792"/>
      <c r="J123" s="1978"/>
      <c r="K123" s="1985" t="s">
        <v>826</v>
      </c>
      <c r="L123" s="1762" t="s">
        <v>828</v>
      </c>
      <c r="M123" s="1763"/>
      <c r="N123" s="1763"/>
      <c r="O123" s="1763"/>
      <c r="P123" s="1764"/>
      <c r="R123" s="1978"/>
      <c r="S123" s="1983" t="s">
        <v>826</v>
      </c>
      <c r="T123" s="1975" t="s">
        <v>828</v>
      </c>
      <c r="U123" s="1976"/>
      <c r="V123" s="1976"/>
      <c r="W123" s="1976"/>
      <c r="X123" s="1977"/>
    </row>
    <row r="124" spans="2:24" s="1707" customFormat="1" ht="39.75" customHeight="1">
      <c r="B124" s="1979"/>
      <c r="C124" s="1986"/>
      <c r="D124" s="1158" t="s">
        <v>833</v>
      </c>
      <c r="E124" s="1158" t="s">
        <v>822</v>
      </c>
      <c r="F124" s="1158" t="s">
        <v>652</v>
      </c>
      <c r="G124" s="1158" t="s">
        <v>834</v>
      </c>
      <c r="H124" s="1754" t="s">
        <v>824</v>
      </c>
      <c r="J124" s="1979"/>
      <c r="K124" s="1986"/>
      <c r="L124" s="1158" t="s">
        <v>833</v>
      </c>
      <c r="M124" s="1158" t="s">
        <v>822</v>
      </c>
      <c r="N124" s="1158" t="s">
        <v>652</v>
      </c>
      <c r="O124" s="1158" t="s">
        <v>834</v>
      </c>
      <c r="P124" s="1754" t="s">
        <v>824</v>
      </c>
      <c r="R124" s="1979"/>
      <c r="S124" s="1986"/>
      <c r="T124" s="1158" t="s">
        <v>833</v>
      </c>
      <c r="U124" s="1158" t="s">
        <v>822</v>
      </c>
      <c r="V124" s="1158" t="s">
        <v>652</v>
      </c>
      <c r="W124" s="1158" t="s">
        <v>834</v>
      </c>
      <c r="X124" s="1754" t="s">
        <v>824</v>
      </c>
    </row>
    <row r="125" spans="2:24" s="1707" customFormat="1" ht="15.75" customHeight="1">
      <c r="B125" s="1758" t="s">
        <v>737</v>
      </c>
      <c r="C125" s="1776">
        <f>SUM(D42:F42)</f>
        <v>0</v>
      </c>
      <c r="D125" s="862"/>
      <c r="E125" s="862"/>
      <c r="F125" s="862"/>
      <c r="G125" s="859"/>
      <c r="H125" s="865"/>
      <c r="J125" s="1758" t="s">
        <v>737</v>
      </c>
      <c r="K125" s="1776">
        <f>SUM(G42:H42)</f>
        <v>0</v>
      </c>
      <c r="L125" s="862"/>
      <c r="M125" s="862"/>
      <c r="N125" s="862"/>
      <c r="O125" s="859"/>
      <c r="P125" s="865"/>
      <c r="R125" s="1758" t="s">
        <v>737</v>
      </c>
      <c r="S125" s="1776">
        <f>SUM(I42:M42)</f>
        <v>0</v>
      </c>
      <c r="T125" s="862"/>
      <c r="U125" s="862"/>
      <c r="V125" s="862"/>
      <c r="W125" s="859"/>
      <c r="X125" s="865"/>
    </row>
    <row r="126" spans="2:24" s="1707" customFormat="1" ht="15.75" customHeight="1">
      <c r="B126" s="1741" t="s">
        <v>239</v>
      </c>
      <c r="C126" s="1776">
        <f>SUM(D43:F43)</f>
        <v>0</v>
      </c>
      <c r="D126" s="840"/>
      <c r="E126" s="840"/>
      <c r="F126" s="840"/>
      <c r="G126" s="861"/>
      <c r="H126" s="863"/>
      <c r="J126" s="1741" t="s">
        <v>239</v>
      </c>
      <c r="K126" s="1776">
        <f>SUM(G43:H43)</f>
        <v>0</v>
      </c>
      <c r="L126" s="840"/>
      <c r="M126" s="840"/>
      <c r="N126" s="840"/>
      <c r="O126" s="861"/>
      <c r="P126" s="863"/>
      <c r="R126" s="1741" t="s">
        <v>239</v>
      </c>
      <c r="S126" s="1776">
        <f>SUM(I43:M43)</f>
        <v>0</v>
      </c>
      <c r="T126" s="840"/>
      <c r="U126" s="840"/>
      <c r="V126" s="840"/>
      <c r="W126" s="861"/>
      <c r="X126" s="863"/>
    </row>
    <row r="127" spans="2:24" s="1707" customFormat="1" ht="15.75" customHeight="1">
      <c r="B127" s="1741" t="s">
        <v>245</v>
      </c>
      <c r="C127" s="1776">
        <f>SUM(D44:F44)</f>
        <v>0</v>
      </c>
      <c r="D127" s="840"/>
      <c r="E127" s="840"/>
      <c r="F127" s="840"/>
      <c r="G127" s="861"/>
      <c r="H127" s="863"/>
      <c r="J127" s="1741" t="s">
        <v>245</v>
      </c>
      <c r="K127" s="1776">
        <f>SUM(G44:H44)</f>
        <v>0</v>
      </c>
      <c r="L127" s="840"/>
      <c r="M127" s="840"/>
      <c r="N127" s="840"/>
      <c r="O127" s="861"/>
      <c r="P127" s="863"/>
      <c r="R127" s="1741" t="s">
        <v>245</v>
      </c>
      <c r="S127" s="1776">
        <f>SUM(I44:M44)</f>
        <v>0</v>
      </c>
      <c r="T127" s="840"/>
      <c r="U127" s="840"/>
      <c r="V127" s="840"/>
      <c r="W127" s="861"/>
      <c r="X127" s="863"/>
    </row>
    <row r="128" spans="2:24" s="1707" customFormat="1" ht="15.75" customHeight="1">
      <c r="B128" s="1741" t="s">
        <v>497</v>
      </c>
      <c r="C128" s="1776">
        <f>SUM(D45:F45)</f>
        <v>0</v>
      </c>
      <c r="D128" s="840"/>
      <c r="E128" s="840"/>
      <c r="F128" s="840"/>
      <c r="G128" s="861"/>
      <c r="H128" s="863"/>
      <c r="J128" s="1741" t="s">
        <v>497</v>
      </c>
      <c r="K128" s="1776">
        <f>SUM(G45:H45)</f>
        <v>0</v>
      </c>
      <c r="L128" s="840"/>
      <c r="M128" s="840"/>
      <c r="N128" s="840"/>
      <c r="O128" s="861"/>
      <c r="P128" s="863"/>
      <c r="R128" s="1741" t="s">
        <v>497</v>
      </c>
      <c r="S128" s="1776">
        <f>SUM(I45:M45)</f>
        <v>0</v>
      </c>
      <c r="T128" s="840"/>
      <c r="U128" s="840"/>
      <c r="V128" s="840"/>
      <c r="W128" s="861"/>
      <c r="X128" s="863"/>
    </row>
    <row r="129" spans="2:24" s="1707" customFormat="1" ht="15.75" customHeight="1" thickBot="1">
      <c r="B129" s="1745" t="s">
        <v>246</v>
      </c>
      <c r="C129" s="1777">
        <f>SUM(C125:C128)</f>
        <v>0</v>
      </c>
      <c r="D129" s="1778">
        <f>SUM(D125:D128)</f>
        <v>0</v>
      </c>
      <c r="E129" s="1778">
        <f>SUM(E125:E128)</f>
        <v>0</v>
      </c>
      <c r="F129" s="1778">
        <f>SUM(F125:F128)</f>
        <v>0</v>
      </c>
      <c r="G129" s="1793"/>
      <c r="H129" s="1773">
        <f>SUM(H125:H128)</f>
        <v>0</v>
      </c>
      <c r="J129" s="1745" t="s">
        <v>246</v>
      </c>
      <c r="K129" s="1777">
        <f>SUM(K125:K128)</f>
        <v>0</v>
      </c>
      <c r="L129" s="1778">
        <f>SUM(L125:L128)</f>
        <v>0</v>
      </c>
      <c r="M129" s="1778">
        <f>SUM(M125:M128)</f>
        <v>0</v>
      </c>
      <c r="N129" s="1778">
        <f>SUM(N125:N128)</f>
        <v>0</v>
      </c>
      <c r="O129" s="1793"/>
      <c r="P129" s="1773">
        <f>SUM(P125:P128)</f>
        <v>0</v>
      </c>
      <c r="R129" s="1745" t="s">
        <v>246</v>
      </c>
      <c r="S129" s="1777">
        <f>SUM(S125:S128)</f>
        <v>0</v>
      </c>
      <c r="T129" s="1778">
        <f>SUM(T125:T128)</f>
        <v>0</v>
      </c>
      <c r="U129" s="1778">
        <f>SUM(U125:U128)</f>
        <v>0</v>
      </c>
      <c r="V129" s="1778">
        <f>SUM(V125:V128)</f>
        <v>0</v>
      </c>
      <c r="W129" s="1793"/>
      <c r="X129" s="1773">
        <f>SUM(X125:X128)</f>
        <v>0</v>
      </c>
    </row>
    <row r="130" spans="2:24" s="1707" customFormat="1" ht="15.75" customHeight="1" thickBot="1"/>
    <row r="131" spans="2:24" s="1707" customFormat="1" ht="15.75" customHeight="1">
      <c r="B131" s="1980" t="s">
        <v>815</v>
      </c>
      <c r="C131" s="1981"/>
      <c r="D131" s="1981"/>
      <c r="E131" s="1981"/>
      <c r="F131" s="1981"/>
      <c r="G131" s="1981"/>
      <c r="H131" s="1982"/>
      <c r="J131" s="1980" t="s">
        <v>816</v>
      </c>
      <c r="K131" s="1981"/>
      <c r="L131" s="1981"/>
      <c r="M131" s="1981"/>
      <c r="N131" s="1981"/>
      <c r="O131" s="1981"/>
      <c r="P131" s="1982"/>
      <c r="R131" s="1980" t="s">
        <v>117</v>
      </c>
      <c r="S131" s="1981"/>
      <c r="T131" s="1981"/>
      <c r="U131" s="1981"/>
      <c r="V131" s="1981"/>
      <c r="W131" s="1981"/>
      <c r="X131" s="1982"/>
    </row>
    <row r="132" spans="2:24" s="1707" customFormat="1" ht="15.75" customHeight="1">
      <c r="B132" s="1978"/>
      <c r="C132" s="1983" t="s">
        <v>829</v>
      </c>
      <c r="D132" s="1790" t="s">
        <v>830</v>
      </c>
      <c r="E132" s="1791"/>
      <c r="F132" s="1791"/>
      <c r="G132" s="1791"/>
      <c r="H132" s="1792"/>
      <c r="J132" s="1978"/>
      <c r="K132" s="1983" t="s">
        <v>829</v>
      </c>
      <c r="L132" s="1790" t="s">
        <v>831</v>
      </c>
      <c r="M132" s="1791"/>
      <c r="N132" s="1791"/>
      <c r="O132" s="1791"/>
      <c r="P132" s="1792"/>
      <c r="R132" s="1978"/>
      <c r="S132" s="1983" t="s">
        <v>829</v>
      </c>
      <c r="T132" s="1975" t="s">
        <v>831</v>
      </c>
      <c r="U132" s="1976"/>
      <c r="V132" s="1976"/>
      <c r="W132" s="1976"/>
      <c r="X132" s="1977"/>
    </row>
    <row r="133" spans="2:24" s="1707" customFormat="1" ht="40.5" customHeight="1">
      <c r="B133" s="1979"/>
      <c r="C133" s="1993"/>
      <c r="D133" s="1158" t="s">
        <v>833</v>
      </c>
      <c r="E133" s="1158" t="s">
        <v>822</v>
      </c>
      <c r="F133" s="1158" t="s">
        <v>652</v>
      </c>
      <c r="G133" s="1158" t="s">
        <v>834</v>
      </c>
      <c r="H133" s="1754" t="s">
        <v>824</v>
      </c>
      <c r="J133" s="1979"/>
      <c r="K133" s="1986"/>
      <c r="L133" s="1158" t="s">
        <v>833</v>
      </c>
      <c r="M133" s="1158" t="s">
        <v>822</v>
      </c>
      <c r="N133" s="1158" t="s">
        <v>652</v>
      </c>
      <c r="O133" s="1158" t="s">
        <v>834</v>
      </c>
      <c r="P133" s="1754" t="s">
        <v>824</v>
      </c>
      <c r="R133" s="1979"/>
      <c r="S133" s="1986"/>
      <c r="T133" s="1158" t="s">
        <v>833</v>
      </c>
      <c r="U133" s="1158" t="s">
        <v>822</v>
      </c>
      <c r="V133" s="1158" t="s">
        <v>652</v>
      </c>
      <c r="W133" s="1158" t="s">
        <v>834</v>
      </c>
      <c r="X133" s="1754" t="s">
        <v>824</v>
      </c>
    </row>
    <row r="134" spans="2:24" s="1707" customFormat="1" ht="15.75" customHeight="1">
      <c r="B134" s="1758" t="s">
        <v>737</v>
      </c>
      <c r="C134" s="1776">
        <f t="shared" ref="C134:F137" si="23">IF(C116&gt;0,C125*1000/C116,0)</f>
        <v>0</v>
      </c>
      <c r="D134" s="1781">
        <f t="shared" si="23"/>
        <v>0</v>
      </c>
      <c r="E134" s="1781">
        <f t="shared" si="23"/>
        <v>0</v>
      </c>
      <c r="F134" s="1781">
        <f t="shared" si="23"/>
        <v>0</v>
      </c>
      <c r="G134" s="1768"/>
      <c r="H134" s="865"/>
      <c r="J134" s="1758" t="s">
        <v>737</v>
      </c>
      <c r="K134" s="1776">
        <f t="shared" ref="K134:N137" si="24">IF(K116&gt;0,K125*1000/K116,0)</f>
        <v>0</v>
      </c>
      <c r="L134" s="1781"/>
      <c r="M134" s="1781"/>
      <c r="N134" s="1781">
        <f t="shared" si="24"/>
        <v>0</v>
      </c>
      <c r="O134" s="1768"/>
      <c r="P134" s="865"/>
      <c r="R134" s="1758" t="s">
        <v>737</v>
      </c>
      <c r="S134" s="1776">
        <f t="shared" ref="S134:V137" si="25">IF(S116&gt;0,S125*1000/S116,0)</f>
        <v>0</v>
      </c>
      <c r="T134" s="1781">
        <f t="shared" si="25"/>
        <v>0</v>
      </c>
      <c r="U134" s="1781">
        <f t="shared" si="25"/>
        <v>0</v>
      </c>
      <c r="V134" s="1781">
        <f t="shared" si="25"/>
        <v>0</v>
      </c>
      <c r="W134" s="1768"/>
      <c r="X134" s="865"/>
    </row>
    <row r="135" spans="2:24" s="1707" customFormat="1" ht="15.75" customHeight="1">
      <c r="B135" s="1741" t="s">
        <v>239</v>
      </c>
      <c r="C135" s="1782">
        <f t="shared" si="23"/>
        <v>0</v>
      </c>
      <c r="D135" s="1783">
        <f t="shared" si="23"/>
        <v>0</v>
      </c>
      <c r="E135" s="1783">
        <f t="shared" si="23"/>
        <v>0</v>
      </c>
      <c r="F135" s="1783">
        <f t="shared" si="23"/>
        <v>0</v>
      </c>
      <c r="G135" s="1770"/>
      <c r="H135" s="863"/>
      <c r="J135" s="1741" t="s">
        <v>239</v>
      </c>
      <c r="K135" s="1782">
        <f t="shared" si="24"/>
        <v>0</v>
      </c>
      <c r="L135" s="1783">
        <f t="shared" si="24"/>
        <v>0</v>
      </c>
      <c r="M135" s="1783">
        <f t="shared" si="24"/>
        <v>0</v>
      </c>
      <c r="N135" s="1783">
        <f t="shared" si="24"/>
        <v>0</v>
      </c>
      <c r="O135" s="1770"/>
      <c r="P135" s="863"/>
      <c r="R135" s="1741" t="s">
        <v>239</v>
      </c>
      <c r="S135" s="1782">
        <f t="shared" si="25"/>
        <v>0</v>
      </c>
      <c r="T135" s="1783">
        <f t="shared" si="25"/>
        <v>0</v>
      </c>
      <c r="U135" s="1783">
        <f t="shared" si="25"/>
        <v>0</v>
      </c>
      <c r="V135" s="1783">
        <f t="shared" si="25"/>
        <v>0</v>
      </c>
      <c r="W135" s="1770"/>
      <c r="X135" s="863"/>
    </row>
    <row r="136" spans="2:24" s="1707" customFormat="1" ht="15.75" customHeight="1">
      <c r="B136" s="1741" t="s">
        <v>245</v>
      </c>
      <c r="C136" s="1782">
        <f t="shared" si="23"/>
        <v>0</v>
      </c>
      <c r="D136" s="1783">
        <f t="shared" si="23"/>
        <v>0</v>
      </c>
      <c r="E136" s="1783">
        <f t="shared" si="23"/>
        <v>0</v>
      </c>
      <c r="F136" s="1783">
        <f t="shared" si="23"/>
        <v>0</v>
      </c>
      <c r="G136" s="1770"/>
      <c r="H136" s="863"/>
      <c r="J136" s="1741" t="s">
        <v>245</v>
      </c>
      <c r="K136" s="1782">
        <f t="shared" si="24"/>
        <v>0</v>
      </c>
      <c r="L136" s="1783">
        <f t="shared" si="24"/>
        <v>0</v>
      </c>
      <c r="M136" s="1783">
        <f t="shared" si="24"/>
        <v>0</v>
      </c>
      <c r="N136" s="1783">
        <f t="shared" si="24"/>
        <v>0</v>
      </c>
      <c r="O136" s="1770"/>
      <c r="P136" s="863"/>
      <c r="R136" s="1741" t="s">
        <v>245</v>
      </c>
      <c r="S136" s="1782">
        <f t="shared" si="25"/>
        <v>0</v>
      </c>
      <c r="T136" s="1783">
        <f t="shared" si="25"/>
        <v>0</v>
      </c>
      <c r="U136" s="1783">
        <f t="shared" si="25"/>
        <v>0</v>
      </c>
      <c r="V136" s="1783">
        <f t="shared" si="25"/>
        <v>0</v>
      </c>
      <c r="W136" s="1770"/>
      <c r="X136" s="863"/>
    </row>
    <row r="137" spans="2:24" s="1707" customFormat="1" ht="15.75" customHeight="1" thickBot="1">
      <c r="B137" s="1784" t="s">
        <v>497</v>
      </c>
      <c r="C137" s="1785">
        <f t="shared" si="23"/>
        <v>0</v>
      </c>
      <c r="D137" s="1786">
        <f t="shared" si="23"/>
        <v>0</v>
      </c>
      <c r="E137" s="1786">
        <f t="shared" si="23"/>
        <v>0</v>
      </c>
      <c r="F137" s="1786">
        <f t="shared" si="23"/>
        <v>0</v>
      </c>
      <c r="G137" s="1794"/>
      <c r="H137" s="867"/>
      <c r="J137" s="1784" t="s">
        <v>497</v>
      </c>
      <c r="K137" s="1785">
        <f t="shared" si="24"/>
        <v>0</v>
      </c>
      <c r="L137" s="1786">
        <f t="shared" si="24"/>
        <v>0</v>
      </c>
      <c r="M137" s="1786">
        <f t="shared" si="24"/>
        <v>0</v>
      </c>
      <c r="N137" s="1786">
        <f t="shared" si="24"/>
        <v>0</v>
      </c>
      <c r="O137" s="1794"/>
      <c r="P137" s="867"/>
      <c r="R137" s="1784" t="s">
        <v>497</v>
      </c>
      <c r="S137" s="1785">
        <f t="shared" si="25"/>
        <v>0</v>
      </c>
      <c r="T137" s="1786">
        <f t="shared" si="25"/>
        <v>0</v>
      </c>
      <c r="U137" s="1786">
        <f t="shared" si="25"/>
        <v>0</v>
      </c>
      <c r="V137" s="1786">
        <f t="shared" si="25"/>
        <v>0</v>
      </c>
      <c r="W137" s="1794"/>
      <c r="X137" s="867"/>
    </row>
  </sheetData>
  <sheetProtection insertRows="0"/>
  <mergeCells count="86">
    <mergeCell ref="J58:P58"/>
    <mergeCell ref="R58:X58"/>
    <mergeCell ref="S59:S60"/>
    <mergeCell ref="D59:H59"/>
    <mergeCell ref="L59:P59"/>
    <mergeCell ref="R59:R60"/>
    <mergeCell ref="T59:X59"/>
    <mergeCell ref="B85:H85"/>
    <mergeCell ref="J85:P85"/>
    <mergeCell ref="R85:X85"/>
    <mergeCell ref="C86:C87"/>
    <mergeCell ref="K86:K87"/>
    <mergeCell ref="S86:S87"/>
    <mergeCell ref="B86:B87"/>
    <mergeCell ref="J86:J87"/>
    <mergeCell ref="D86:H86"/>
    <mergeCell ref="T86:X86"/>
    <mergeCell ref="R86:R87"/>
    <mergeCell ref="J67:P67"/>
    <mergeCell ref="R67:X67"/>
    <mergeCell ref="S68:S69"/>
    <mergeCell ref="B67:H67"/>
    <mergeCell ref="C68:C69"/>
    <mergeCell ref="K68:K69"/>
    <mergeCell ref="J68:J69"/>
    <mergeCell ref="D68:H68"/>
    <mergeCell ref="R68:R69"/>
    <mergeCell ref="T68:X68"/>
    <mergeCell ref="B104:H104"/>
    <mergeCell ref="J104:P104"/>
    <mergeCell ref="R104:X104"/>
    <mergeCell ref="C105:C106"/>
    <mergeCell ref="D105:H105"/>
    <mergeCell ref="K105:K106"/>
    <mergeCell ref="S105:S106"/>
    <mergeCell ref="B105:B106"/>
    <mergeCell ref="J105:J106"/>
    <mergeCell ref="T105:X105"/>
    <mergeCell ref="R105:R106"/>
    <mergeCell ref="K114:K115"/>
    <mergeCell ref="S114:S115"/>
    <mergeCell ref="C114:C115"/>
    <mergeCell ref="B113:H113"/>
    <mergeCell ref="J113:P113"/>
    <mergeCell ref="R113:X113"/>
    <mergeCell ref="B114:B115"/>
    <mergeCell ref="J114:J115"/>
    <mergeCell ref="T114:X114"/>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B7:C8"/>
    <mergeCell ref="B31:C32"/>
    <mergeCell ref="B40:C41"/>
    <mergeCell ref="B59:B60"/>
    <mergeCell ref="B68:B69"/>
    <mergeCell ref="B58:H58"/>
    <mergeCell ref="B76:H76"/>
    <mergeCell ref="J76:P76"/>
    <mergeCell ref="C77:C78"/>
    <mergeCell ref="K77:K78"/>
    <mergeCell ref="R76:X76"/>
    <mergeCell ref="S77:S78"/>
    <mergeCell ref="B77:B78"/>
    <mergeCell ref="J77:J78"/>
    <mergeCell ref="D77:H77"/>
    <mergeCell ref="R77:R78"/>
    <mergeCell ref="T77:X77"/>
    <mergeCell ref="T123:X123"/>
    <mergeCell ref="T132:X132"/>
    <mergeCell ref="R132:R133"/>
    <mergeCell ref="R123:R124"/>
    <mergeCell ref="R114:R115"/>
  </mergeCells>
  <phoneticPr fontId="47"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zoomScale="90"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459" t="s">
        <v>858</v>
      </c>
      <c r="F1" s="253" t="s">
        <v>216</v>
      </c>
    </row>
    <row r="2" spans="1:11">
      <c r="A2" s="1459"/>
    </row>
    <row r="3" spans="1:11">
      <c r="A3" s="1459" t="s">
        <v>485</v>
      </c>
    </row>
    <row r="4" spans="1:11">
      <c r="A4" s="1459"/>
    </row>
    <row r="6" spans="1:11" ht="13.5" thickBot="1"/>
    <row r="7" spans="1:11" ht="15" customHeight="1">
      <c r="B7" s="2007" t="s">
        <v>641</v>
      </c>
      <c r="C7" s="2008"/>
      <c r="D7" s="2008"/>
      <c r="E7" s="2009"/>
      <c r="F7" s="2016" t="s">
        <v>31</v>
      </c>
      <c r="G7" s="1796" t="s">
        <v>642</v>
      </c>
      <c r="H7" s="372"/>
      <c r="I7" s="1796" t="s">
        <v>643</v>
      </c>
      <c r="J7" s="372"/>
    </row>
    <row r="8" spans="1:11" ht="50.25" customHeight="1">
      <c r="B8" s="2010"/>
      <c r="C8" s="2011"/>
      <c r="D8" s="2011"/>
      <c r="E8" s="2012"/>
      <c r="F8" s="2017"/>
      <c r="G8" s="1797" t="s">
        <v>644</v>
      </c>
      <c r="H8" s="1798" t="s">
        <v>654</v>
      </c>
      <c r="I8" s="1797" t="s">
        <v>644</v>
      </c>
      <c r="J8" s="1798" t="s">
        <v>654</v>
      </c>
    </row>
    <row r="9" spans="1:11" ht="15" customHeight="1" thickBot="1">
      <c r="B9" s="2013"/>
      <c r="C9" s="2014"/>
      <c r="D9" s="2014"/>
      <c r="E9" s="2015"/>
      <c r="F9" s="2018"/>
      <c r="G9" s="1799" t="s">
        <v>655</v>
      </c>
      <c r="H9" s="1800" t="s">
        <v>655</v>
      </c>
      <c r="I9" s="1799" t="s">
        <v>655</v>
      </c>
      <c r="J9" s="1800" t="s">
        <v>655</v>
      </c>
    </row>
    <row r="10" spans="1:11" ht="15" customHeight="1">
      <c r="B10" s="546"/>
      <c r="C10" s="1801" t="s">
        <v>465</v>
      </c>
      <c r="D10" s="1801"/>
      <c r="E10" s="547"/>
      <c r="F10" s="548"/>
      <c r="G10" s="549"/>
      <c r="H10" s="550"/>
      <c r="I10" s="549"/>
      <c r="J10" s="550"/>
    </row>
    <row r="11" spans="1:11" ht="15" customHeight="1">
      <c r="B11" s="546"/>
      <c r="C11" s="547"/>
      <c r="D11" s="1802" t="s">
        <v>225</v>
      </c>
      <c r="E11" s="547"/>
      <c r="F11" s="551"/>
      <c r="G11" s="552"/>
      <c r="H11" s="553"/>
      <c r="I11" s="552"/>
      <c r="J11" s="553"/>
    </row>
    <row r="12" spans="1:11" ht="15" customHeight="1">
      <c r="B12" s="554"/>
      <c r="C12" s="547"/>
      <c r="D12" s="547"/>
      <c r="E12" s="547" t="s">
        <v>466</v>
      </c>
      <c r="F12" s="555" t="s">
        <v>177</v>
      </c>
      <c r="G12" s="373"/>
      <c r="H12" s="374"/>
      <c r="I12" s="373"/>
      <c r="J12" s="374">
        <v>41.700246577433042</v>
      </c>
      <c r="K12" s="895"/>
    </row>
    <row r="13" spans="1:11" ht="15" customHeight="1">
      <c r="B13" s="554"/>
      <c r="C13" s="547"/>
      <c r="D13" s="547"/>
      <c r="E13" s="547" t="s">
        <v>467</v>
      </c>
      <c r="F13" s="555" t="s">
        <v>744</v>
      </c>
      <c r="G13" s="373"/>
      <c r="H13" s="374"/>
      <c r="I13" s="373"/>
      <c r="J13" s="374">
        <v>0.50853959240772006</v>
      </c>
      <c r="K13" s="895"/>
    </row>
    <row r="14" spans="1:11" ht="15" customHeight="1">
      <c r="B14" s="554"/>
      <c r="C14" s="547"/>
      <c r="D14" s="547"/>
      <c r="E14" s="547"/>
      <c r="F14" s="555"/>
      <c r="G14" s="556"/>
      <c r="H14" s="557"/>
      <c r="I14" s="556"/>
      <c r="J14" s="557"/>
    </row>
    <row r="15" spans="1:11" ht="15" customHeight="1">
      <c r="B15" s="554"/>
      <c r="C15" s="547"/>
      <c r="D15" s="1802" t="s">
        <v>745</v>
      </c>
      <c r="E15" s="547"/>
      <c r="F15" s="555"/>
      <c r="G15" s="556"/>
      <c r="H15" s="557"/>
      <c r="I15" s="556"/>
      <c r="J15" s="557"/>
    </row>
    <row r="16" spans="1:11" ht="15" customHeight="1">
      <c r="B16" s="554"/>
      <c r="C16" s="547"/>
      <c r="D16" s="547"/>
      <c r="E16" s="547" t="s">
        <v>746</v>
      </c>
      <c r="F16" s="555" t="s">
        <v>744</v>
      </c>
      <c r="G16" s="373"/>
      <c r="H16" s="374"/>
      <c r="I16" s="373"/>
      <c r="J16" s="374">
        <v>0</v>
      </c>
      <c r="K16" s="895"/>
    </row>
    <row r="17" spans="2:11" ht="15" customHeight="1">
      <c r="B17" s="554"/>
      <c r="C17" s="547"/>
      <c r="D17" s="547"/>
      <c r="E17" s="547"/>
      <c r="F17" s="555"/>
      <c r="G17" s="556"/>
      <c r="H17" s="557"/>
      <c r="I17" s="556"/>
      <c r="J17" s="557"/>
    </row>
    <row r="18" spans="2:11" ht="15" customHeight="1">
      <c r="B18" s="554"/>
      <c r="C18" s="547"/>
      <c r="D18" s="1802" t="s">
        <v>878</v>
      </c>
      <c r="E18" s="547"/>
      <c r="F18" s="555"/>
      <c r="G18" s="556"/>
      <c r="H18" s="557"/>
      <c r="I18" s="556"/>
      <c r="J18" s="557"/>
    </row>
    <row r="19" spans="2:11" ht="15" customHeight="1">
      <c r="B19" s="554"/>
      <c r="C19" s="547"/>
      <c r="D19" s="1802"/>
      <c r="E19" s="547" t="s">
        <v>773</v>
      </c>
      <c r="F19" s="555" t="s">
        <v>177</v>
      </c>
      <c r="G19" s="373"/>
      <c r="H19" s="374"/>
      <c r="I19" s="373"/>
      <c r="J19" s="374">
        <v>127.13489810193002</v>
      </c>
      <c r="K19" s="895"/>
    </row>
    <row r="20" spans="2:11" ht="15" customHeight="1">
      <c r="B20" s="554"/>
      <c r="C20" s="547"/>
      <c r="D20" s="1802"/>
      <c r="E20" s="547" t="s">
        <v>634</v>
      </c>
      <c r="F20" s="555" t="s">
        <v>177</v>
      </c>
      <c r="G20" s="373"/>
      <c r="H20" s="374"/>
      <c r="I20" s="373"/>
      <c r="J20" s="374">
        <v>127.13489810193002</v>
      </c>
      <c r="K20" s="895"/>
    </row>
    <row r="21" spans="2:11" ht="15" customHeight="1">
      <c r="B21" s="554"/>
      <c r="C21" s="547"/>
      <c r="D21" s="1802"/>
      <c r="E21" s="547" t="s">
        <v>635</v>
      </c>
      <c r="F21" s="555" t="s">
        <v>177</v>
      </c>
      <c r="G21" s="373"/>
      <c r="H21" s="374"/>
      <c r="I21" s="373"/>
      <c r="J21" s="374">
        <v>127.13489810193002</v>
      </c>
      <c r="K21" s="895"/>
    </row>
    <row r="22" spans="2:11" ht="15" customHeight="1">
      <c r="B22" s="554"/>
      <c r="C22" s="547"/>
      <c r="D22" s="1802"/>
      <c r="E22" s="547" t="s">
        <v>636</v>
      </c>
      <c r="F22" s="555" t="s">
        <v>744</v>
      </c>
      <c r="G22" s="373"/>
      <c r="H22" s="374"/>
      <c r="I22" s="373"/>
      <c r="J22" s="374">
        <v>1.7000732843986286</v>
      </c>
      <c r="K22" s="895"/>
    </row>
    <row r="23" spans="2:11" ht="15" customHeight="1">
      <c r="B23" s="554"/>
      <c r="C23" s="547"/>
      <c r="D23" s="547"/>
      <c r="E23" s="547"/>
      <c r="F23" s="555"/>
      <c r="G23" s="556"/>
      <c r="H23" s="557"/>
      <c r="I23" s="556"/>
      <c r="J23" s="557"/>
    </row>
    <row r="24" spans="2:11" ht="15" customHeight="1">
      <c r="B24" s="554"/>
      <c r="C24" s="547"/>
      <c r="D24" s="1802" t="s">
        <v>637</v>
      </c>
      <c r="E24" s="547"/>
      <c r="F24" s="555"/>
      <c r="G24" s="556"/>
      <c r="H24" s="557"/>
      <c r="I24" s="556"/>
      <c r="J24" s="557"/>
    </row>
    <row r="25" spans="2:11" ht="15" customHeight="1">
      <c r="B25" s="554"/>
      <c r="C25" s="547"/>
      <c r="D25" s="1802"/>
      <c r="E25" s="547" t="s">
        <v>638</v>
      </c>
      <c r="F25" s="555" t="s">
        <v>744</v>
      </c>
      <c r="G25" s="373"/>
      <c r="H25" s="374"/>
      <c r="I25" s="373"/>
      <c r="J25" s="374">
        <v>5.7210704145868512</v>
      </c>
      <c r="K25" s="895"/>
    </row>
    <row r="26" spans="2:11" ht="15" customHeight="1">
      <c r="B26" s="554"/>
      <c r="C26" s="547"/>
      <c r="D26" s="1802"/>
      <c r="E26" s="547" t="s">
        <v>639</v>
      </c>
      <c r="F26" s="555" t="s">
        <v>744</v>
      </c>
      <c r="G26" s="373"/>
      <c r="H26" s="374"/>
      <c r="I26" s="373"/>
      <c r="J26" s="374">
        <v>5.7210704145868512</v>
      </c>
      <c r="K26" s="895"/>
    </row>
    <row r="27" spans="2:11" ht="15" customHeight="1">
      <c r="B27" s="554"/>
      <c r="C27" s="547"/>
      <c r="D27" s="1802"/>
      <c r="E27" s="547" t="s">
        <v>758</v>
      </c>
      <c r="F27" s="555" t="s">
        <v>744</v>
      </c>
      <c r="G27" s="373"/>
      <c r="H27" s="374"/>
      <c r="I27" s="373"/>
      <c r="J27" s="374">
        <v>5.7210704145868512</v>
      </c>
      <c r="K27" s="895"/>
    </row>
    <row r="28" spans="2:11" ht="15" customHeight="1">
      <c r="B28" s="554"/>
      <c r="C28" s="547"/>
      <c r="D28" s="1802"/>
      <c r="E28" s="547" t="s">
        <v>759</v>
      </c>
      <c r="F28" s="555" t="s">
        <v>744</v>
      </c>
      <c r="G28" s="373"/>
      <c r="H28" s="374"/>
      <c r="I28" s="373"/>
      <c r="J28" s="374">
        <v>4.8311261278733406</v>
      </c>
      <c r="K28" s="895"/>
    </row>
    <row r="29" spans="2:11" ht="15" customHeight="1">
      <c r="B29" s="554"/>
      <c r="C29" s="547"/>
      <c r="D29" s="1802"/>
      <c r="E29" s="547" t="s">
        <v>41</v>
      </c>
      <c r="F29" s="555" t="s">
        <v>744</v>
      </c>
      <c r="G29" s="558"/>
      <c r="H29" s="559"/>
      <c r="I29" s="558"/>
      <c r="J29" s="559"/>
    </row>
    <row r="30" spans="2:11" ht="15" customHeight="1">
      <c r="B30" s="554"/>
      <c r="C30" s="547"/>
      <c r="D30" s="1802"/>
      <c r="E30" s="547" t="s">
        <v>42</v>
      </c>
      <c r="F30" s="555" t="s">
        <v>744</v>
      </c>
      <c r="G30" s="558"/>
      <c r="H30" s="559"/>
      <c r="I30" s="558"/>
      <c r="J30" s="559"/>
    </row>
    <row r="31" spans="2:11" ht="15" customHeight="1" thickBot="1">
      <c r="B31" s="1803"/>
      <c r="C31" s="1804"/>
      <c r="D31" s="1804"/>
      <c r="E31" s="1804"/>
      <c r="F31" s="375"/>
      <c r="G31" s="560"/>
      <c r="H31" s="561"/>
      <c r="I31" s="560"/>
      <c r="J31" s="561"/>
    </row>
    <row r="32" spans="2:11" ht="15" customHeight="1">
      <c r="B32" s="562"/>
      <c r="C32" s="1805" t="s">
        <v>43</v>
      </c>
      <c r="D32" s="1805"/>
      <c r="E32" s="563"/>
      <c r="F32" s="564"/>
      <c r="G32" s="556"/>
      <c r="H32" s="557"/>
      <c r="I32" s="556"/>
      <c r="J32" s="557"/>
    </row>
    <row r="33" spans="2:11" ht="15" customHeight="1">
      <c r="B33" s="554"/>
      <c r="C33" s="547"/>
      <c r="D33" s="1802" t="s">
        <v>225</v>
      </c>
      <c r="E33" s="547"/>
      <c r="F33" s="564"/>
      <c r="G33" s="556"/>
      <c r="H33" s="557"/>
      <c r="I33" s="556"/>
      <c r="J33" s="557"/>
    </row>
    <row r="34" spans="2:11" ht="15" customHeight="1">
      <c r="B34" s="554"/>
      <c r="C34" s="547"/>
      <c r="D34" s="1802"/>
      <c r="E34" s="547" t="s">
        <v>44</v>
      </c>
      <c r="F34" s="555" t="s">
        <v>177</v>
      </c>
      <c r="G34" s="373"/>
      <c r="H34" s="374"/>
      <c r="I34" s="373"/>
      <c r="J34" s="374">
        <v>43.098730456554271</v>
      </c>
      <c r="K34" s="895"/>
    </row>
    <row r="35" spans="2:11" ht="15" customHeight="1">
      <c r="B35" s="554"/>
      <c r="C35" s="547"/>
      <c r="D35" s="1802"/>
      <c r="E35" s="547" t="s">
        <v>45</v>
      </c>
      <c r="F35" s="555" t="s">
        <v>177</v>
      </c>
      <c r="G35" s="373"/>
      <c r="H35" s="374"/>
      <c r="I35" s="373"/>
      <c r="J35" s="374">
        <v>43.098730456554271</v>
      </c>
      <c r="K35" s="895"/>
    </row>
    <row r="36" spans="2:11" ht="15" customHeight="1">
      <c r="B36" s="554"/>
      <c r="C36" s="547"/>
      <c r="D36" s="547"/>
      <c r="E36" s="547" t="s">
        <v>46</v>
      </c>
      <c r="F36" s="555" t="s">
        <v>177</v>
      </c>
      <c r="G36" s="373"/>
      <c r="H36" s="374"/>
      <c r="I36" s="373"/>
      <c r="J36" s="374">
        <v>0</v>
      </c>
      <c r="K36" s="895"/>
    </row>
    <row r="37" spans="2:11" ht="15" customHeight="1">
      <c r="B37" s="554"/>
      <c r="C37" s="547"/>
      <c r="D37" s="547"/>
      <c r="E37" s="547" t="s">
        <v>649</v>
      </c>
      <c r="F37" s="555" t="s">
        <v>177</v>
      </c>
      <c r="G37" s="373"/>
      <c r="H37" s="374"/>
      <c r="I37" s="373"/>
      <c r="J37" s="374">
        <v>0</v>
      </c>
      <c r="K37" s="895"/>
    </row>
    <row r="38" spans="2:11" ht="15" customHeight="1">
      <c r="B38" s="554"/>
      <c r="C38" s="547"/>
      <c r="D38" s="547"/>
      <c r="E38" s="547"/>
      <c r="F38" s="555"/>
      <c r="G38" s="556"/>
      <c r="H38" s="557"/>
      <c r="I38" s="556"/>
      <c r="J38" s="557"/>
    </row>
    <row r="39" spans="2:11" ht="15" customHeight="1">
      <c r="B39" s="554"/>
      <c r="C39" s="547"/>
      <c r="D39" s="1802" t="s">
        <v>745</v>
      </c>
      <c r="E39" s="547"/>
      <c r="F39" s="555"/>
      <c r="G39" s="556"/>
      <c r="H39" s="557"/>
      <c r="I39" s="556"/>
      <c r="J39" s="557"/>
    </row>
    <row r="40" spans="2:11" ht="15" customHeight="1">
      <c r="B40" s="554"/>
      <c r="C40" s="547"/>
      <c r="D40" s="563"/>
      <c r="E40" s="547" t="s">
        <v>767</v>
      </c>
      <c r="F40" s="555" t="s">
        <v>744</v>
      </c>
      <c r="G40" s="373"/>
      <c r="H40" s="374"/>
      <c r="I40" s="373"/>
      <c r="J40" s="374">
        <v>0</v>
      </c>
      <c r="K40" s="895"/>
    </row>
    <row r="41" spans="2:11" ht="15" customHeight="1">
      <c r="B41" s="554"/>
      <c r="C41" s="547"/>
      <c r="D41" s="1802"/>
      <c r="E41" s="547" t="s">
        <v>768</v>
      </c>
      <c r="F41" s="555" t="s">
        <v>744</v>
      </c>
      <c r="G41" s="373"/>
      <c r="H41" s="374"/>
      <c r="I41" s="373"/>
      <c r="J41" s="374">
        <v>0</v>
      </c>
      <c r="K41" s="895"/>
    </row>
    <row r="42" spans="2:11" ht="15" customHeight="1">
      <c r="B42" s="554"/>
      <c r="C42" s="547"/>
      <c r="D42" s="547"/>
      <c r="E42" s="547"/>
      <c r="F42" s="555"/>
      <c r="G42" s="556"/>
      <c r="H42" s="557"/>
      <c r="I42" s="556"/>
      <c r="J42" s="557"/>
    </row>
    <row r="43" spans="2:11" ht="15" customHeight="1">
      <c r="B43" s="554"/>
      <c r="C43" s="547"/>
      <c r="D43" s="1802" t="s">
        <v>769</v>
      </c>
      <c r="E43" s="547"/>
      <c r="F43" s="555"/>
      <c r="G43" s="556"/>
      <c r="H43" s="557"/>
      <c r="I43" s="556"/>
      <c r="J43" s="557"/>
    </row>
    <row r="44" spans="2:11" ht="15" customHeight="1">
      <c r="B44" s="554"/>
      <c r="C44" s="547"/>
      <c r="D44" s="1802"/>
      <c r="E44" s="547" t="s">
        <v>770</v>
      </c>
      <c r="F44" s="555" t="s">
        <v>177</v>
      </c>
      <c r="G44" s="373"/>
      <c r="H44" s="374"/>
      <c r="I44" s="373"/>
      <c r="J44" s="374">
        <v>84.544707237783456</v>
      </c>
      <c r="K44" s="895"/>
    </row>
    <row r="45" spans="2:11" ht="15" customHeight="1">
      <c r="B45" s="554"/>
      <c r="C45" s="547"/>
      <c r="D45" s="1802"/>
      <c r="E45" s="547" t="s">
        <v>771</v>
      </c>
      <c r="F45" s="555" t="s">
        <v>177</v>
      </c>
      <c r="G45" s="373"/>
      <c r="H45" s="374"/>
      <c r="I45" s="373"/>
      <c r="J45" s="374">
        <v>0</v>
      </c>
      <c r="K45" s="895"/>
    </row>
    <row r="46" spans="2:11" ht="15" customHeight="1">
      <c r="B46" s="554"/>
      <c r="C46" s="547"/>
      <c r="D46" s="1802"/>
      <c r="E46" s="547"/>
      <c r="F46" s="555"/>
      <c r="G46" s="556"/>
      <c r="H46" s="557"/>
      <c r="I46" s="556"/>
      <c r="J46" s="557"/>
    </row>
    <row r="47" spans="2:11" ht="15" customHeight="1">
      <c r="B47" s="554"/>
      <c r="C47" s="547"/>
      <c r="D47" s="1802" t="s">
        <v>68</v>
      </c>
      <c r="E47" s="547"/>
      <c r="F47" s="555"/>
      <c r="G47" s="556"/>
      <c r="H47" s="557"/>
      <c r="I47" s="556"/>
      <c r="J47" s="557"/>
    </row>
    <row r="48" spans="2:11" ht="15" customHeight="1">
      <c r="B48" s="554"/>
      <c r="C48" s="547"/>
      <c r="D48" s="1802"/>
      <c r="E48" s="547" t="s">
        <v>69</v>
      </c>
      <c r="F48" s="555" t="s">
        <v>177</v>
      </c>
      <c r="G48" s="373"/>
      <c r="H48" s="374"/>
      <c r="I48" s="373"/>
      <c r="J48" s="374">
        <v>0</v>
      </c>
      <c r="K48" s="895"/>
    </row>
    <row r="49" spans="2:11" ht="15" customHeight="1">
      <c r="B49" s="554"/>
      <c r="C49" s="547"/>
      <c r="D49" s="1802"/>
      <c r="E49" s="547"/>
      <c r="F49" s="555"/>
      <c r="G49" s="556"/>
      <c r="H49" s="557"/>
      <c r="I49" s="556"/>
      <c r="J49" s="557"/>
    </row>
    <row r="50" spans="2:11" ht="15" customHeight="1">
      <c r="B50" s="554"/>
      <c r="C50" s="547"/>
      <c r="D50" s="1802" t="s">
        <v>637</v>
      </c>
      <c r="E50" s="547"/>
      <c r="F50" s="555"/>
      <c r="G50" s="556"/>
      <c r="H50" s="557"/>
      <c r="I50" s="556"/>
      <c r="J50" s="557"/>
    </row>
    <row r="51" spans="2:11" ht="15" customHeight="1">
      <c r="B51" s="554"/>
      <c r="C51" s="547"/>
      <c r="D51" s="1802"/>
      <c r="E51" s="547" t="s">
        <v>70</v>
      </c>
      <c r="F51" s="555" t="s">
        <v>744</v>
      </c>
      <c r="G51" s="373"/>
      <c r="H51" s="374"/>
      <c r="I51" s="373"/>
      <c r="J51" s="374">
        <v>13.984838791212301</v>
      </c>
      <c r="K51" s="895"/>
    </row>
    <row r="52" spans="2:11" ht="15" customHeight="1">
      <c r="B52" s="554"/>
      <c r="C52" s="547"/>
      <c r="D52" s="1802"/>
      <c r="E52" s="547" t="s">
        <v>80</v>
      </c>
      <c r="F52" s="555" t="s">
        <v>744</v>
      </c>
      <c r="G52" s="373"/>
      <c r="H52" s="374"/>
      <c r="I52" s="373"/>
      <c r="J52" s="374">
        <v>30.893780238768993</v>
      </c>
      <c r="K52" s="895"/>
    </row>
    <row r="53" spans="2:11" ht="15" customHeight="1">
      <c r="B53" s="554"/>
      <c r="C53" s="547"/>
      <c r="D53" s="1802"/>
      <c r="E53" s="547" t="s">
        <v>81</v>
      </c>
      <c r="F53" s="555" t="s">
        <v>744</v>
      </c>
      <c r="G53" s="373"/>
      <c r="H53" s="374"/>
      <c r="I53" s="373"/>
      <c r="J53" s="374">
        <v>1.6527536753250902</v>
      </c>
      <c r="K53" s="895"/>
    </row>
    <row r="54" spans="2:11" ht="15" customHeight="1">
      <c r="B54" s="554"/>
      <c r="C54" s="547"/>
      <c r="D54" s="1802"/>
      <c r="E54" s="547" t="s">
        <v>82</v>
      </c>
      <c r="F54" s="555" t="s">
        <v>744</v>
      </c>
      <c r="G54" s="373"/>
      <c r="H54" s="374"/>
      <c r="I54" s="373"/>
      <c r="J54" s="374">
        <v>5.2125308221791302</v>
      </c>
      <c r="K54" s="895"/>
    </row>
    <row r="55" spans="2:11" ht="15" customHeight="1">
      <c r="B55" s="554"/>
      <c r="C55" s="547"/>
      <c r="D55" s="1802"/>
      <c r="E55" s="547" t="s">
        <v>782</v>
      </c>
      <c r="F55" s="555" t="s">
        <v>744</v>
      </c>
      <c r="G55" s="373"/>
      <c r="H55" s="374"/>
      <c r="I55" s="373"/>
      <c r="J55" s="374">
        <v>16.400401855148971</v>
      </c>
      <c r="K55" s="895"/>
    </row>
    <row r="56" spans="2:11" ht="15" customHeight="1">
      <c r="B56" s="554"/>
      <c r="C56" s="547"/>
      <c r="D56" s="1802"/>
      <c r="E56" s="547" t="s">
        <v>783</v>
      </c>
      <c r="F56" s="555" t="s">
        <v>744</v>
      </c>
      <c r="G56" s="558"/>
      <c r="H56" s="559"/>
      <c r="I56" s="558"/>
      <c r="J56" s="559"/>
    </row>
    <row r="57" spans="2:11" ht="15" customHeight="1">
      <c r="B57" s="554"/>
      <c r="C57" s="547"/>
      <c r="D57" s="1802"/>
      <c r="E57" s="547" t="s">
        <v>72</v>
      </c>
      <c r="F57" s="555" t="s">
        <v>744</v>
      </c>
      <c r="G57" s="558"/>
      <c r="H57" s="559"/>
      <c r="I57" s="558"/>
      <c r="J57" s="559"/>
    </row>
    <row r="58" spans="2:11" ht="15" customHeight="1">
      <c r="B58" s="554"/>
      <c r="C58" s="547"/>
      <c r="D58" s="547"/>
      <c r="E58" s="547" t="s">
        <v>662</v>
      </c>
      <c r="F58" s="555" t="s">
        <v>744</v>
      </c>
      <c r="G58" s="373"/>
      <c r="H58" s="374"/>
      <c r="I58" s="373"/>
      <c r="J58" s="374">
        <v>0</v>
      </c>
      <c r="K58" s="895"/>
    </row>
    <row r="59" spans="2:11" ht="15" customHeight="1">
      <c r="B59" s="554"/>
      <c r="C59" s="547"/>
      <c r="D59" s="547"/>
      <c r="E59" s="547" t="s">
        <v>501</v>
      </c>
      <c r="F59" s="555" t="s">
        <v>744</v>
      </c>
      <c r="G59" s="373"/>
      <c r="H59" s="374"/>
      <c r="I59" s="373"/>
      <c r="J59" s="374">
        <v>0</v>
      </c>
      <c r="K59" s="895"/>
    </row>
    <row r="60" spans="2:11" ht="15" customHeight="1">
      <c r="B60" s="554"/>
      <c r="C60" s="547"/>
      <c r="D60" s="1802"/>
      <c r="E60" s="547" t="s">
        <v>502</v>
      </c>
      <c r="F60" s="555" t="s">
        <v>744</v>
      </c>
      <c r="G60" s="373"/>
      <c r="H60" s="374"/>
      <c r="I60" s="373"/>
      <c r="J60" s="374">
        <v>0</v>
      </c>
      <c r="K60" s="895"/>
    </row>
    <row r="61" spans="2:11" ht="15" customHeight="1">
      <c r="B61" s="554"/>
      <c r="C61" s="547"/>
      <c r="D61" s="1802"/>
      <c r="E61" s="547" t="s">
        <v>503</v>
      </c>
      <c r="F61" s="555" t="s">
        <v>744</v>
      </c>
      <c r="G61" s="373"/>
      <c r="H61" s="374"/>
      <c r="I61" s="373"/>
      <c r="J61" s="374">
        <v>0</v>
      </c>
      <c r="K61" s="895"/>
    </row>
    <row r="62" spans="2:11" ht="15" customHeight="1">
      <c r="B62" s="554"/>
      <c r="C62" s="547"/>
      <c r="D62" s="1802"/>
      <c r="E62" s="547" t="s">
        <v>506</v>
      </c>
      <c r="F62" s="555" t="s">
        <v>744</v>
      </c>
      <c r="G62" s="373"/>
      <c r="H62" s="374"/>
      <c r="I62" s="373"/>
      <c r="J62" s="374">
        <v>0</v>
      </c>
      <c r="K62" s="895"/>
    </row>
    <row r="63" spans="2:11" ht="15" customHeight="1">
      <c r="B63" s="554"/>
      <c r="C63" s="547"/>
      <c r="D63" s="1802"/>
      <c r="E63" s="547" t="s">
        <v>665</v>
      </c>
      <c r="F63" s="555" t="s">
        <v>744</v>
      </c>
      <c r="G63" s="558"/>
      <c r="H63" s="559"/>
      <c r="I63" s="558"/>
      <c r="J63" s="559"/>
    </row>
    <row r="64" spans="2:11" ht="15" customHeight="1">
      <c r="B64" s="554"/>
      <c r="C64" s="547"/>
      <c r="D64" s="1802"/>
      <c r="E64" s="547" t="s">
        <v>511</v>
      </c>
      <c r="F64" s="555" t="s">
        <v>744</v>
      </c>
      <c r="G64" s="558"/>
      <c r="H64" s="559"/>
      <c r="I64" s="558"/>
      <c r="J64" s="559"/>
    </row>
    <row r="65" spans="2:11" ht="15" customHeight="1">
      <c r="B65" s="554"/>
      <c r="C65" s="547"/>
      <c r="D65" s="1802"/>
      <c r="E65" s="547"/>
      <c r="F65" s="564"/>
      <c r="G65" s="556"/>
      <c r="H65" s="557"/>
      <c r="I65" s="556"/>
      <c r="J65" s="557"/>
    </row>
    <row r="66" spans="2:11" ht="15" customHeight="1">
      <c r="B66" s="554"/>
      <c r="C66" s="547"/>
      <c r="D66" s="1802" t="s">
        <v>512</v>
      </c>
      <c r="E66" s="547"/>
      <c r="F66" s="564"/>
      <c r="G66" s="556"/>
      <c r="H66" s="557"/>
      <c r="I66" s="556"/>
      <c r="J66" s="557"/>
    </row>
    <row r="67" spans="2:11" ht="15" customHeight="1">
      <c r="B67" s="554"/>
      <c r="C67" s="547"/>
      <c r="D67" s="1802"/>
      <c r="E67" s="547" t="s">
        <v>513</v>
      </c>
      <c r="F67" s="555" t="s">
        <v>744</v>
      </c>
      <c r="G67" s="373"/>
      <c r="H67" s="374"/>
      <c r="I67" s="373"/>
      <c r="J67" s="374">
        <v>3.68691204495597</v>
      </c>
      <c r="K67" s="895"/>
    </row>
    <row r="68" spans="2:11" ht="15" customHeight="1">
      <c r="B68" s="554"/>
      <c r="C68" s="547"/>
      <c r="D68" s="1802"/>
      <c r="E68" s="547" t="s">
        <v>514</v>
      </c>
      <c r="F68" s="555" t="s">
        <v>744</v>
      </c>
      <c r="G68" s="373"/>
      <c r="H68" s="374"/>
      <c r="I68" s="373"/>
      <c r="J68" s="374">
        <v>11.950680421581421</v>
      </c>
      <c r="K68" s="895"/>
    </row>
    <row r="69" spans="2:11" ht="15" customHeight="1">
      <c r="B69" s="554"/>
      <c r="C69" s="547"/>
      <c r="D69" s="1802"/>
      <c r="E69" s="547" t="s">
        <v>515</v>
      </c>
      <c r="F69" s="555" t="s">
        <v>744</v>
      </c>
      <c r="G69" s="373"/>
      <c r="H69" s="374"/>
      <c r="I69" s="373"/>
      <c r="J69" s="374">
        <v>0</v>
      </c>
      <c r="K69" s="895"/>
    </row>
    <row r="70" spans="2:11" ht="15" customHeight="1">
      <c r="B70" s="554"/>
      <c r="C70" s="547"/>
      <c r="D70" s="1802"/>
      <c r="E70" s="547" t="s">
        <v>516</v>
      </c>
      <c r="F70" s="555" t="s">
        <v>744</v>
      </c>
      <c r="G70" s="373"/>
      <c r="H70" s="374"/>
      <c r="I70" s="373"/>
      <c r="J70" s="374">
        <v>0</v>
      </c>
      <c r="K70" s="895"/>
    </row>
    <row r="71" spans="2:11" ht="15" customHeight="1" thickBot="1">
      <c r="B71" s="1803"/>
      <c r="C71" s="1804"/>
      <c r="D71" s="1804"/>
      <c r="E71" s="1804"/>
      <c r="F71" s="375"/>
      <c r="G71" s="560"/>
      <c r="H71" s="561"/>
      <c r="I71" s="560"/>
      <c r="J71" s="561"/>
    </row>
    <row r="72" spans="2:11" ht="15" customHeight="1">
      <c r="B72" s="562"/>
      <c r="C72" s="1805" t="s">
        <v>530</v>
      </c>
      <c r="D72" s="1805"/>
      <c r="E72" s="563"/>
      <c r="F72" s="564"/>
      <c r="G72" s="556"/>
      <c r="H72" s="557"/>
      <c r="I72" s="556"/>
      <c r="J72" s="557"/>
    </row>
    <row r="73" spans="2:11" ht="15" customHeight="1">
      <c r="B73" s="554"/>
      <c r="C73" s="547"/>
      <c r="D73" s="1802" t="s">
        <v>225</v>
      </c>
      <c r="E73" s="547"/>
      <c r="F73" s="555"/>
      <c r="G73" s="556"/>
      <c r="H73" s="557"/>
      <c r="I73" s="556"/>
      <c r="J73" s="557"/>
    </row>
    <row r="74" spans="2:11" ht="15" customHeight="1">
      <c r="B74" s="554"/>
      <c r="C74" s="547"/>
      <c r="D74" s="547"/>
      <c r="E74" s="547" t="s">
        <v>531</v>
      </c>
      <c r="F74" s="555" t="s">
        <v>177</v>
      </c>
      <c r="G74" s="373"/>
      <c r="H74" s="374"/>
      <c r="I74" s="373"/>
      <c r="J74" s="374">
        <v>98.402411130893839</v>
      </c>
      <c r="K74" s="895"/>
    </row>
    <row r="75" spans="2:11" ht="15" customHeight="1">
      <c r="B75" s="554"/>
      <c r="C75" s="547"/>
      <c r="D75" s="1802"/>
      <c r="E75" s="547" t="s">
        <v>532</v>
      </c>
      <c r="F75" s="555" t="s">
        <v>177</v>
      </c>
      <c r="G75" s="373"/>
      <c r="H75" s="374"/>
      <c r="I75" s="373"/>
      <c r="J75" s="374">
        <v>156.75732935967969</v>
      </c>
      <c r="K75" s="895"/>
    </row>
    <row r="76" spans="2:11" ht="15" customHeight="1">
      <c r="B76" s="554"/>
      <c r="C76" s="547"/>
      <c r="D76" s="1802"/>
      <c r="E76" s="547" t="s">
        <v>533</v>
      </c>
      <c r="F76" s="555" t="s">
        <v>177</v>
      </c>
      <c r="G76" s="373"/>
      <c r="H76" s="374"/>
      <c r="I76" s="373"/>
      <c r="J76" s="374">
        <v>185.61695122881781</v>
      </c>
      <c r="K76" s="895"/>
    </row>
    <row r="77" spans="2:11" ht="15" customHeight="1">
      <c r="B77" s="554"/>
      <c r="C77" s="547"/>
      <c r="D77" s="1802"/>
      <c r="E77" s="547" t="s">
        <v>534</v>
      </c>
      <c r="F77" s="555" t="s">
        <v>177</v>
      </c>
      <c r="G77" s="373"/>
      <c r="H77" s="374"/>
      <c r="I77" s="373"/>
      <c r="J77" s="374">
        <v>185.61695122881781</v>
      </c>
      <c r="K77" s="895"/>
    </row>
    <row r="78" spans="2:11" ht="15" customHeight="1">
      <c r="B78" s="554"/>
      <c r="C78" s="547"/>
      <c r="D78" s="1802"/>
      <c r="E78" s="547"/>
      <c r="F78" s="555"/>
      <c r="G78" s="556"/>
      <c r="H78" s="557"/>
      <c r="I78" s="556"/>
      <c r="J78" s="557"/>
    </row>
    <row r="79" spans="2:11" ht="15" customHeight="1">
      <c r="B79" s="554"/>
      <c r="C79" s="547"/>
      <c r="D79" s="1802" t="s">
        <v>745</v>
      </c>
      <c r="E79" s="547"/>
      <c r="F79" s="555"/>
      <c r="G79" s="556"/>
      <c r="H79" s="557"/>
      <c r="I79" s="556"/>
      <c r="J79" s="557"/>
    </row>
    <row r="80" spans="2:11" ht="15" customHeight="1">
      <c r="B80" s="554"/>
      <c r="C80" s="547"/>
      <c r="D80" s="547"/>
      <c r="E80" s="547" t="s">
        <v>535</v>
      </c>
      <c r="F80" s="555" t="s">
        <v>744</v>
      </c>
      <c r="G80" s="373"/>
      <c r="H80" s="374"/>
      <c r="I80" s="373"/>
      <c r="J80" s="374">
        <v>0</v>
      </c>
      <c r="K80" s="895"/>
    </row>
    <row r="81" spans="2:11" ht="15" customHeight="1">
      <c r="B81" s="554"/>
      <c r="C81" s="547"/>
      <c r="D81" s="547"/>
      <c r="E81" s="547" t="s">
        <v>536</v>
      </c>
      <c r="F81" s="555" t="s">
        <v>744</v>
      </c>
      <c r="G81" s="373"/>
      <c r="H81" s="374"/>
      <c r="I81" s="373"/>
      <c r="J81" s="374">
        <v>0</v>
      </c>
      <c r="K81" s="895"/>
    </row>
    <row r="82" spans="2:11" ht="15" customHeight="1">
      <c r="B82" s="554"/>
      <c r="C82" s="547"/>
      <c r="D82" s="1802"/>
      <c r="E82" s="547" t="s">
        <v>537</v>
      </c>
      <c r="F82" s="555" t="s">
        <v>744</v>
      </c>
      <c r="G82" s="373"/>
      <c r="H82" s="374"/>
      <c r="I82" s="373"/>
      <c r="J82" s="374">
        <v>0</v>
      </c>
      <c r="K82" s="895"/>
    </row>
    <row r="83" spans="2:11" ht="15" customHeight="1">
      <c r="B83" s="554"/>
      <c r="C83" s="547"/>
      <c r="D83" s="1802"/>
      <c r="E83" s="547" t="s">
        <v>538</v>
      </c>
      <c r="F83" s="555" t="s">
        <v>744</v>
      </c>
      <c r="G83" s="373"/>
      <c r="H83" s="374"/>
      <c r="I83" s="373"/>
      <c r="J83" s="374">
        <v>0</v>
      </c>
      <c r="K83" s="895"/>
    </row>
    <row r="84" spans="2:11" ht="15" customHeight="1">
      <c r="B84" s="554"/>
      <c r="C84" s="547"/>
      <c r="D84" s="547"/>
      <c r="E84" s="547"/>
      <c r="F84" s="555"/>
      <c r="G84" s="556"/>
      <c r="H84" s="557"/>
      <c r="I84" s="556"/>
      <c r="J84" s="557"/>
    </row>
    <row r="85" spans="2:11" ht="15" customHeight="1">
      <c r="B85" s="546"/>
      <c r="C85" s="547"/>
      <c r="D85" s="1802" t="s">
        <v>769</v>
      </c>
      <c r="E85" s="547"/>
      <c r="F85" s="555"/>
      <c r="G85" s="556"/>
      <c r="H85" s="557"/>
      <c r="I85" s="556"/>
      <c r="J85" s="557"/>
    </row>
    <row r="86" spans="2:11" ht="15" customHeight="1">
      <c r="B86" s="546"/>
      <c r="C86" s="547"/>
      <c r="D86" s="1802"/>
      <c r="E86" s="547" t="s">
        <v>417</v>
      </c>
      <c r="F86" s="555" t="s">
        <v>177</v>
      </c>
      <c r="G86" s="373"/>
      <c r="H86" s="374"/>
      <c r="I86" s="373"/>
      <c r="J86" s="374">
        <v>257.06676396210247</v>
      </c>
      <c r="K86" s="895"/>
    </row>
    <row r="87" spans="2:11" ht="15" customHeight="1">
      <c r="B87" s="546"/>
      <c r="C87" s="547"/>
      <c r="D87" s="1802"/>
      <c r="E87" s="547" t="s">
        <v>418</v>
      </c>
      <c r="F87" s="555" t="s">
        <v>177</v>
      </c>
      <c r="G87" s="373"/>
      <c r="H87" s="374"/>
      <c r="I87" s="373"/>
      <c r="J87" s="374">
        <v>257.06676396210247</v>
      </c>
      <c r="K87" s="895"/>
    </row>
    <row r="88" spans="2:11" ht="15" customHeight="1">
      <c r="B88" s="546"/>
      <c r="C88" s="547"/>
      <c r="D88" s="1802"/>
      <c r="E88" s="547" t="s">
        <v>419</v>
      </c>
      <c r="F88" s="555" t="s">
        <v>177</v>
      </c>
      <c r="G88" s="373"/>
      <c r="H88" s="374"/>
      <c r="I88" s="373"/>
      <c r="J88" s="374">
        <v>0</v>
      </c>
      <c r="K88" s="895"/>
    </row>
    <row r="89" spans="2:11" ht="15" customHeight="1">
      <c r="B89" s="546"/>
      <c r="C89" s="547"/>
      <c r="D89" s="1802"/>
      <c r="E89" s="547" t="s">
        <v>543</v>
      </c>
      <c r="F89" s="555" t="s">
        <v>177</v>
      </c>
      <c r="G89" s="373"/>
      <c r="H89" s="374"/>
      <c r="I89" s="373"/>
      <c r="J89" s="374">
        <v>1206.5101829873158</v>
      </c>
      <c r="K89" s="895"/>
    </row>
    <row r="90" spans="2:11" ht="15" customHeight="1">
      <c r="B90" s="546"/>
      <c r="C90" s="547"/>
      <c r="D90" s="1802"/>
      <c r="E90" s="547" t="s">
        <v>429</v>
      </c>
      <c r="F90" s="555" t="s">
        <v>177</v>
      </c>
      <c r="G90" s="373"/>
      <c r="H90" s="374"/>
      <c r="I90" s="373"/>
      <c r="J90" s="374">
        <v>1206.5101829873158</v>
      </c>
      <c r="K90" s="895"/>
    </row>
    <row r="91" spans="2:11" ht="15" customHeight="1">
      <c r="B91" s="546"/>
      <c r="C91" s="547"/>
      <c r="D91" s="1802"/>
      <c r="E91" s="547" t="s">
        <v>430</v>
      </c>
      <c r="F91" s="555" t="s">
        <v>177</v>
      </c>
      <c r="G91" s="373"/>
      <c r="H91" s="374"/>
      <c r="I91" s="373"/>
      <c r="J91" s="374">
        <v>0</v>
      </c>
      <c r="K91" s="895"/>
    </row>
    <row r="92" spans="2:11" ht="15" customHeight="1">
      <c r="B92" s="546"/>
      <c r="C92" s="547"/>
      <c r="D92" s="547"/>
      <c r="E92" s="547"/>
      <c r="F92" s="555"/>
      <c r="G92" s="556"/>
      <c r="H92" s="557"/>
      <c r="I92" s="556"/>
      <c r="J92" s="557"/>
    </row>
    <row r="93" spans="2:11" ht="15" customHeight="1">
      <c r="B93" s="546"/>
      <c r="C93" s="547"/>
      <c r="D93" s="1802" t="s">
        <v>68</v>
      </c>
      <c r="E93" s="547"/>
      <c r="F93" s="555"/>
      <c r="G93" s="556"/>
      <c r="H93" s="557"/>
      <c r="I93" s="556"/>
      <c r="J93" s="557"/>
    </row>
    <row r="94" spans="2:11" ht="15" customHeight="1">
      <c r="B94" s="546"/>
      <c r="C94" s="547"/>
      <c r="D94" s="547"/>
      <c r="E94" s="547" t="s">
        <v>389</v>
      </c>
      <c r="F94" s="555" t="s">
        <v>177</v>
      </c>
      <c r="G94" s="373"/>
      <c r="H94" s="374"/>
      <c r="I94" s="373"/>
      <c r="J94" s="374">
        <v>0</v>
      </c>
      <c r="K94" s="895"/>
    </row>
    <row r="95" spans="2:11" ht="15" customHeight="1">
      <c r="B95" s="546"/>
      <c r="C95" s="547"/>
      <c r="D95" s="1802"/>
      <c r="E95" s="547"/>
      <c r="F95" s="555"/>
      <c r="G95" s="556"/>
      <c r="H95" s="557"/>
      <c r="I95" s="556"/>
      <c r="J95" s="557"/>
    </row>
    <row r="96" spans="2:11" ht="15" customHeight="1">
      <c r="B96" s="546"/>
      <c r="C96" s="547"/>
      <c r="D96" s="1802" t="s">
        <v>637</v>
      </c>
      <c r="E96" s="547"/>
      <c r="F96" s="555"/>
      <c r="G96" s="556"/>
      <c r="H96" s="557"/>
      <c r="I96" s="556"/>
      <c r="J96" s="557"/>
    </row>
    <row r="97" spans="2:11" ht="15" customHeight="1">
      <c r="B97" s="546"/>
      <c r="C97" s="547"/>
      <c r="D97" s="1802"/>
      <c r="E97" s="563" t="s">
        <v>390</v>
      </c>
      <c r="F97" s="555" t="s">
        <v>744</v>
      </c>
      <c r="G97" s="373"/>
      <c r="H97" s="374"/>
      <c r="I97" s="373"/>
      <c r="J97" s="374">
        <v>184.98127673830817</v>
      </c>
      <c r="K97" s="895"/>
    </row>
    <row r="98" spans="2:11" ht="15" customHeight="1">
      <c r="B98" s="546"/>
      <c r="C98" s="547"/>
      <c r="D98" s="1802"/>
      <c r="E98" s="563" t="s">
        <v>391</v>
      </c>
      <c r="F98" s="555" t="s">
        <v>744</v>
      </c>
      <c r="G98" s="373"/>
      <c r="H98" s="374"/>
      <c r="I98" s="373"/>
      <c r="J98" s="374">
        <v>184.98127673830817</v>
      </c>
      <c r="K98" s="895"/>
    </row>
    <row r="99" spans="2:11" ht="15" customHeight="1">
      <c r="B99" s="546"/>
      <c r="C99" s="547"/>
      <c r="D99" s="1802"/>
      <c r="E99" s="563" t="s">
        <v>392</v>
      </c>
      <c r="F99" s="555" t="s">
        <v>744</v>
      </c>
      <c r="G99" s="373"/>
      <c r="H99" s="374"/>
      <c r="I99" s="373"/>
      <c r="J99" s="374">
        <v>0</v>
      </c>
      <c r="K99" s="895"/>
    </row>
    <row r="100" spans="2:11" ht="15" customHeight="1">
      <c r="B100" s="546"/>
      <c r="C100" s="547"/>
      <c r="D100" s="1802"/>
      <c r="E100" s="563" t="s">
        <v>393</v>
      </c>
      <c r="F100" s="555" t="s">
        <v>744</v>
      </c>
      <c r="G100" s="373"/>
      <c r="H100" s="374"/>
      <c r="I100" s="373"/>
      <c r="J100" s="374">
        <v>0</v>
      </c>
      <c r="K100" s="895"/>
    </row>
    <row r="101" spans="2:11" ht="15" customHeight="1">
      <c r="B101" s="546"/>
      <c r="C101" s="547"/>
      <c r="D101" s="1802"/>
      <c r="E101" s="563" t="s">
        <v>394</v>
      </c>
      <c r="F101" s="555" t="s">
        <v>744</v>
      </c>
      <c r="G101" s="373"/>
      <c r="H101" s="374"/>
      <c r="I101" s="373"/>
      <c r="J101" s="374">
        <v>588.50744331383407</v>
      </c>
      <c r="K101" s="895"/>
    </row>
    <row r="102" spans="2:11" ht="15" customHeight="1">
      <c r="B102" s="546"/>
      <c r="C102" s="547"/>
      <c r="D102" s="1802"/>
      <c r="E102" s="563" t="s">
        <v>395</v>
      </c>
      <c r="F102" s="555" t="s">
        <v>744</v>
      </c>
      <c r="G102" s="558"/>
      <c r="H102" s="559"/>
      <c r="I102" s="558"/>
      <c r="J102" s="559"/>
    </row>
    <row r="103" spans="2:11" ht="15" customHeight="1">
      <c r="B103" s="546"/>
      <c r="C103" s="547"/>
      <c r="D103" s="1802"/>
      <c r="E103" s="563" t="s">
        <v>396</v>
      </c>
      <c r="F103" s="555" t="s">
        <v>744</v>
      </c>
      <c r="G103" s="373"/>
      <c r="H103" s="374"/>
      <c r="I103" s="373"/>
      <c r="J103" s="374">
        <v>697.84345568149388</v>
      </c>
      <c r="K103" s="895"/>
    </row>
    <row r="104" spans="2:11" ht="15" customHeight="1">
      <c r="B104" s="546"/>
      <c r="C104" s="547"/>
      <c r="D104" s="1802"/>
      <c r="E104" s="563" t="s">
        <v>397</v>
      </c>
      <c r="F104" s="555" t="s">
        <v>744</v>
      </c>
      <c r="G104" s="558"/>
      <c r="H104" s="559"/>
      <c r="I104" s="558"/>
      <c r="J104" s="559"/>
    </row>
    <row r="105" spans="2:11" ht="15" customHeight="1">
      <c r="B105" s="546"/>
      <c r="C105" s="547"/>
      <c r="D105" s="1802"/>
      <c r="E105" s="547"/>
      <c r="F105" s="555"/>
      <c r="G105" s="556"/>
      <c r="H105" s="557"/>
      <c r="I105" s="556"/>
      <c r="J105" s="557"/>
    </row>
    <row r="106" spans="2:11" ht="15" customHeight="1">
      <c r="B106" s="546"/>
      <c r="C106" s="547"/>
      <c r="D106" s="1802" t="s">
        <v>512</v>
      </c>
      <c r="E106" s="547"/>
      <c r="F106" s="555"/>
      <c r="G106" s="556"/>
      <c r="H106" s="557"/>
      <c r="I106" s="556"/>
      <c r="J106" s="557"/>
    </row>
    <row r="107" spans="2:11" ht="15" customHeight="1">
      <c r="B107" s="546"/>
      <c r="C107" s="547"/>
      <c r="D107" s="547"/>
      <c r="E107" s="563" t="s">
        <v>398</v>
      </c>
      <c r="F107" s="555" t="s">
        <v>744</v>
      </c>
      <c r="G107" s="373"/>
      <c r="H107" s="374"/>
      <c r="I107" s="373"/>
      <c r="J107" s="374">
        <v>532.56808814898477</v>
      </c>
      <c r="K107" s="895"/>
    </row>
    <row r="108" spans="2:11" ht="15" customHeight="1">
      <c r="B108" s="546"/>
      <c r="C108" s="547"/>
      <c r="D108" s="547"/>
      <c r="E108" s="563" t="s">
        <v>399</v>
      </c>
      <c r="F108" s="555" t="s">
        <v>744</v>
      </c>
      <c r="G108" s="373"/>
      <c r="H108" s="374"/>
      <c r="I108" s="373"/>
      <c r="J108" s="374">
        <v>571.97990656058312</v>
      </c>
      <c r="K108" s="895"/>
    </row>
    <row r="109" spans="2:11" ht="15" customHeight="1">
      <c r="B109" s="546"/>
      <c r="C109" s="547"/>
      <c r="D109" s="547"/>
      <c r="E109" s="547" t="s">
        <v>400</v>
      </c>
      <c r="F109" s="555" t="s">
        <v>744</v>
      </c>
      <c r="G109" s="558"/>
      <c r="H109" s="559"/>
      <c r="I109" s="558"/>
      <c r="J109" s="559"/>
      <c r="K109" s="895"/>
    </row>
    <row r="110" spans="2:11" ht="15" customHeight="1">
      <c r="B110" s="546"/>
      <c r="C110" s="547"/>
      <c r="D110" s="547"/>
      <c r="E110" s="563" t="s">
        <v>595</v>
      </c>
      <c r="F110" s="555" t="s">
        <v>744</v>
      </c>
      <c r="G110" s="373"/>
      <c r="H110" s="374"/>
      <c r="I110" s="373"/>
      <c r="J110" s="374">
        <v>2234.9043737338279</v>
      </c>
      <c r="K110" s="895"/>
    </row>
    <row r="111" spans="2:11" ht="15" customHeight="1">
      <c r="B111" s="546"/>
      <c r="C111" s="547"/>
      <c r="D111" s="1802"/>
      <c r="E111" s="547" t="s">
        <v>596</v>
      </c>
      <c r="F111" s="555" t="s">
        <v>744</v>
      </c>
      <c r="G111" s="558"/>
      <c r="H111" s="559"/>
      <c r="I111" s="558"/>
      <c r="J111" s="559"/>
    </row>
    <row r="112" spans="2:11" ht="15" customHeight="1" thickBot="1">
      <c r="B112" s="1803"/>
      <c r="C112" s="1804"/>
      <c r="D112" s="1804"/>
      <c r="E112" s="1804"/>
      <c r="F112" s="375"/>
      <c r="G112" s="565"/>
      <c r="H112" s="566"/>
      <c r="I112" s="565"/>
      <c r="J112" s="566"/>
    </row>
    <row r="113" spans="2:11" ht="15" customHeight="1">
      <c r="B113" s="562"/>
      <c r="C113" s="1805" t="s">
        <v>597</v>
      </c>
      <c r="D113" s="1805"/>
      <c r="E113" s="563"/>
      <c r="F113" s="564"/>
      <c r="G113" s="556"/>
      <c r="H113" s="557"/>
      <c r="I113" s="556"/>
      <c r="J113" s="557"/>
    </row>
    <row r="114" spans="2:11" ht="15" customHeight="1">
      <c r="B114" s="546"/>
      <c r="C114" s="547"/>
      <c r="D114" s="1802" t="s">
        <v>225</v>
      </c>
      <c r="E114" s="547"/>
      <c r="F114" s="555"/>
      <c r="G114" s="556"/>
      <c r="H114" s="557"/>
      <c r="I114" s="556"/>
      <c r="J114" s="557"/>
    </row>
    <row r="115" spans="2:11" ht="15" customHeight="1">
      <c r="B115" s="546"/>
      <c r="C115" s="547"/>
      <c r="D115" s="1802"/>
      <c r="E115" s="547" t="s">
        <v>598</v>
      </c>
      <c r="F115" s="555" t="s">
        <v>177</v>
      </c>
      <c r="G115" s="373"/>
      <c r="H115" s="374"/>
      <c r="I115" s="373"/>
      <c r="J115" s="374">
        <v>714.87953202715244</v>
      </c>
      <c r="K115" s="895"/>
    </row>
    <row r="116" spans="2:11" ht="15" customHeight="1">
      <c r="B116" s="546"/>
      <c r="C116" s="547"/>
      <c r="D116" s="1802"/>
      <c r="E116" s="547" t="s">
        <v>599</v>
      </c>
      <c r="F116" s="555" t="s">
        <v>177</v>
      </c>
      <c r="G116" s="373"/>
      <c r="H116" s="374"/>
      <c r="I116" s="373"/>
      <c r="J116" s="374">
        <v>1228.5045203589498</v>
      </c>
      <c r="K116" s="895"/>
    </row>
    <row r="117" spans="2:11" ht="15" customHeight="1">
      <c r="B117" s="546"/>
      <c r="C117" s="547"/>
      <c r="D117" s="1802"/>
      <c r="E117" s="563"/>
      <c r="F117" s="555"/>
      <c r="G117" s="556"/>
      <c r="H117" s="557"/>
      <c r="I117" s="556"/>
      <c r="J117" s="557"/>
    </row>
    <row r="118" spans="2:11" ht="15" customHeight="1">
      <c r="B118" s="546"/>
      <c r="C118" s="547"/>
      <c r="D118" s="1802" t="s">
        <v>745</v>
      </c>
      <c r="E118" s="547"/>
      <c r="F118" s="564"/>
      <c r="G118" s="556"/>
      <c r="H118" s="557"/>
      <c r="I118" s="556"/>
      <c r="J118" s="557"/>
    </row>
    <row r="119" spans="2:11" ht="15" customHeight="1">
      <c r="B119" s="546"/>
      <c r="C119" s="547"/>
      <c r="D119" s="1802"/>
      <c r="E119" s="547" t="s">
        <v>600</v>
      </c>
      <c r="F119" s="555" t="s">
        <v>744</v>
      </c>
      <c r="G119" s="373"/>
      <c r="H119" s="374"/>
      <c r="I119" s="373"/>
      <c r="J119" s="374">
        <v>0</v>
      </c>
      <c r="K119" s="895"/>
    </row>
    <row r="120" spans="2:11" ht="15" customHeight="1">
      <c r="B120" s="546"/>
      <c r="C120" s="547"/>
      <c r="D120" s="1802"/>
      <c r="E120" s="547" t="s">
        <v>601</v>
      </c>
      <c r="F120" s="555" t="s">
        <v>744</v>
      </c>
      <c r="G120" s="373"/>
      <c r="H120" s="374"/>
      <c r="I120" s="373"/>
      <c r="J120" s="374">
        <v>0</v>
      </c>
      <c r="K120" s="895"/>
    </row>
    <row r="121" spans="2:11" ht="15" customHeight="1">
      <c r="B121" s="546"/>
      <c r="C121" s="547"/>
      <c r="D121" s="1802"/>
      <c r="E121" s="563" t="s">
        <v>442</v>
      </c>
      <c r="F121" s="555" t="s">
        <v>744</v>
      </c>
      <c r="G121" s="373"/>
      <c r="H121" s="374"/>
      <c r="I121" s="373"/>
      <c r="J121" s="374">
        <v>0</v>
      </c>
      <c r="K121" s="895"/>
    </row>
    <row r="122" spans="2:11" ht="15" customHeight="1">
      <c r="B122" s="546"/>
      <c r="C122" s="547"/>
      <c r="D122" s="547"/>
      <c r="E122" s="547"/>
      <c r="F122" s="555"/>
      <c r="G122" s="556"/>
      <c r="H122" s="557"/>
      <c r="I122" s="556"/>
      <c r="J122" s="557"/>
    </row>
    <row r="123" spans="2:11" ht="15" customHeight="1">
      <c r="B123" s="546"/>
      <c r="C123" s="547"/>
      <c r="D123" s="1802" t="s">
        <v>769</v>
      </c>
      <c r="E123" s="547"/>
      <c r="F123" s="564"/>
      <c r="G123" s="556"/>
      <c r="H123" s="557"/>
      <c r="I123" s="556"/>
      <c r="J123" s="557"/>
    </row>
    <row r="124" spans="2:11" ht="15" customHeight="1">
      <c r="B124" s="546"/>
      <c r="C124" s="547"/>
      <c r="D124" s="547"/>
      <c r="E124" s="547" t="s">
        <v>710</v>
      </c>
      <c r="F124" s="555" t="s">
        <v>177</v>
      </c>
      <c r="G124" s="373"/>
      <c r="H124" s="374"/>
      <c r="I124" s="373"/>
      <c r="J124" s="374">
        <v>1239.5652564938177</v>
      </c>
      <c r="K124" s="895"/>
    </row>
    <row r="125" spans="2:11" ht="15" customHeight="1">
      <c r="B125" s="546"/>
      <c r="C125" s="547"/>
      <c r="D125" s="547"/>
      <c r="E125" s="547" t="s">
        <v>709</v>
      </c>
      <c r="F125" s="555" t="s">
        <v>177</v>
      </c>
      <c r="G125" s="373"/>
      <c r="H125" s="374"/>
      <c r="I125" s="373"/>
      <c r="J125" s="374">
        <v>1239.5652564938177</v>
      </c>
      <c r="K125" s="895"/>
    </row>
    <row r="126" spans="2:11" ht="15" customHeight="1">
      <c r="B126" s="546"/>
      <c r="C126" s="547"/>
      <c r="D126" s="547"/>
      <c r="E126" s="547" t="s">
        <v>673</v>
      </c>
      <c r="F126" s="555" t="s">
        <v>177</v>
      </c>
      <c r="G126" s="373"/>
      <c r="H126" s="374"/>
      <c r="I126" s="373"/>
      <c r="J126" s="374">
        <v>0</v>
      </c>
      <c r="K126" s="895"/>
    </row>
    <row r="127" spans="2:11" ht="15" customHeight="1">
      <c r="B127" s="546"/>
      <c r="C127" s="547"/>
      <c r="D127" s="547"/>
      <c r="E127" s="547"/>
      <c r="F127" s="551"/>
      <c r="G127" s="556"/>
      <c r="H127" s="557"/>
      <c r="I127" s="556"/>
      <c r="J127" s="557"/>
    </row>
    <row r="128" spans="2:11" ht="15" customHeight="1">
      <c r="B128" s="546"/>
      <c r="C128" s="547"/>
      <c r="D128" s="1802" t="s">
        <v>68</v>
      </c>
      <c r="E128" s="547"/>
      <c r="F128" s="551"/>
      <c r="G128" s="556"/>
      <c r="H128" s="557"/>
      <c r="I128" s="556"/>
      <c r="J128" s="557"/>
    </row>
    <row r="129" spans="2:11" ht="15" customHeight="1">
      <c r="B129" s="546"/>
      <c r="C129" s="547"/>
      <c r="D129" s="547"/>
      <c r="E129" s="563" t="s">
        <v>674</v>
      </c>
      <c r="F129" s="555" t="s">
        <v>177</v>
      </c>
      <c r="G129" s="373"/>
      <c r="H129" s="374"/>
      <c r="I129" s="373"/>
      <c r="J129" s="374">
        <v>0</v>
      </c>
      <c r="K129" s="895"/>
    </row>
    <row r="130" spans="2:11" ht="15" customHeight="1">
      <c r="B130" s="546"/>
      <c r="C130" s="547"/>
      <c r="D130" s="547"/>
      <c r="E130" s="547"/>
      <c r="F130" s="551"/>
      <c r="G130" s="556"/>
      <c r="H130" s="557"/>
      <c r="I130" s="556"/>
      <c r="J130" s="557"/>
    </row>
    <row r="131" spans="2:11" ht="15" customHeight="1">
      <c r="B131" s="546"/>
      <c r="C131" s="547"/>
      <c r="D131" s="1802" t="s">
        <v>637</v>
      </c>
      <c r="E131" s="547"/>
      <c r="F131" s="551"/>
      <c r="G131" s="556"/>
      <c r="H131" s="557"/>
      <c r="I131" s="556"/>
      <c r="J131" s="557"/>
    </row>
    <row r="132" spans="2:11" ht="15" customHeight="1">
      <c r="B132" s="546"/>
      <c r="C132" s="547"/>
      <c r="D132" s="547"/>
      <c r="E132" s="547" t="s">
        <v>675</v>
      </c>
      <c r="F132" s="555" t="s">
        <v>744</v>
      </c>
      <c r="G132" s="373"/>
      <c r="H132" s="374"/>
      <c r="I132" s="373"/>
      <c r="J132" s="374">
        <v>1106.4550181810969</v>
      </c>
      <c r="K132" s="895"/>
    </row>
    <row r="133" spans="2:11" ht="15" customHeight="1">
      <c r="B133" s="546"/>
      <c r="C133" s="547"/>
      <c r="D133" s="547"/>
      <c r="E133" s="547" t="s">
        <v>676</v>
      </c>
      <c r="F133" s="555" t="s">
        <v>744</v>
      </c>
      <c r="G133" s="558"/>
      <c r="H133" s="559"/>
      <c r="I133" s="558"/>
      <c r="J133" s="559"/>
    </row>
    <row r="134" spans="2:11" ht="15" customHeight="1">
      <c r="B134" s="546"/>
      <c r="C134" s="547"/>
      <c r="D134" s="547"/>
      <c r="E134" s="547"/>
      <c r="F134" s="551"/>
      <c r="G134" s="556"/>
      <c r="H134" s="557"/>
      <c r="I134" s="556"/>
      <c r="J134" s="557"/>
    </row>
    <row r="135" spans="2:11" ht="15" customHeight="1">
      <c r="B135" s="546"/>
      <c r="C135" s="547"/>
      <c r="D135" s="1802" t="s">
        <v>512</v>
      </c>
      <c r="E135" s="547"/>
      <c r="F135" s="555"/>
      <c r="G135" s="556"/>
      <c r="H135" s="557"/>
      <c r="I135" s="556"/>
      <c r="J135" s="557"/>
    </row>
    <row r="136" spans="2:11" ht="15" customHeight="1">
      <c r="B136" s="546"/>
      <c r="C136" s="547"/>
      <c r="D136" s="547"/>
      <c r="E136" s="563" t="s">
        <v>677</v>
      </c>
      <c r="F136" s="555" t="s">
        <v>744</v>
      </c>
      <c r="G136" s="373"/>
      <c r="H136" s="374"/>
      <c r="I136" s="373"/>
      <c r="J136" s="374">
        <v>2234.9043737338279</v>
      </c>
      <c r="K136" s="895"/>
    </row>
    <row r="137" spans="2:11" ht="15" customHeight="1">
      <c r="B137" s="546"/>
      <c r="C137" s="547"/>
      <c r="D137" s="547"/>
      <c r="E137" s="563" t="s">
        <v>678</v>
      </c>
      <c r="F137" s="555" t="s">
        <v>744</v>
      </c>
      <c r="G137" s="558"/>
      <c r="H137" s="559"/>
      <c r="I137" s="558"/>
      <c r="J137" s="559"/>
    </row>
    <row r="138" spans="2:11" ht="15" customHeight="1" thickBot="1">
      <c r="B138" s="1803"/>
      <c r="C138" s="1804"/>
      <c r="D138" s="1804"/>
      <c r="E138" s="1804"/>
      <c r="F138" s="375"/>
      <c r="G138" s="565"/>
      <c r="H138" s="566"/>
      <c r="I138" s="565"/>
      <c r="J138" s="566"/>
    </row>
    <row r="139" spans="2:11" ht="15" customHeight="1">
      <c r="B139" s="562"/>
      <c r="C139" s="1805" t="s">
        <v>683</v>
      </c>
      <c r="D139" s="1805"/>
      <c r="E139" s="563"/>
      <c r="F139" s="564"/>
      <c r="G139" s="556"/>
      <c r="H139" s="557"/>
      <c r="I139" s="556"/>
      <c r="J139" s="557"/>
    </row>
    <row r="140" spans="2:11" ht="15" customHeight="1">
      <c r="B140" s="546"/>
      <c r="C140" s="547"/>
      <c r="D140" s="1802" t="s">
        <v>684</v>
      </c>
      <c r="E140" s="547"/>
      <c r="F140" s="555"/>
      <c r="G140" s="556"/>
      <c r="H140" s="557"/>
      <c r="I140" s="556"/>
      <c r="J140" s="557"/>
    </row>
    <row r="141" spans="2:11" ht="15" customHeight="1">
      <c r="B141" s="546"/>
      <c r="C141" s="547"/>
      <c r="D141" s="547"/>
      <c r="E141" s="563" t="s">
        <v>685</v>
      </c>
      <c r="F141" s="555" t="s">
        <v>744</v>
      </c>
      <c r="G141" s="558"/>
      <c r="H141" s="559"/>
      <c r="I141" s="558"/>
      <c r="J141" s="559"/>
    </row>
    <row r="142" spans="2:11" ht="15" customHeight="1">
      <c r="B142" s="546"/>
      <c r="C142" s="547"/>
      <c r="D142" s="547"/>
      <c r="E142" s="563" t="s">
        <v>854</v>
      </c>
      <c r="F142" s="555" t="s">
        <v>744</v>
      </c>
      <c r="G142" s="558"/>
      <c r="H142" s="559"/>
      <c r="I142" s="558"/>
      <c r="J142" s="559"/>
    </row>
    <row r="143" spans="2:11" ht="15" customHeight="1">
      <c r="B143" s="546"/>
      <c r="C143" s="563"/>
      <c r="D143" s="1802"/>
      <c r="E143" s="547"/>
      <c r="F143" s="555"/>
      <c r="G143" s="556"/>
      <c r="H143" s="557"/>
      <c r="I143" s="556"/>
      <c r="J143" s="557"/>
    </row>
    <row r="144" spans="2:11" ht="15" customHeight="1">
      <c r="B144" s="546"/>
      <c r="C144" s="547"/>
      <c r="D144" s="1802" t="s">
        <v>855</v>
      </c>
      <c r="E144" s="547"/>
      <c r="F144" s="555"/>
      <c r="G144" s="556"/>
      <c r="H144" s="557"/>
      <c r="I144" s="556"/>
      <c r="J144" s="557"/>
    </row>
    <row r="145" spans="2:11" ht="15" customHeight="1">
      <c r="B145" s="546"/>
      <c r="C145" s="547"/>
      <c r="D145" s="547"/>
      <c r="E145" s="563" t="s">
        <v>687</v>
      </c>
      <c r="F145" s="555" t="s">
        <v>744</v>
      </c>
      <c r="G145" s="558"/>
      <c r="H145" s="559"/>
      <c r="I145" s="558"/>
      <c r="J145" s="559"/>
    </row>
    <row r="146" spans="2:11" ht="15" customHeight="1">
      <c r="B146" s="546"/>
      <c r="C146" s="547"/>
      <c r="D146" s="547"/>
      <c r="E146" s="563" t="s">
        <v>688</v>
      </c>
      <c r="F146" s="555" t="s">
        <v>744</v>
      </c>
      <c r="G146" s="558"/>
      <c r="H146" s="559"/>
      <c r="I146" s="558"/>
      <c r="J146" s="559"/>
    </row>
    <row r="147" spans="2:11" ht="15" customHeight="1" thickBot="1">
      <c r="B147" s="1803"/>
      <c r="C147" s="1804"/>
      <c r="D147" s="1804"/>
      <c r="E147" s="1804"/>
      <c r="F147" s="375"/>
      <c r="G147" s="567"/>
      <c r="H147" s="568"/>
      <c r="I147" s="567"/>
      <c r="J147" s="568"/>
    </row>
    <row r="148" spans="2:11" ht="15" customHeight="1" thickBot="1">
      <c r="B148" s="563"/>
      <c r="C148" s="563"/>
      <c r="D148" s="563"/>
      <c r="E148" s="563"/>
      <c r="F148" s="563"/>
      <c r="G148" s="368"/>
      <c r="H148" s="368"/>
      <c r="I148" s="368"/>
      <c r="J148" s="368"/>
    </row>
    <row r="149" spans="2:11" ht="15" customHeight="1">
      <c r="B149" s="569"/>
      <c r="C149" s="1806" t="s">
        <v>689</v>
      </c>
      <c r="D149" s="1806"/>
      <c r="E149" s="570"/>
      <c r="F149" s="571"/>
      <c r="G149" s="572"/>
      <c r="H149" s="573"/>
      <c r="I149" s="572"/>
      <c r="J149" s="573"/>
    </row>
    <row r="150" spans="2:11" ht="15" customHeight="1">
      <c r="B150" s="554"/>
      <c r="C150" s="547"/>
      <c r="D150" s="1802"/>
      <c r="E150" s="1802" t="s">
        <v>80</v>
      </c>
      <c r="F150" s="555"/>
      <c r="G150" s="376"/>
      <c r="H150" s="377"/>
      <c r="I150" s="376"/>
      <c r="J150" s="377"/>
    </row>
    <row r="151" spans="2:11" ht="15" customHeight="1">
      <c r="B151" s="554"/>
      <c r="C151" s="547"/>
      <c r="D151" s="1802"/>
      <c r="E151" s="574" t="s">
        <v>690</v>
      </c>
      <c r="F151" s="555" t="s">
        <v>744</v>
      </c>
      <c r="G151" s="373"/>
      <c r="H151" s="374"/>
      <c r="I151" s="373"/>
      <c r="J151" s="374">
        <v>30.893780238768993</v>
      </c>
      <c r="K151" s="895"/>
    </row>
    <row r="152" spans="2:11" ht="15" customHeight="1">
      <c r="B152" s="554"/>
      <c r="C152" s="547"/>
      <c r="D152" s="1802"/>
      <c r="E152" s="574" t="s">
        <v>691</v>
      </c>
      <c r="F152" s="555" t="s">
        <v>744</v>
      </c>
      <c r="G152" s="373"/>
      <c r="H152" s="374"/>
      <c r="I152" s="373"/>
      <c r="J152" s="374">
        <v>7.882363682319661</v>
      </c>
      <c r="K152" s="895"/>
    </row>
    <row r="153" spans="2:11" ht="15" customHeight="1">
      <c r="B153" s="554"/>
      <c r="C153" s="547"/>
      <c r="D153" s="1802"/>
      <c r="E153" s="1802" t="s">
        <v>503</v>
      </c>
      <c r="F153" s="555"/>
      <c r="G153" s="376"/>
      <c r="H153" s="377"/>
      <c r="I153" s="376"/>
      <c r="J153" s="377"/>
    </row>
    <row r="154" spans="2:11" ht="15" customHeight="1">
      <c r="B154" s="554"/>
      <c r="C154" s="547"/>
      <c r="D154" s="1802"/>
      <c r="E154" s="574" t="s">
        <v>690</v>
      </c>
      <c r="F154" s="555" t="s">
        <v>744</v>
      </c>
      <c r="G154" s="373"/>
      <c r="H154" s="374"/>
      <c r="I154" s="373"/>
      <c r="J154" s="374">
        <v>0</v>
      </c>
      <c r="K154" s="895"/>
    </row>
    <row r="155" spans="2:11" ht="15" customHeight="1" thickBot="1">
      <c r="B155" s="575"/>
      <c r="C155" s="576"/>
      <c r="D155" s="1807"/>
      <c r="E155" s="577" t="s">
        <v>691</v>
      </c>
      <c r="F155" s="578" t="s">
        <v>744</v>
      </c>
      <c r="G155" s="378"/>
      <c r="H155" s="379"/>
      <c r="I155" s="378"/>
      <c r="J155" s="379">
        <v>0</v>
      </c>
      <c r="K155" s="895"/>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459" t="s">
        <v>16</v>
      </c>
      <c r="F1" s="253" t="s">
        <v>216</v>
      </c>
      <c r="H1" t="s">
        <v>412</v>
      </c>
    </row>
    <row r="3" spans="1:38">
      <c r="A3" s="1459" t="s">
        <v>29</v>
      </c>
    </row>
    <row r="5" spans="1:38">
      <c r="C5" s="380" t="s">
        <v>413</v>
      </c>
      <c r="D5" s="381"/>
      <c r="E5" s="381"/>
      <c r="F5" s="381"/>
      <c r="G5" s="381"/>
      <c r="H5" s="381"/>
      <c r="I5" s="380"/>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2"/>
    </row>
    <row r="6" spans="1:38">
      <c r="C6" s="383"/>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5"/>
    </row>
    <row r="7" spans="1:38">
      <c r="C7" s="383"/>
      <c r="D7" s="2031" t="s">
        <v>409</v>
      </c>
      <c r="E7" s="2032"/>
      <c r="F7" s="2032"/>
      <c r="G7" s="2032"/>
      <c r="H7" s="2032"/>
      <c r="I7" s="2032"/>
      <c r="J7" s="2032"/>
      <c r="K7" s="2032"/>
      <c r="L7" s="2032"/>
      <c r="M7" s="2032"/>
      <c r="N7" s="2032"/>
      <c r="O7" s="2032"/>
      <c r="P7" s="2032"/>
      <c r="Q7" s="2032"/>
      <c r="R7" s="2032"/>
      <c r="S7" s="2032"/>
      <c r="T7" s="2032"/>
      <c r="U7" s="2032"/>
      <c r="V7" s="2032"/>
      <c r="W7" s="2032"/>
      <c r="X7" s="2033"/>
      <c r="Y7" s="2022" t="s">
        <v>475</v>
      </c>
      <c r="Z7" s="2022" t="s">
        <v>476</v>
      </c>
      <c r="AA7" s="2022" t="s">
        <v>774</v>
      </c>
      <c r="AB7" s="2022" t="s">
        <v>775</v>
      </c>
      <c r="AC7" s="2022" t="s">
        <v>760</v>
      </c>
      <c r="AD7" s="2022" t="s">
        <v>58</v>
      </c>
      <c r="AE7" s="2022" t="s">
        <v>761</v>
      </c>
      <c r="AF7" s="2022" t="s">
        <v>762</v>
      </c>
      <c r="AG7" s="2022" t="s">
        <v>763</v>
      </c>
      <c r="AH7" s="2022" t="s">
        <v>645</v>
      </c>
      <c r="AI7" s="2022" t="s">
        <v>647</v>
      </c>
      <c r="AJ7" s="2022" t="s">
        <v>648</v>
      </c>
      <c r="AK7" s="2019" t="s">
        <v>659</v>
      </c>
      <c r="AL7" s="386"/>
    </row>
    <row r="8" spans="1:38">
      <c r="C8" s="383"/>
      <c r="D8" s="2025" t="s">
        <v>656</v>
      </c>
      <c r="E8" s="2026"/>
      <c r="F8" s="2026"/>
      <c r="G8" s="2026"/>
      <c r="H8" s="2026"/>
      <c r="I8" s="2027"/>
      <c r="J8" s="2028" t="s">
        <v>472</v>
      </c>
      <c r="K8" s="2029"/>
      <c r="L8" s="2029"/>
      <c r="M8" s="2029"/>
      <c r="N8" s="2029"/>
      <c r="O8" s="2029"/>
      <c r="P8" s="2029"/>
      <c r="Q8" s="2029"/>
      <c r="R8" s="2029"/>
      <c r="S8" s="2029"/>
      <c r="T8" s="2029"/>
      <c r="U8" s="2029"/>
      <c r="V8" s="2029"/>
      <c r="W8" s="2029"/>
      <c r="X8" s="2030"/>
      <c r="Y8" s="2023"/>
      <c r="Z8" s="2023"/>
      <c r="AA8" s="2023"/>
      <c r="AB8" s="2023"/>
      <c r="AC8" s="2023"/>
      <c r="AD8" s="2023"/>
      <c r="AE8" s="2023"/>
      <c r="AF8" s="2023"/>
      <c r="AG8" s="2023"/>
      <c r="AH8" s="2023"/>
      <c r="AI8" s="2023"/>
      <c r="AJ8" s="2023"/>
      <c r="AK8" s="2020"/>
      <c r="AL8" s="386"/>
    </row>
    <row r="9" spans="1:38" s="407" customFormat="1" ht="152.25" customHeight="1">
      <c r="C9" s="408" t="s">
        <v>504</v>
      </c>
      <c r="D9" s="409" t="s">
        <v>640</v>
      </c>
      <c r="E9" s="409" t="s">
        <v>470</v>
      </c>
      <c r="F9" s="409" t="s">
        <v>471</v>
      </c>
      <c r="G9" s="409" t="s">
        <v>212</v>
      </c>
      <c r="H9" s="409" t="s">
        <v>358</v>
      </c>
      <c r="I9" s="409" t="s">
        <v>214</v>
      </c>
      <c r="J9" s="409" t="s">
        <v>59</v>
      </c>
      <c r="K9" s="410" t="s">
        <v>60</v>
      </c>
      <c r="L9" s="410" t="s">
        <v>61</v>
      </c>
      <c r="M9" s="410" t="s">
        <v>62</v>
      </c>
      <c r="N9" s="410" t="s">
        <v>63</v>
      </c>
      <c r="O9" s="410" t="s">
        <v>64</v>
      </c>
      <c r="P9" s="410" t="s">
        <v>220</v>
      </c>
      <c r="Q9" s="410" t="s">
        <v>221</v>
      </c>
      <c r="R9" s="410" t="s">
        <v>785</v>
      </c>
      <c r="S9" s="410" t="s">
        <v>663</v>
      </c>
      <c r="T9" s="410" t="s">
        <v>784</v>
      </c>
      <c r="U9" s="410" t="s">
        <v>73</v>
      </c>
      <c r="V9" s="410" t="s">
        <v>505</v>
      </c>
      <c r="W9" s="410" t="s">
        <v>189</v>
      </c>
      <c r="X9" s="410" t="s">
        <v>474</v>
      </c>
      <c r="Y9" s="2024"/>
      <c r="Z9" s="2024"/>
      <c r="AA9" s="2024"/>
      <c r="AB9" s="2024"/>
      <c r="AC9" s="2024"/>
      <c r="AD9" s="2024"/>
      <c r="AE9" s="2024"/>
      <c r="AF9" s="2024"/>
      <c r="AG9" s="2024"/>
      <c r="AH9" s="2024"/>
      <c r="AI9" s="2024"/>
      <c r="AJ9" s="2024"/>
      <c r="AK9" s="2021"/>
      <c r="AL9" s="411"/>
    </row>
    <row r="10" spans="1:38">
      <c r="C10" s="387"/>
      <c r="D10" s="388" t="s">
        <v>157</v>
      </c>
      <c r="E10" s="388" t="s">
        <v>157</v>
      </c>
      <c r="F10" s="388" t="s">
        <v>157</v>
      </c>
      <c r="G10" s="388" t="s">
        <v>157</v>
      </c>
      <c r="H10" s="388" t="s">
        <v>157</v>
      </c>
      <c r="I10" s="388" t="s">
        <v>157</v>
      </c>
      <c r="J10" s="388" t="s">
        <v>157</v>
      </c>
      <c r="K10" s="388" t="s">
        <v>157</v>
      </c>
      <c r="L10" s="388" t="s">
        <v>157</v>
      </c>
      <c r="M10" s="388" t="s">
        <v>157</v>
      </c>
      <c r="N10" s="388" t="s">
        <v>157</v>
      </c>
      <c r="O10" s="388" t="s">
        <v>157</v>
      </c>
      <c r="P10" s="388" t="s">
        <v>157</v>
      </c>
      <c r="Q10" s="388" t="s">
        <v>157</v>
      </c>
      <c r="R10" s="388" t="s">
        <v>157</v>
      </c>
      <c r="S10" s="388" t="s">
        <v>157</v>
      </c>
      <c r="T10" s="388" t="s">
        <v>157</v>
      </c>
      <c r="U10" s="388" t="s">
        <v>157</v>
      </c>
      <c r="V10" s="388" t="s">
        <v>157</v>
      </c>
      <c r="W10" s="388" t="s">
        <v>157</v>
      </c>
      <c r="X10" s="388" t="s">
        <v>157</v>
      </c>
      <c r="Y10" s="388" t="s">
        <v>157</v>
      </c>
      <c r="Z10" s="388" t="s">
        <v>157</v>
      </c>
      <c r="AA10" s="388" t="s">
        <v>157</v>
      </c>
      <c r="AB10" s="388" t="s">
        <v>157</v>
      </c>
      <c r="AC10" s="388" t="s">
        <v>157</v>
      </c>
      <c r="AD10" s="388" t="s">
        <v>157</v>
      </c>
      <c r="AE10" s="388" t="s">
        <v>157</v>
      </c>
      <c r="AF10" s="388" t="s">
        <v>157</v>
      </c>
      <c r="AG10" s="388" t="s">
        <v>157</v>
      </c>
      <c r="AH10" s="388" t="s">
        <v>157</v>
      </c>
      <c r="AI10" s="388" t="s">
        <v>157</v>
      </c>
      <c r="AJ10" s="388" t="s">
        <v>157</v>
      </c>
      <c r="AK10" s="388" t="s">
        <v>157</v>
      </c>
      <c r="AL10" s="385"/>
    </row>
    <row r="11" spans="1:38">
      <c r="C11" s="389"/>
      <c r="D11" s="390"/>
      <c r="E11" s="390"/>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85"/>
    </row>
    <row r="12" spans="1:38">
      <c r="C12" s="391" t="s">
        <v>507</v>
      </c>
      <c r="D12" s="392">
        <v>11.260750888044793</v>
      </c>
      <c r="E12" s="392">
        <v>86.73865287324719</v>
      </c>
      <c r="F12" s="392">
        <v>2.2901999883199999</v>
      </c>
      <c r="G12" s="392">
        <v>23.607461477008215</v>
      </c>
      <c r="H12" s="392">
        <v>11.683384510026801</v>
      </c>
      <c r="I12" s="392">
        <v>4.9082775940000003</v>
      </c>
      <c r="J12" s="392">
        <v>0.77486938446319986</v>
      </c>
      <c r="K12" s="392">
        <v>5.6235967952637829</v>
      </c>
      <c r="L12" s="392">
        <v>4.1962810579107463</v>
      </c>
      <c r="M12" s="392">
        <v>23.39222530593641</v>
      </c>
      <c r="N12" s="392">
        <v>3.9932671215815496</v>
      </c>
      <c r="O12" s="392">
        <v>1.8430952204672004</v>
      </c>
      <c r="P12" s="392">
        <v>1.4394826722359997</v>
      </c>
      <c r="Q12" s="392">
        <v>1.3630810727301883</v>
      </c>
      <c r="R12" s="392">
        <v>5.4399459945200013</v>
      </c>
      <c r="S12" s="392">
        <v>11.413705956353251</v>
      </c>
      <c r="T12" s="392">
        <v>5.5343552999991585</v>
      </c>
      <c r="U12" s="392">
        <v>1.3726373768207174</v>
      </c>
      <c r="V12" s="392">
        <v>1.9614634264481019</v>
      </c>
      <c r="W12" s="392">
        <v>7.7816755968572568</v>
      </c>
      <c r="X12" s="392">
        <v>1.536754324034403</v>
      </c>
      <c r="Y12" s="392">
        <v>2.24185108</v>
      </c>
      <c r="Z12" s="392">
        <v>7.62</v>
      </c>
      <c r="AA12" s="392">
        <v>0.81564207</v>
      </c>
      <c r="AB12" s="392">
        <v>12.183907341469606</v>
      </c>
      <c r="AC12" s="392">
        <v>1.3999999737279722E-7</v>
      </c>
      <c r="AD12" s="392">
        <v>1.0147458008000003</v>
      </c>
      <c r="AE12" s="392">
        <v>-5.1969463263321618</v>
      </c>
      <c r="AF12" s="392">
        <v>39.130465450300001</v>
      </c>
      <c r="AG12" s="392">
        <v>20.184226800000001</v>
      </c>
      <c r="AH12" s="392">
        <v>8</v>
      </c>
      <c r="AI12" s="392">
        <v>-7.62</v>
      </c>
      <c r="AJ12" s="392">
        <v>2.4709437074936318</v>
      </c>
      <c r="AK12" s="392">
        <v>299</v>
      </c>
      <c r="AL12" s="393"/>
    </row>
    <row r="13" spans="1:38">
      <c r="C13" s="391" t="s">
        <v>508</v>
      </c>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5">
        <v>0</v>
      </c>
      <c r="AL13" s="393"/>
    </row>
    <row r="14" spans="1:38">
      <c r="C14" s="391" t="s">
        <v>507</v>
      </c>
      <c r="D14" s="392">
        <v>11.260750888044793</v>
      </c>
      <c r="E14" s="392">
        <v>86.73865287324719</v>
      </c>
      <c r="F14" s="392">
        <v>2.2901999883199999</v>
      </c>
      <c r="G14" s="392">
        <v>23.607461477008215</v>
      </c>
      <c r="H14" s="392">
        <v>11.683384510026801</v>
      </c>
      <c r="I14" s="392">
        <v>4.9082775940000003</v>
      </c>
      <c r="J14" s="392">
        <v>0.77486938446319986</v>
      </c>
      <c r="K14" s="392">
        <v>5.6235967952637829</v>
      </c>
      <c r="L14" s="392">
        <v>4.1962810579107463</v>
      </c>
      <c r="M14" s="392">
        <v>23.39222530593641</v>
      </c>
      <c r="N14" s="392">
        <v>3.9932671215815496</v>
      </c>
      <c r="O14" s="392">
        <v>1.8430952204672004</v>
      </c>
      <c r="P14" s="392">
        <v>1.4394826722359997</v>
      </c>
      <c r="Q14" s="392">
        <v>1.3630810727301883</v>
      </c>
      <c r="R14" s="392">
        <v>5.4399459945200013</v>
      </c>
      <c r="S14" s="392">
        <v>11.413705956353251</v>
      </c>
      <c r="T14" s="392">
        <v>5.5343552999991585</v>
      </c>
      <c r="U14" s="392">
        <v>1.3726373768207174</v>
      </c>
      <c r="V14" s="392">
        <v>1.9614634264481019</v>
      </c>
      <c r="W14" s="392">
        <v>7.7816755968572568</v>
      </c>
      <c r="X14" s="392">
        <v>1.536754324034403</v>
      </c>
      <c r="Y14" s="392">
        <v>2.24185108</v>
      </c>
      <c r="Z14" s="392">
        <v>7.62</v>
      </c>
      <c r="AA14" s="392">
        <v>0.81564207</v>
      </c>
      <c r="AB14" s="392">
        <v>12.183907341469606</v>
      </c>
      <c r="AC14" s="392">
        <v>1.3999999737279722E-7</v>
      </c>
      <c r="AD14" s="392">
        <v>1.0147458008000003</v>
      </c>
      <c r="AE14" s="392">
        <v>-5.1969463263321618</v>
      </c>
      <c r="AF14" s="392">
        <v>39.130465450300001</v>
      </c>
      <c r="AG14" s="392">
        <v>20.184226800000001</v>
      </c>
      <c r="AH14" s="392">
        <v>8</v>
      </c>
      <c r="AI14" s="392">
        <v>-7.62</v>
      </c>
      <c r="AJ14" s="392">
        <v>2.4709437074936318</v>
      </c>
      <c r="AK14" s="392">
        <v>299</v>
      </c>
      <c r="AL14" s="393"/>
    </row>
    <row r="15" spans="1:38">
      <c r="C15" s="391"/>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3"/>
    </row>
    <row r="16" spans="1:38">
      <c r="C16" s="391" t="s">
        <v>509</v>
      </c>
      <c r="D16" s="392">
        <v>8.6406930528630213</v>
      </c>
      <c r="E16" s="392">
        <v>69.050320620092407</v>
      </c>
      <c r="F16" s="392">
        <v>2.6978757939299998</v>
      </c>
      <c r="G16" s="392">
        <v>26.585929994545726</v>
      </c>
      <c r="H16" s="392">
        <v>8.4933534972528744</v>
      </c>
      <c r="I16" s="392">
        <v>5.7800996575720154</v>
      </c>
      <c r="J16" s="392">
        <v>1.1741027657412046</v>
      </c>
      <c r="K16" s="392">
        <v>3.8077610766246233</v>
      </c>
      <c r="L16" s="392">
        <v>5.041970767615255</v>
      </c>
      <c r="M16" s="392">
        <v>18.204079436995361</v>
      </c>
      <c r="N16" s="392">
        <v>4.1451310361827716</v>
      </c>
      <c r="O16" s="392">
        <v>1.7043014022479737</v>
      </c>
      <c r="P16" s="392">
        <v>1.5747594627143606</v>
      </c>
      <c r="Q16" s="392">
        <v>1.4758625624493948</v>
      </c>
      <c r="R16" s="392">
        <v>4.6742188521986732</v>
      </c>
      <c r="S16" s="392">
        <v>11.684030483425074</v>
      </c>
      <c r="T16" s="392">
        <v>4.6000640042730518</v>
      </c>
      <c r="U16" s="392">
        <v>2.0876733918815966</v>
      </c>
      <c r="V16" s="392">
        <v>2.3444157040209626</v>
      </c>
      <c r="W16" s="392">
        <v>7.71819896534008</v>
      </c>
      <c r="X16" s="392">
        <v>1.8922248593075113</v>
      </c>
      <c r="Y16" s="392">
        <v>3.1853175699999996</v>
      </c>
      <c r="Z16" s="392">
        <v>2.1</v>
      </c>
      <c r="AA16" s="392">
        <v>5.2757375245545637</v>
      </c>
      <c r="AB16" s="392">
        <v>10.839291641651382</v>
      </c>
      <c r="AC16" s="392">
        <v>0</v>
      </c>
      <c r="AD16" s="392">
        <v>0</v>
      </c>
      <c r="AE16" s="392">
        <v>1.1714051563517915</v>
      </c>
      <c r="AF16" s="392">
        <v>39.324080569530004</v>
      </c>
      <c r="AG16" s="392">
        <v>20.276195809999997</v>
      </c>
      <c r="AH16" s="392">
        <v>7.2444885000000001</v>
      </c>
      <c r="AI16" s="392">
        <v>-2.1</v>
      </c>
      <c r="AJ16" s="392">
        <v>11.876043500638502</v>
      </c>
      <c r="AK16" s="392">
        <v>292.56962766000015</v>
      </c>
      <c r="AL16" s="396"/>
    </row>
    <row r="17" spans="3:38">
      <c r="C17" s="391"/>
      <c r="D17" s="392"/>
      <c r="E17" s="39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2"/>
      <c r="AG17" s="392"/>
      <c r="AH17" s="392"/>
      <c r="AI17" s="392"/>
      <c r="AJ17" s="392"/>
      <c r="AK17" s="392"/>
      <c r="AL17" s="396"/>
    </row>
    <row r="18" spans="3:38">
      <c r="C18" s="391" t="s">
        <v>510</v>
      </c>
      <c r="D18" s="392">
        <v>22.05381964681996</v>
      </c>
      <c r="E18" s="392">
        <v>52.010151581557103</v>
      </c>
      <c r="F18" s="392">
        <v>1.665331330495831</v>
      </c>
      <c r="G18" s="392">
        <v>25.739669644938481</v>
      </c>
      <c r="H18" s="392">
        <v>6.2838761175158684</v>
      </c>
      <c r="I18" s="392">
        <v>2.1592628089684665</v>
      </c>
      <c r="J18" s="392">
        <v>0.46992086685698797</v>
      </c>
      <c r="K18" s="392">
        <v>3.7710730875040674</v>
      </c>
      <c r="L18" s="392">
        <v>6.1367485042863796</v>
      </c>
      <c r="M18" s="392">
        <v>10.797410407551657</v>
      </c>
      <c r="N18" s="392">
        <v>3.2603866279764602</v>
      </c>
      <c r="O18" s="392">
        <v>2.0259238623696421</v>
      </c>
      <c r="P18" s="392">
        <v>1.3641478864905945</v>
      </c>
      <c r="Q18" s="392">
        <v>2.1503455470888513</v>
      </c>
      <c r="R18" s="392">
        <v>2.7402381048519571</v>
      </c>
      <c r="S18" s="392">
        <v>7.4525859839648003</v>
      </c>
      <c r="T18" s="392">
        <v>5.0306563330394072</v>
      </c>
      <c r="U18" s="392">
        <v>1.1978004536561848</v>
      </c>
      <c r="V18" s="392">
        <v>1.7612408126809169</v>
      </c>
      <c r="W18" s="392">
        <v>8.0876763651092158</v>
      </c>
      <c r="X18" s="392">
        <v>2.2973169665637538</v>
      </c>
      <c r="Y18" s="392">
        <v>3.7657640000000003</v>
      </c>
      <c r="Z18" s="392">
        <v>68.099999999999994</v>
      </c>
      <c r="AA18" s="392">
        <v>8.7183465799999986</v>
      </c>
      <c r="AB18" s="392">
        <v>9.9484680436074697</v>
      </c>
      <c r="AC18" s="392">
        <v>0</v>
      </c>
      <c r="AD18" s="392">
        <v>0</v>
      </c>
      <c r="AE18" s="392">
        <v>0</v>
      </c>
      <c r="AF18" s="392">
        <v>44.999360189999997</v>
      </c>
      <c r="AG18" s="392">
        <v>21.829069</v>
      </c>
      <c r="AH18" s="392">
        <v>6.6293233200000001</v>
      </c>
      <c r="AI18" s="392">
        <v>-68.099999999999994</v>
      </c>
      <c r="AJ18" s="392">
        <v>-3.9633140738940824</v>
      </c>
      <c r="AK18" s="392">
        <v>260.38259999999997</v>
      </c>
      <c r="AL18" s="396"/>
    </row>
    <row r="19" spans="3:38">
      <c r="C19" s="397"/>
      <c r="D19" s="398"/>
      <c r="E19" s="398"/>
      <c r="F19" s="398"/>
      <c r="G19" s="398"/>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3"/>
    </row>
    <row r="20" spans="3:38">
      <c r="C20" s="384"/>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3"/>
    </row>
    <row r="21" spans="3:38">
      <c r="C21" s="400" t="s">
        <v>481</v>
      </c>
      <c r="D21" s="400"/>
      <c r="E21" s="400"/>
      <c r="F21" s="401"/>
      <c r="G21" s="402"/>
      <c r="H21" s="402"/>
      <c r="I21" s="402"/>
      <c r="J21" s="402"/>
      <c r="K21" s="402"/>
      <c r="L21" s="402"/>
      <c r="M21" s="402"/>
      <c r="N21" s="402"/>
      <c r="O21" s="402"/>
      <c r="P21" s="402"/>
      <c r="Q21" s="402"/>
      <c r="R21" s="403"/>
      <c r="S21" s="400"/>
      <c r="T21" s="400"/>
      <c r="U21" s="400"/>
      <c r="V21" s="400"/>
      <c r="W21" s="400"/>
      <c r="X21" s="400"/>
      <c r="Y21" s="400"/>
      <c r="Z21" s="400"/>
      <c r="AA21" s="400"/>
      <c r="AB21" s="399"/>
      <c r="AC21" s="399"/>
      <c r="AD21" s="399"/>
      <c r="AE21" s="399"/>
      <c r="AF21" s="399"/>
      <c r="AG21" s="399"/>
      <c r="AH21" s="399"/>
      <c r="AI21" s="399"/>
      <c r="AJ21" s="399"/>
      <c r="AK21" s="399"/>
      <c r="AL21" s="393"/>
    </row>
    <row r="22" spans="3:38">
      <c r="C22" s="400">
        <v>1</v>
      </c>
      <c r="D22" s="2034" t="s">
        <v>345</v>
      </c>
      <c r="E22" s="2035"/>
      <c r="F22" s="2035"/>
      <c r="G22" s="2035"/>
      <c r="H22" s="2035"/>
      <c r="I22" s="2035"/>
      <c r="J22" s="2035"/>
      <c r="K22" s="2035"/>
      <c r="L22" s="2035"/>
      <c r="M22" s="2035"/>
      <c r="N22" s="2035"/>
      <c r="O22" s="2035"/>
      <c r="P22" s="2035"/>
      <c r="Q22" s="2035"/>
      <c r="R22" s="2035"/>
      <c r="S22" s="2035"/>
      <c r="T22" s="2035"/>
      <c r="U22" s="2035"/>
      <c r="V22" s="2035"/>
      <c r="W22" s="2035"/>
      <c r="X22" s="2035"/>
      <c r="Y22" s="2035"/>
      <c r="Z22" s="2035"/>
      <c r="AA22" s="2035"/>
      <c r="AB22" s="399"/>
      <c r="AC22" s="399"/>
      <c r="AD22" s="399"/>
      <c r="AE22" s="399"/>
      <c r="AF22" s="399"/>
      <c r="AG22" s="399"/>
      <c r="AH22" s="399"/>
      <c r="AI22" s="399"/>
      <c r="AJ22" s="399"/>
      <c r="AK22" s="399"/>
      <c r="AL22" s="393"/>
    </row>
    <row r="23" spans="3:38">
      <c r="C23" s="400">
        <v>2</v>
      </c>
      <c r="D23" s="2034" t="s">
        <v>414</v>
      </c>
      <c r="E23" s="2035"/>
      <c r="F23" s="2035"/>
      <c r="G23" s="2035"/>
      <c r="H23" s="2035"/>
      <c r="I23" s="2035"/>
      <c r="J23" s="2035"/>
      <c r="K23" s="2035"/>
      <c r="L23" s="2035"/>
      <c r="M23" s="2035"/>
      <c r="N23" s="2035"/>
      <c r="O23" s="2035"/>
      <c r="P23" s="2035"/>
      <c r="Q23" s="2035"/>
      <c r="R23" s="2035"/>
      <c r="S23" s="2035"/>
      <c r="T23" s="2035"/>
      <c r="U23" s="2035"/>
      <c r="V23" s="2035"/>
      <c r="W23" s="2035"/>
      <c r="X23" s="2035"/>
      <c r="Y23" s="2035"/>
      <c r="Z23" s="2035"/>
      <c r="AA23" s="2035"/>
      <c r="AB23" s="399"/>
      <c r="AC23" s="399"/>
      <c r="AD23" s="399"/>
      <c r="AE23" s="399"/>
      <c r="AF23" s="399"/>
      <c r="AG23" s="399"/>
      <c r="AH23" s="399"/>
      <c r="AI23" s="399"/>
      <c r="AJ23" s="399"/>
      <c r="AK23" s="399"/>
      <c r="AL23" s="393"/>
    </row>
    <row r="24" spans="3:38">
      <c r="C24" s="400">
        <v>3</v>
      </c>
      <c r="D24" s="2034" t="s">
        <v>369</v>
      </c>
      <c r="E24" s="2035"/>
      <c r="F24" s="2035"/>
      <c r="G24" s="2035"/>
      <c r="H24" s="2035"/>
      <c r="I24" s="2035"/>
      <c r="J24" s="2035"/>
      <c r="K24" s="2035"/>
      <c r="L24" s="2035"/>
      <c r="M24" s="2035"/>
      <c r="N24" s="2035"/>
      <c r="O24" s="2035"/>
      <c r="P24" s="2035"/>
      <c r="Q24" s="2035"/>
      <c r="R24" s="2035"/>
      <c r="S24" s="2035"/>
      <c r="T24" s="2035"/>
      <c r="U24" s="2035"/>
      <c r="V24" s="2035"/>
      <c r="W24" s="2035"/>
      <c r="X24" s="2035"/>
      <c r="Y24" s="2035"/>
      <c r="Z24" s="2035"/>
      <c r="AA24" s="2035"/>
      <c r="AB24" s="399"/>
      <c r="AC24" s="399"/>
      <c r="AD24" s="399"/>
      <c r="AE24" s="399"/>
      <c r="AF24" s="399"/>
      <c r="AG24" s="399"/>
      <c r="AH24" s="399"/>
      <c r="AI24" s="399"/>
      <c r="AJ24" s="399"/>
      <c r="AK24" s="399"/>
      <c r="AL24" s="393"/>
    </row>
    <row r="25" spans="3:38">
      <c r="C25" s="400">
        <v>4</v>
      </c>
      <c r="D25" s="2034" t="s">
        <v>415</v>
      </c>
      <c r="E25" s="2035"/>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399"/>
      <c r="AC25" s="399"/>
      <c r="AD25" s="399"/>
      <c r="AE25" s="399"/>
      <c r="AF25" s="399"/>
      <c r="AG25" s="399"/>
      <c r="AH25" s="399"/>
      <c r="AI25" s="399"/>
      <c r="AJ25" s="399"/>
      <c r="AK25" s="399"/>
      <c r="AL25" s="393"/>
    </row>
    <row r="26" spans="3:38">
      <c r="C26" s="400">
        <v>5</v>
      </c>
      <c r="D26" s="2034" t="s">
        <v>416</v>
      </c>
      <c r="E26" s="2035"/>
      <c r="F26" s="2035"/>
      <c r="G26" s="2035"/>
      <c r="H26" s="2035"/>
      <c r="I26" s="2035"/>
      <c r="J26" s="2035"/>
      <c r="K26" s="2035"/>
      <c r="L26" s="2035"/>
      <c r="M26" s="2035"/>
      <c r="N26" s="2035"/>
      <c r="O26" s="2035"/>
      <c r="P26" s="2035"/>
      <c r="Q26" s="2035"/>
      <c r="R26" s="2035"/>
      <c r="S26" s="2035"/>
      <c r="T26" s="2035"/>
      <c r="U26" s="2035"/>
      <c r="V26" s="2035"/>
      <c r="W26" s="2035"/>
      <c r="X26" s="2035"/>
      <c r="Y26" s="2035"/>
      <c r="Z26" s="2035"/>
      <c r="AA26" s="2035"/>
      <c r="AB26" s="399"/>
      <c r="AC26" s="399"/>
      <c r="AD26" s="399"/>
      <c r="AE26" s="399"/>
      <c r="AF26" s="399"/>
      <c r="AG26" s="399"/>
      <c r="AH26" s="399"/>
      <c r="AI26" s="399"/>
      <c r="AJ26" s="399"/>
      <c r="AK26" s="399"/>
      <c r="AL26" s="393"/>
    </row>
    <row r="27" spans="3:38">
      <c r="C27" s="404"/>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6"/>
    </row>
  </sheetData>
  <mergeCells count="21">
    <mergeCell ref="D26:AA26"/>
    <mergeCell ref="D22:AA22"/>
    <mergeCell ref="D23:AA23"/>
    <mergeCell ref="D24:AA24"/>
    <mergeCell ref="D25:AA25"/>
    <mergeCell ref="D8:I8"/>
    <mergeCell ref="AJ7:AJ9"/>
    <mergeCell ref="Z7:Z9"/>
    <mergeCell ref="AH7:AH9"/>
    <mergeCell ref="AI7:AI9"/>
    <mergeCell ref="AB7:AB9"/>
    <mergeCell ref="J8:X8"/>
    <mergeCell ref="AE7:AE9"/>
    <mergeCell ref="D7:X7"/>
    <mergeCell ref="Y7:Y9"/>
    <mergeCell ref="AC7:AC9"/>
    <mergeCell ref="AK7:AK9"/>
    <mergeCell ref="AF7:AF9"/>
    <mergeCell ref="AG7:AG9"/>
    <mergeCell ref="AD7:AD9"/>
    <mergeCell ref="AA7:AA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zoomScale="85" zoomScaleNormal="85" zoomScalePageLayoutView="85" workbookViewId="0">
      <selection sqref="A1:XFD1048576"/>
    </sheetView>
  </sheetViews>
  <sheetFormatPr defaultColWidth="8.85546875" defaultRowHeight="12.75"/>
  <cols>
    <col min="1" max="1" width="11.42578125" style="1000" customWidth="1"/>
    <col min="2" max="2" width="8.85546875" style="1000" customWidth="1"/>
    <col min="3" max="3" width="29.85546875" style="1000" customWidth="1"/>
    <col min="4" max="4" width="8.85546875" style="1000" customWidth="1"/>
    <col min="5" max="5" width="25.42578125" style="1000" customWidth="1"/>
    <col min="6" max="6" width="13.42578125" style="1000" customWidth="1"/>
    <col min="7" max="10" width="8.85546875" style="1000"/>
    <col min="11" max="11" width="9.5703125" style="1000" customWidth="1"/>
    <col min="12" max="12" width="8.85546875" style="1000"/>
    <col min="13" max="17" width="12.5703125" style="1000" customWidth="1"/>
    <col min="18" max="16384" width="8.85546875" style="1000"/>
  </cols>
  <sheetData>
    <row r="1" spans="1:18" ht="18" customHeight="1">
      <c r="A1" s="1038" t="s">
        <v>16</v>
      </c>
      <c r="E1" s="1159" t="s">
        <v>216</v>
      </c>
    </row>
    <row r="2" spans="1:18">
      <c r="A2" s="1038"/>
    </row>
    <row r="3" spans="1:18" ht="18" customHeight="1">
      <c r="A3" s="1038" t="s">
        <v>29</v>
      </c>
    </row>
    <row r="5" spans="1:18" ht="17.25" customHeight="1">
      <c r="A5" s="1160" t="s">
        <v>1</v>
      </c>
      <c r="B5" s="1161"/>
      <c r="C5" s="1161"/>
      <c r="D5" s="1162"/>
      <c r="E5" s="1161"/>
      <c r="F5" s="1161"/>
      <c r="G5" s="1161"/>
      <c r="H5" s="1161"/>
      <c r="I5" s="1161"/>
      <c r="J5" s="1161"/>
      <c r="K5" s="1161"/>
      <c r="L5" s="1161"/>
      <c r="M5" s="1161"/>
      <c r="N5" s="1161"/>
      <c r="O5" s="1161"/>
      <c r="P5" s="1161"/>
      <c r="Q5" s="1161"/>
      <c r="R5" s="1161"/>
    </row>
    <row r="6" spans="1:18" ht="18" customHeight="1" thickBot="1">
      <c r="A6" s="1161"/>
      <c r="B6" s="1161"/>
      <c r="C6" s="1161"/>
      <c r="D6" s="1162"/>
      <c r="E6" s="1161"/>
      <c r="F6" s="1161"/>
      <c r="G6" s="1161"/>
      <c r="H6" s="1161"/>
      <c r="I6" s="1161"/>
      <c r="J6" s="1161"/>
      <c r="K6" s="1161"/>
      <c r="L6" s="1161"/>
      <c r="R6" s="1161"/>
    </row>
    <row r="7" spans="1:18" s="1037" customFormat="1" ht="18" customHeight="1" thickBot="1">
      <c r="A7" s="1163"/>
      <c r="B7" s="1163"/>
      <c r="C7" s="1163"/>
      <c r="D7" s="1164"/>
      <c r="E7" s="2115" t="s">
        <v>2</v>
      </c>
      <c r="F7" s="2116"/>
      <c r="G7" s="2117"/>
      <c r="H7" s="1165"/>
      <c r="I7" s="2118" t="s">
        <v>3</v>
      </c>
      <c r="J7" s="2119"/>
      <c r="K7" s="2120"/>
      <c r="L7" s="1163"/>
      <c r="M7" s="2112" t="s">
        <v>410</v>
      </c>
      <c r="N7" s="2113"/>
      <c r="O7" s="2113"/>
      <c r="P7" s="2113"/>
      <c r="Q7" s="2114"/>
      <c r="R7" s="1164"/>
    </row>
    <row r="8" spans="1:18" ht="27.75" customHeight="1" thickBot="1">
      <c r="A8" s="1167"/>
      <c r="B8" s="1167"/>
      <c r="C8" s="1167"/>
      <c r="D8" s="1168"/>
      <c r="E8" s="2121" t="s">
        <v>4</v>
      </c>
      <c r="F8" s="2122"/>
      <c r="G8" s="2123"/>
      <c r="H8" s="1165"/>
      <c r="I8" s="1232" t="s">
        <v>4</v>
      </c>
      <c r="J8" s="1170"/>
      <c r="K8" s="1171" t="s">
        <v>5</v>
      </c>
      <c r="L8" s="1172"/>
      <c r="M8" s="2124" t="s">
        <v>2</v>
      </c>
      <c r="N8" s="2125"/>
      <c r="O8" s="2126"/>
      <c r="P8" s="1172"/>
      <c r="Q8" s="1458" t="s">
        <v>212</v>
      </c>
      <c r="R8" s="1173"/>
    </row>
    <row r="9" spans="1:18" ht="16.5" thickBot="1">
      <c r="A9" s="2100" t="s">
        <v>6</v>
      </c>
      <c r="B9" s="2101"/>
      <c r="C9" s="2102"/>
      <c r="D9" s="416"/>
      <c r="E9" s="1174" t="s">
        <v>7</v>
      </c>
      <c r="F9" s="1175" t="s">
        <v>19</v>
      </c>
      <c r="G9" s="1176" t="s">
        <v>20</v>
      </c>
      <c r="H9" s="1177"/>
      <c r="I9" s="1169" t="s">
        <v>20</v>
      </c>
      <c r="J9" s="1178"/>
      <c r="K9" s="1179" t="s">
        <v>20</v>
      </c>
      <c r="L9" s="1172"/>
      <c r="M9" s="1180" t="s">
        <v>7</v>
      </c>
      <c r="N9" s="1181" t="s">
        <v>19</v>
      </c>
      <c r="O9" s="1182" t="s">
        <v>20</v>
      </c>
      <c r="P9" s="1172"/>
      <c r="Q9" s="1179" t="s">
        <v>20</v>
      </c>
      <c r="R9" s="1173"/>
    </row>
    <row r="10" spans="1:18" ht="16.5" thickBot="1">
      <c r="A10" s="2103"/>
      <c r="B10" s="2104"/>
      <c r="C10" s="2105"/>
      <c r="D10" s="416"/>
      <c r="E10" s="1183" t="s">
        <v>157</v>
      </c>
      <c r="F10" s="1184" t="s">
        <v>157</v>
      </c>
      <c r="G10" s="1185" t="s">
        <v>157</v>
      </c>
      <c r="H10" s="1165"/>
      <c r="I10" s="1186"/>
      <c r="J10" s="1178"/>
      <c r="K10" s="1186"/>
      <c r="L10" s="1172"/>
      <c r="M10" s="1187" t="s">
        <v>157</v>
      </c>
      <c r="N10" s="1188" t="s">
        <v>157</v>
      </c>
      <c r="O10" s="1186" t="s">
        <v>157</v>
      </c>
      <c r="P10" s="1172"/>
      <c r="Q10" s="1186" t="s">
        <v>157</v>
      </c>
      <c r="R10" s="1173"/>
    </row>
    <row r="11" spans="1:18" ht="18" customHeight="1">
      <c r="A11" s="2092" t="s">
        <v>21</v>
      </c>
      <c r="B11" s="2088" t="s">
        <v>104</v>
      </c>
      <c r="C11" s="2089"/>
      <c r="D11" s="419"/>
      <c r="E11" s="2106">
        <v>0</v>
      </c>
      <c r="F11" s="2110">
        <v>0.34993341352313201</v>
      </c>
      <c r="G11" s="2109">
        <f>SUM(E11:F11)</f>
        <v>0.34993341352313201</v>
      </c>
      <c r="H11" s="1189"/>
      <c r="I11" s="1808">
        <v>0.750282044999384</v>
      </c>
      <c r="J11" s="1809"/>
      <c r="K11" s="1808">
        <v>7.2265999999999997E-4</v>
      </c>
      <c r="L11" s="1173"/>
      <c r="M11" s="1173"/>
      <c r="N11" s="1173"/>
      <c r="O11" s="1173"/>
      <c r="P11" s="1173"/>
      <c r="Q11" s="1173"/>
      <c r="R11" s="1173"/>
    </row>
    <row r="12" spans="1:18" ht="18" customHeight="1">
      <c r="A12" s="2093"/>
      <c r="B12" s="2107" t="s">
        <v>105</v>
      </c>
      <c r="C12" s="2108"/>
      <c r="D12" s="419"/>
      <c r="E12" s="2099"/>
      <c r="F12" s="2111"/>
      <c r="G12" s="2082"/>
      <c r="H12" s="1189"/>
      <c r="I12" s="1810">
        <v>3.7494364493580301</v>
      </c>
      <c r="J12" s="1809"/>
      <c r="K12" s="1810">
        <v>0</v>
      </c>
      <c r="L12" s="1173"/>
      <c r="M12" s="1173"/>
      <c r="N12" s="1173"/>
      <c r="O12" s="1173"/>
      <c r="P12" s="1173"/>
      <c r="Q12" s="1173"/>
      <c r="R12" s="1173"/>
    </row>
    <row r="13" spans="1:18" ht="18" customHeight="1">
      <c r="A13" s="2092" t="s">
        <v>848</v>
      </c>
      <c r="B13" s="2095" t="s">
        <v>222</v>
      </c>
      <c r="C13" s="2096"/>
      <c r="D13" s="419"/>
      <c r="E13" s="1811">
        <v>0.64932876832459596</v>
      </c>
      <c r="F13" s="1812">
        <v>0.18712151797780699</v>
      </c>
      <c r="G13" s="1813">
        <f>SUM(E13:F13)</f>
        <v>0.83645028630240292</v>
      </c>
      <c r="H13" s="1189"/>
      <c r="I13" s="1810">
        <v>1.09166607072265</v>
      </c>
      <c r="J13" s="1809"/>
      <c r="K13" s="1810">
        <v>0.7483930894199875</v>
      </c>
      <c r="L13" s="1173"/>
      <c r="M13" s="1173"/>
      <c r="N13" s="1173"/>
      <c r="O13" s="1173"/>
      <c r="P13" s="1173"/>
      <c r="Q13" s="1173"/>
      <c r="R13" s="1173"/>
    </row>
    <row r="14" spans="1:18" ht="18" customHeight="1">
      <c r="A14" s="2093"/>
      <c r="B14" s="2083" t="s">
        <v>22</v>
      </c>
      <c r="C14" s="2084"/>
      <c r="D14" s="419"/>
      <c r="E14" s="2097">
        <v>0.16515536945699799</v>
      </c>
      <c r="F14" s="1453">
        <v>0.192573506393558</v>
      </c>
      <c r="G14" s="2080">
        <f>SUM(E14:F14)</f>
        <v>0.35772887585055602</v>
      </c>
      <c r="H14" s="1189"/>
      <c r="I14" s="1810">
        <v>2.6923878675880899</v>
      </c>
      <c r="J14" s="1809"/>
      <c r="K14" s="1810">
        <v>0</v>
      </c>
      <c r="L14" s="1173"/>
      <c r="M14" s="1173"/>
      <c r="N14" s="1173"/>
      <c r="O14" s="1173"/>
      <c r="P14" s="1173"/>
      <c r="Q14" s="1173"/>
      <c r="R14" s="1173"/>
    </row>
    <row r="15" spans="1:18" ht="18" customHeight="1">
      <c r="A15" s="2093"/>
      <c r="B15" s="2083" t="s">
        <v>23</v>
      </c>
      <c r="C15" s="2084"/>
      <c r="D15" s="419"/>
      <c r="E15" s="2098"/>
      <c r="F15" s="1454"/>
      <c r="G15" s="2081"/>
      <c r="H15" s="1189"/>
      <c r="I15" s="1810">
        <v>6.7963406163688802</v>
      </c>
      <c r="J15" s="1809"/>
      <c r="K15" s="1810">
        <v>0</v>
      </c>
      <c r="L15" s="1173"/>
      <c r="M15" s="1173"/>
      <c r="N15" s="1173"/>
      <c r="O15" s="1173"/>
      <c r="P15" s="1173"/>
      <c r="Q15" s="1173"/>
      <c r="R15" s="1173"/>
    </row>
    <row r="16" spans="1:18" ht="18" customHeight="1" thickBot="1">
      <c r="A16" s="2094"/>
      <c r="B16" s="2085" t="s">
        <v>224</v>
      </c>
      <c r="C16" s="2086"/>
      <c r="D16" s="419"/>
      <c r="E16" s="2099"/>
      <c r="F16" s="1455"/>
      <c r="G16" s="2082"/>
      <c r="H16" s="1189"/>
      <c r="I16" s="1814">
        <v>0.192313844854368</v>
      </c>
      <c r="J16" s="1809"/>
      <c r="K16" s="1814">
        <v>0</v>
      </c>
      <c r="L16" s="1173"/>
      <c r="M16" s="1173"/>
      <c r="N16" s="1173"/>
      <c r="O16" s="1173"/>
      <c r="P16" s="1173"/>
      <c r="Q16" s="1173"/>
      <c r="R16" s="1173"/>
    </row>
    <row r="17" spans="1:18" ht="18" customHeight="1">
      <c r="A17" s="2071" t="s">
        <v>24</v>
      </c>
      <c r="B17" s="2088" t="s">
        <v>225</v>
      </c>
      <c r="C17" s="2089"/>
      <c r="D17" s="420"/>
      <c r="E17" s="1811">
        <v>0.14861498138415599</v>
      </c>
      <c r="F17" s="1812">
        <v>0.24474836257274399</v>
      </c>
      <c r="G17" s="1813">
        <f t="shared" ref="G17:G27" si="0">SUM(E17:F17)</f>
        <v>0.39336334395689998</v>
      </c>
      <c r="H17" s="1189"/>
      <c r="I17" s="1808">
        <v>1.47726639751246</v>
      </c>
      <c r="J17" s="1809"/>
      <c r="K17" s="1815">
        <v>0.43748758058001225</v>
      </c>
      <c r="L17" s="1173"/>
      <c r="M17" s="1173"/>
      <c r="N17" s="1173"/>
      <c r="O17" s="1173"/>
      <c r="P17" s="1173"/>
      <c r="Q17" s="1173"/>
      <c r="R17" s="1173"/>
    </row>
    <row r="18" spans="1:18" ht="18" customHeight="1">
      <c r="A18" s="2072"/>
      <c r="B18" s="2090" t="s">
        <v>119</v>
      </c>
      <c r="C18" s="2091"/>
      <c r="D18" s="1193"/>
      <c r="E18" s="1816">
        <v>0</v>
      </c>
      <c r="F18" s="1817">
        <v>4.2900229690369149E-2</v>
      </c>
      <c r="G18" s="1818">
        <f t="shared" si="0"/>
        <v>4.2900229690369149E-2</v>
      </c>
      <c r="H18" s="1189"/>
      <c r="I18" s="1810">
        <v>3.8019044614310622</v>
      </c>
      <c r="J18" s="1809"/>
      <c r="K18" s="1810">
        <v>0</v>
      </c>
      <c r="L18" s="1173"/>
      <c r="M18" s="1173"/>
      <c r="N18" s="1173"/>
      <c r="O18" s="1173"/>
      <c r="P18" s="1173"/>
      <c r="Q18" s="1173"/>
      <c r="R18" s="1173"/>
    </row>
    <row r="19" spans="1:18" ht="18" customHeight="1" thickBot="1">
      <c r="A19" s="2087"/>
      <c r="B19" s="2076" t="s">
        <v>615</v>
      </c>
      <c r="C19" s="2077"/>
      <c r="D19" s="420"/>
      <c r="E19" s="1819">
        <v>0.45718946854354298</v>
      </c>
      <c r="F19" s="1820">
        <v>4.8268610279176496</v>
      </c>
      <c r="G19" s="1821">
        <f t="shared" si="0"/>
        <v>5.2840504964611927</v>
      </c>
      <c r="H19" s="1189"/>
      <c r="I19" s="1814">
        <v>0.58234466945385643</v>
      </c>
      <c r="J19" s="1809"/>
      <c r="K19" s="1822">
        <v>0</v>
      </c>
      <c r="L19" s="1173"/>
      <c r="M19" s="1173"/>
      <c r="N19" s="1173"/>
      <c r="O19" s="1173"/>
      <c r="P19" s="1173"/>
      <c r="Q19" s="1173"/>
      <c r="R19" s="1173"/>
    </row>
    <row r="20" spans="1:18" ht="18" customHeight="1">
      <c r="A20" s="2070" t="s">
        <v>245</v>
      </c>
      <c r="B20" s="2074" t="s">
        <v>225</v>
      </c>
      <c r="C20" s="2075"/>
      <c r="D20" s="420"/>
      <c r="E20" s="1823">
        <v>0</v>
      </c>
      <c r="F20" s="1824">
        <v>0</v>
      </c>
      <c r="G20" s="1825">
        <f t="shared" si="0"/>
        <v>0</v>
      </c>
      <c r="H20" s="1189"/>
      <c r="I20" s="1808">
        <v>0.10286285655124124</v>
      </c>
      <c r="J20" s="1809"/>
      <c r="K20" s="1808">
        <v>2.6301700000000003E-3</v>
      </c>
      <c r="L20" s="1173"/>
      <c r="M20" s="1173"/>
      <c r="N20" s="1173"/>
      <c r="O20" s="1173"/>
      <c r="P20" s="1173"/>
      <c r="Q20" s="1173"/>
      <c r="R20" s="1173"/>
    </row>
    <row r="21" spans="1:18" ht="18" customHeight="1">
      <c r="A21" s="2071"/>
      <c r="B21" s="1456" t="s">
        <v>616</v>
      </c>
      <c r="C21" s="418"/>
      <c r="D21" s="419"/>
      <c r="E21" s="1811">
        <v>0</v>
      </c>
      <c r="F21" s="1812">
        <v>0</v>
      </c>
      <c r="G21" s="1813">
        <f t="shared" si="0"/>
        <v>0</v>
      </c>
      <c r="H21" s="1189"/>
      <c r="I21" s="1815">
        <v>1.0527538188574297</v>
      </c>
      <c r="J21" s="1809"/>
      <c r="K21" s="1815">
        <v>0</v>
      </c>
      <c r="L21" s="1173"/>
      <c r="M21" s="1173"/>
      <c r="N21" s="1173"/>
      <c r="O21" s="1173"/>
      <c r="P21" s="1173"/>
      <c r="Q21" s="1173"/>
      <c r="R21" s="1173"/>
    </row>
    <row r="22" spans="1:18" ht="18" customHeight="1">
      <c r="A22" s="2072"/>
      <c r="B22" s="1456" t="s">
        <v>617</v>
      </c>
      <c r="C22" s="418"/>
      <c r="D22" s="419"/>
      <c r="E22" s="1816">
        <v>0</v>
      </c>
      <c r="F22" s="1817">
        <v>0</v>
      </c>
      <c r="G22" s="1818">
        <f t="shared" si="0"/>
        <v>0</v>
      </c>
      <c r="H22" s="1189"/>
      <c r="I22" s="1810">
        <v>0.66604675170182615</v>
      </c>
      <c r="J22" s="1809"/>
      <c r="K22" s="1810">
        <v>0</v>
      </c>
      <c r="L22" s="1173"/>
      <c r="M22" s="1173"/>
      <c r="N22" s="1173"/>
      <c r="O22" s="1173"/>
      <c r="P22" s="1173"/>
      <c r="Q22" s="1173"/>
      <c r="R22" s="1173"/>
    </row>
    <row r="23" spans="1:18" ht="18" customHeight="1" thickBot="1">
      <c r="A23" s="2073"/>
      <c r="B23" s="2076" t="s">
        <v>615</v>
      </c>
      <c r="C23" s="2077"/>
      <c r="D23" s="419"/>
      <c r="E23" s="1826">
        <v>2.4184737508563749E-4</v>
      </c>
      <c r="F23" s="1827">
        <v>0.2212328773344254</v>
      </c>
      <c r="G23" s="1828">
        <f t="shared" si="0"/>
        <v>0.22147472470951104</v>
      </c>
      <c r="H23" s="1189"/>
      <c r="I23" s="1814">
        <v>0</v>
      </c>
      <c r="J23" s="1809"/>
      <c r="K23" s="1814">
        <v>0</v>
      </c>
      <c r="L23" s="1173"/>
      <c r="M23" s="1173"/>
      <c r="N23" s="1173"/>
      <c r="O23" s="1173"/>
      <c r="P23" s="1173"/>
      <c r="Q23" s="1173"/>
      <c r="R23" s="1173"/>
    </row>
    <row r="24" spans="1:18" ht="18" customHeight="1">
      <c r="A24" s="2078" t="s">
        <v>243</v>
      </c>
      <c r="B24" s="2074" t="s">
        <v>225</v>
      </c>
      <c r="C24" s="2075"/>
      <c r="D24" s="420"/>
      <c r="E24" s="1823">
        <v>0.24942627845677406</v>
      </c>
      <c r="F24" s="1829">
        <v>3.2279712653340712E-3</v>
      </c>
      <c r="G24" s="1813">
        <f t="shared" si="0"/>
        <v>0.25265424972210815</v>
      </c>
      <c r="H24" s="1189"/>
      <c r="I24" s="1815">
        <v>4.6926150673739543E-3</v>
      </c>
      <c r="J24" s="1809"/>
      <c r="K24" s="1815">
        <v>0</v>
      </c>
      <c r="L24" s="1173"/>
      <c r="M24" s="1196"/>
      <c r="N24" s="1196"/>
      <c r="O24" s="1197">
        <v>0</v>
      </c>
      <c r="P24" s="1173"/>
      <c r="Q24" s="1190"/>
      <c r="R24" s="1173"/>
    </row>
    <row r="25" spans="1:18" ht="18" customHeight="1">
      <c r="A25" s="2079"/>
      <c r="B25" s="1456" t="s">
        <v>616</v>
      </c>
      <c r="C25" s="1457"/>
      <c r="D25" s="419"/>
      <c r="E25" s="1816">
        <v>0.33499169835022374</v>
      </c>
      <c r="F25" s="1830">
        <v>0</v>
      </c>
      <c r="G25" s="1818">
        <f t="shared" si="0"/>
        <v>0.33499169835022374</v>
      </c>
      <c r="H25" s="1189"/>
      <c r="I25" s="1810">
        <v>0.68781357599986381</v>
      </c>
      <c r="J25" s="1809"/>
      <c r="K25" s="1810">
        <v>0</v>
      </c>
      <c r="L25" s="1173"/>
      <c r="M25" s="1194"/>
      <c r="N25" s="1194"/>
      <c r="O25" s="1195">
        <v>0</v>
      </c>
      <c r="P25" s="1173"/>
      <c r="Q25" s="1191"/>
      <c r="R25" s="1173"/>
    </row>
    <row r="26" spans="1:18" ht="18" customHeight="1">
      <c r="A26" s="2079"/>
      <c r="B26" s="1456" t="s">
        <v>617</v>
      </c>
      <c r="C26" s="1457"/>
      <c r="D26" s="419"/>
      <c r="E26" s="1816">
        <v>0</v>
      </c>
      <c r="F26" s="1830">
        <v>0</v>
      </c>
      <c r="G26" s="1818">
        <f t="shared" si="0"/>
        <v>0</v>
      </c>
      <c r="H26" s="1189"/>
      <c r="I26" s="1810">
        <v>0</v>
      </c>
      <c r="J26" s="1809"/>
      <c r="K26" s="1810">
        <v>0</v>
      </c>
      <c r="L26" s="1173"/>
      <c r="M26" s="1194"/>
      <c r="N26" s="1194"/>
      <c r="O26" s="1195">
        <v>0</v>
      </c>
      <c r="P26" s="1173"/>
      <c r="Q26" s="1191"/>
      <c r="R26" s="1173"/>
    </row>
    <row r="27" spans="1:18" ht="18" customHeight="1" thickBot="1">
      <c r="A27" s="2079"/>
      <c r="B27" s="2076" t="s">
        <v>615</v>
      </c>
      <c r="C27" s="2077"/>
      <c r="D27" s="419"/>
      <c r="E27" s="1819">
        <v>9.3964691992447169E-2</v>
      </c>
      <c r="F27" s="1831">
        <v>1.8011344994679559</v>
      </c>
      <c r="G27" s="1821">
        <f t="shared" si="0"/>
        <v>1.8950991914604032</v>
      </c>
      <c r="H27" s="1189"/>
      <c r="I27" s="1822">
        <v>0.20076310582399742</v>
      </c>
      <c r="J27" s="1809"/>
      <c r="K27" s="1822">
        <v>0</v>
      </c>
      <c r="L27" s="1173"/>
      <c r="M27" s="1198"/>
      <c r="N27" s="1198"/>
      <c r="O27" s="1199">
        <v>0</v>
      </c>
      <c r="P27" s="1173"/>
      <c r="Q27" s="1192"/>
      <c r="R27" s="1173"/>
    </row>
    <row r="28" spans="1:18" ht="18" customHeight="1" thickBot="1">
      <c r="A28" s="2042" t="s">
        <v>618</v>
      </c>
      <c r="B28" s="2043"/>
      <c r="C28" s="2044"/>
      <c r="D28" s="419"/>
      <c r="E28" s="1832">
        <v>0</v>
      </c>
      <c r="F28" s="1833">
        <v>0</v>
      </c>
      <c r="G28" s="1834">
        <f>SUM(E28:F28)</f>
        <v>0</v>
      </c>
      <c r="H28" s="1189"/>
      <c r="I28" s="1835">
        <v>0</v>
      </c>
      <c r="J28" s="1809"/>
      <c r="K28" s="1835">
        <v>0</v>
      </c>
      <c r="L28" s="1173"/>
      <c r="M28" s="1200"/>
      <c r="N28" s="1200"/>
      <c r="O28" s="1201">
        <v>0</v>
      </c>
      <c r="P28" s="1173"/>
      <c r="Q28" s="1202"/>
      <c r="R28" s="1173"/>
    </row>
    <row r="29" spans="1:18" ht="18" customHeight="1" thickBot="1">
      <c r="A29" s="2042" t="s">
        <v>734</v>
      </c>
      <c r="B29" s="2043"/>
      <c r="C29" s="2044"/>
      <c r="D29" s="421"/>
      <c r="E29" s="1836"/>
      <c r="F29" s="1837"/>
      <c r="G29" s="1838"/>
      <c r="H29" s="1206"/>
      <c r="I29" s="1839">
        <v>1.5263867188186959</v>
      </c>
      <c r="J29" s="1809"/>
      <c r="K29" s="1839">
        <v>0</v>
      </c>
      <c r="L29" s="1207"/>
      <c r="M29" s="1208"/>
      <c r="N29" s="1209"/>
      <c r="O29" s="1205"/>
      <c r="P29" s="1207"/>
      <c r="Q29" s="1210"/>
      <c r="R29" s="1207"/>
    </row>
    <row r="30" spans="1:18" ht="18" customHeight="1" thickBot="1">
      <c r="A30" s="2042" t="s">
        <v>25</v>
      </c>
      <c r="B30" s="2043"/>
      <c r="C30" s="2044"/>
      <c r="D30" s="421"/>
      <c r="E30" s="1836"/>
      <c r="F30" s="1840">
        <v>0</v>
      </c>
      <c r="G30" s="1821">
        <f>SUM(E30:F30)</f>
        <v>0</v>
      </c>
      <c r="H30" s="1206"/>
      <c r="I30" s="1841"/>
      <c r="J30" s="1809"/>
      <c r="K30" s="1842"/>
      <c r="L30" s="1207"/>
      <c r="M30" s="1203"/>
      <c r="N30" s="1204"/>
      <c r="O30" s="1205"/>
      <c r="P30" s="1207"/>
      <c r="Q30" s="1211"/>
      <c r="R30" s="1207"/>
    </row>
    <row r="31" spans="1:18" ht="18" customHeight="1" thickBot="1">
      <c r="A31" s="2042" t="s">
        <v>26</v>
      </c>
      <c r="B31" s="2043"/>
      <c r="C31" s="2044"/>
      <c r="D31" s="421"/>
      <c r="E31" s="1836"/>
      <c r="F31" s="1840">
        <v>0</v>
      </c>
      <c r="G31" s="1834">
        <f>SUM(E31:F31)</f>
        <v>0</v>
      </c>
      <c r="H31" s="1206"/>
      <c r="I31" s="1841"/>
      <c r="J31" s="1809"/>
      <c r="K31" s="1842"/>
      <c r="L31" s="1207"/>
      <c r="M31" s="1203"/>
      <c r="N31" s="1204"/>
      <c r="O31" s="1205"/>
      <c r="P31" s="1207"/>
      <c r="Q31" s="1211"/>
      <c r="R31" s="1207"/>
    </row>
    <row r="32" spans="1:18" ht="18" customHeight="1" thickBot="1">
      <c r="A32" s="2042" t="s">
        <v>27</v>
      </c>
      <c r="B32" s="2043"/>
      <c r="C32" s="2044"/>
      <c r="D32" s="421"/>
      <c r="E32" s="1836"/>
      <c r="F32" s="1837"/>
      <c r="G32" s="1838"/>
      <c r="H32" s="1206"/>
      <c r="I32" s="1839">
        <v>-2.2974669300000001</v>
      </c>
      <c r="J32" s="1809"/>
      <c r="K32" s="1842"/>
      <c r="L32" s="1207"/>
      <c r="M32" s="1203"/>
      <c r="N32" s="1204"/>
      <c r="O32" s="1205"/>
      <c r="P32" s="1207"/>
      <c r="Q32" s="1211"/>
      <c r="R32" s="1207"/>
    </row>
    <row r="33" spans="1:18" ht="18" customHeight="1" thickBot="1">
      <c r="A33" s="2042" t="s">
        <v>28</v>
      </c>
      <c r="B33" s="2043"/>
      <c r="C33" s="2044"/>
      <c r="D33" s="421"/>
      <c r="E33" s="1836"/>
      <c r="F33" s="1843">
        <v>1.7147380000000001</v>
      </c>
      <c r="G33" s="1834">
        <f>SUM(E33:F33)</f>
        <v>1.7147380000000001</v>
      </c>
      <c r="H33" s="1206"/>
      <c r="I33" s="1842"/>
      <c r="J33" s="1809"/>
      <c r="K33" s="1842"/>
      <c r="L33" s="1207"/>
      <c r="M33" s="1203"/>
      <c r="N33" s="1204"/>
      <c r="O33" s="1205"/>
      <c r="P33" s="1207"/>
      <c r="Q33" s="1211"/>
      <c r="R33" s="1207"/>
    </row>
    <row r="34" spans="1:18" ht="18" customHeight="1" thickBot="1">
      <c r="A34" s="2045" t="s">
        <v>246</v>
      </c>
      <c r="B34" s="2046"/>
      <c r="C34" s="2047"/>
      <c r="D34" s="1212"/>
      <c r="E34" s="1844">
        <f>SUM(E11:E33)</f>
        <v>2.0989131038838234</v>
      </c>
      <c r="F34" s="1844">
        <f>SUM(F11:F33)</f>
        <v>9.5844714061429741</v>
      </c>
      <c r="G34" s="1844">
        <f>SUM(G11:G33)</f>
        <v>11.6833845100268</v>
      </c>
      <c r="H34" s="1214"/>
      <c r="I34" s="1844">
        <f>SUM(I11:I33)</f>
        <v>23.07779493510921</v>
      </c>
      <c r="J34" s="1845"/>
      <c r="K34" s="1844">
        <f>SUM(K11:K33)</f>
        <v>1.1892334999999996</v>
      </c>
      <c r="L34" s="1215"/>
      <c r="M34" s="1213">
        <v>0</v>
      </c>
      <c r="N34" s="1213">
        <v>0</v>
      </c>
      <c r="O34" s="1213">
        <v>0</v>
      </c>
      <c r="P34" s="1215"/>
      <c r="Q34" s="1213">
        <v>0</v>
      </c>
      <c r="R34" s="1215"/>
    </row>
    <row r="35" spans="1:18" ht="15" thickBot="1">
      <c r="A35" s="1173"/>
      <c r="B35" s="1173"/>
      <c r="C35" s="1173"/>
      <c r="D35" s="1216"/>
      <c r="E35" s="1173"/>
      <c r="F35" s="1173"/>
      <c r="G35" s="1217"/>
      <c r="H35" s="1173"/>
      <c r="I35" s="1217"/>
      <c r="J35" s="1172"/>
      <c r="K35" s="1217"/>
      <c r="L35" s="1173"/>
      <c r="M35" s="1173"/>
      <c r="N35" s="1173"/>
      <c r="O35" s="1173"/>
      <c r="P35" s="1173"/>
      <c r="Q35" s="1173"/>
      <c r="R35" s="1173"/>
    </row>
    <row r="36" spans="1:18" ht="30.75" thickBot="1">
      <c r="A36" s="1218"/>
      <c r="B36" s="1218"/>
      <c r="C36" s="1219"/>
      <c r="D36" s="468"/>
      <c r="E36" s="1220" t="s">
        <v>747</v>
      </c>
      <c r="F36" s="1221"/>
      <c r="G36" s="1221"/>
      <c r="H36" s="1221"/>
      <c r="I36" s="1233" t="s">
        <v>4</v>
      </c>
      <c r="J36" s="1212"/>
      <c r="K36" s="1223" t="s">
        <v>5</v>
      </c>
      <c r="L36" s="1224"/>
      <c r="M36" s="1215"/>
      <c r="N36" s="1215"/>
      <c r="O36" s="1215"/>
      <c r="P36" s="1215"/>
      <c r="Q36" s="1215"/>
      <c r="R36" s="1215"/>
    </row>
    <row r="37" spans="1:18" ht="17.25" customHeight="1" thickBot="1">
      <c r="A37" s="1215"/>
      <c r="B37" s="1224"/>
      <c r="C37" s="1224"/>
      <c r="D37" s="1224"/>
      <c r="E37" s="2058"/>
      <c r="F37" s="2059"/>
      <c r="G37" s="2059"/>
      <c r="H37" s="2060"/>
      <c r="I37" s="1452" t="s">
        <v>157</v>
      </c>
      <c r="J37" s="1212"/>
      <c r="K37" s="1222" t="s">
        <v>157</v>
      </c>
      <c r="L37" s="1215"/>
      <c r="M37" s="1215"/>
      <c r="N37" s="1215"/>
      <c r="O37" s="1215"/>
      <c r="P37" s="1215"/>
      <c r="Q37" s="1215"/>
      <c r="R37" s="1215"/>
    </row>
    <row r="38" spans="1:18" ht="17.25" customHeight="1">
      <c r="A38" s="1173"/>
      <c r="B38" s="1216"/>
      <c r="C38" s="1216"/>
      <c r="D38" s="1216"/>
      <c r="E38" s="2061" t="s">
        <v>748</v>
      </c>
      <c r="F38" s="2062"/>
      <c r="G38" s="2062"/>
      <c r="H38" s="2063"/>
      <c r="I38" s="1846">
        <v>6.2858851681558727</v>
      </c>
      <c r="J38" s="1809"/>
      <c r="K38" s="1815">
        <v>1.1892334999999996</v>
      </c>
      <c r="L38" s="1173"/>
      <c r="M38" s="1173"/>
      <c r="N38" s="1173"/>
      <c r="O38" s="1173"/>
      <c r="P38" s="1173"/>
      <c r="Q38" s="1173"/>
      <c r="R38" s="1173"/>
    </row>
    <row r="39" spans="1:18" ht="17.25" customHeight="1" thickBot="1">
      <c r="A39" s="1173"/>
      <c r="B39" s="1216"/>
      <c r="C39" s="1216"/>
      <c r="D39" s="1216"/>
      <c r="E39" s="2064" t="s">
        <v>749</v>
      </c>
      <c r="F39" s="2065"/>
      <c r="G39" s="2065"/>
      <c r="H39" s="2066"/>
      <c r="I39" s="1847">
        <v>16.791909766953342</v>
      </c>
      <c r="J39" s="1809"/>
      <c r="K39" s="1815">
        <v>0</v>
      </c>
      <c r="L39" s="1173"/>
      <c r="M39" s="1173"/>
      <c r="N39" s="1173"/>
      <c r="O39" s="1173"/>
      <c r="P39" s="1173"/>
      <c r="Q39" s="1173"/>
      <c r="R39" s="1173"/>
    </row>
    <row r="40" spans="1:18" ht="17.25" customHeight="1" thickBot="1">
      <c r="A40" s="1173"/>
      <c r="B40" s="1212"/>
      <c r="C40" s="1212"/>
      <c r="D40" s="1212"/>
      <c r="E40" s="2067" t="s">
        <v>750</v>
      </c>
      <c r="F40" s="2068"/>
      <c r="G40" s="2068"/>
      <c r="H40" s="2069"/>
      <c r="I40" s="1834">
        <v>23.077794935109214</v>
      </c>
      <c r="J40" s="1809"/>
      <c r="K40" s="1834">
        <v>1.1892334999999996</v>
      </c>
      <c r="L40" s="1173"/>
      <c r="M40" s="1173"/>
      <c r="N40" s="1173"/>
      <c r="O40" s="1173"/>
      <c r="P40" s="1173"/>
      <c r="Q40" s="1173"/>
      <c r="R40" s="1173"/>
    </row>
    <row r="41" spans="1:18" ht="15" thickBot="1">
      <c r="A41" s="1173"/>
      <c r="B41" s="1173"/>
      <c r="C41" s="1173"/>
      <c r="D41" s="1216"/>
      <c r="E41" s="1173"/>
      <c r="F41" s="1173"/>
      <c r="G41" s="1173"/>
      <c r="H41" s="1173"/>
      <c r="I41" s="1217"/>
      <c r="J41" s="1225"/>
      <c r="K41" s="1217"/>
      <c r="L41" s="1173"/>
      <c r="M41" s="1173"/>
      <c r="N41" s="1173"/>
      <c r="O41" s="1173"/>
      <c r="P41" s="1173"/>
      <c r="Q41" s="1173"/>
      <c r="R41" s="1173"/>
    </row>
    <row r="42" spans="1:18" ht="20.25">
      <c r="A42" s="1172"/>
      <c r="B42" s="1226"/>
      <c r="C42" s="2050" t="s">
        <v>214</v>
      </c>
      <c r="D42" s="2051"/>
      <c r="E42" s="2051"/>
      <c r="F42" s="2052"/>
      <c r="G42" s="2056" t="s">
        <v>157</v>
      </c>
      <c r="H42" s="1168"/>
      <c r="I42" s="1172"/>
      <c r="J42" s="1172"/>
      <c r="K42" s="1172"/>
      <c r="L42" s="1172"/>
      <c r="M42" s="2050" t="s">
        <v>214</v>
      </c>
      <c r="N42" s="2051"/>
      <c r="O42" s="2056" t="s">
        <v>157</v>
      </c>
      <c r="P42" s="1172"/>
      <c r="Q42" s="1172"/>
      <c r="R42" s="1172"/>
    </row>
    <row r="43" spans="1:18" ht="21" thickBot="1">
      <c r="A43" s="1172"/>
      <c r="B43" s="1226"/>
      <c r="C43" s="2053"/>
      <c r="D43" s="2054"/>
      <c r="E43" s="2054"/>
      <c r="F43" s="2055"/>
      <c r="G43" s="2057"/>
      <c r="H43" s="1168"/>
      <c r="I43" s="1172"/>
      <c r="J43" s="1172"/>
      <c r="K43" s="1172"/>
      <c r="L43" s="1172"/>
      <c r="M43" s="2053"/>
      <c r="N43" s="2054"/>
      <c r="O43" s="2057"/>
      <c r="P43" s="1172"/>
      <c r="Q43" s="1172"/>
      <c r="R43" s="1172"/>
    </row>
    <row r="44" spans="1:18" ht="18" customHeight="1" thickBot="1">
      <c r="A44" s="1172"/>
      <c r="B44" s="1227"/>
      <c r="C44" s="2036" t="s">
        <v>240</v>
      </c>
      <c r="D44" s="2037"/>
      <c r="E44" s="2037"/>
      <c r="F44" s="2038"/>
      <c r="G44" s="1846">
        <v>3.1008321843072717</v>
      </c>
      <c r="H44" s="1168"/>
      <c r="I44" s="1172"/>
      <c r="J44" s="1172"/>
      <c r="K44" s="1172"/>
      <c r="L44" s="1172"/>
      <c r="M44" s="2048" t="s">
        <v>243</v>
      </c>
      <c r="N44" s="2049"/>
      <c r="O44" s="1200"/>
      <c r="P44" s="1172"/>
      <c r="Q44" s="1172"/>
      <c r="R44" s="1172"/>
    </row>
    <row r="45" spans="1:18" ht="18" customHeight="1" thickBot="1">
      <c r="A45" s="1172"/>
      <c r="B45" s="1227"/>
      <c r="C45" s="2036" t="s">
        <v>239</v>
      </c>
      <c r="D45" s="2037"/>
      <c r="E45" s="2037"/>
      <c r="F45" s="2038"/>
      <c r="G45" s="1846">
        <v>5.2820475418532782</v>
      </c>
      <c r="H45" s="1168"/>
      <c r="I45" s="1172"/>
      <c r="J45" s="1172"/>
      <c r="K45" s="1172"/>
      <c r="L45" s="1172"/>
      <c r="M45" s="1172"/>
      <c r="N45" s="1172"/>
      <c r="O45" s="1172"/>
      <c r="P45" s="1172"/>
      <c r="Q45" s="1172"/>
      <c r="R45" s="1172"/>
    </row>
    <row r="46" spans="1:18" ht="18" customHeight="1" thickBot="1">
      <c r="A46" s="1172"/>
      <c r="B46" s="1227"/>
      <c r="C46" s="2036" t="s">
        <v>245</v>
      </c>
      <c r="D46" s="2037"/>
      <c r="E46" s="2037"/>
      <c r="F46" s="2038"/>
      <c r="G46" s="1846">
        <v>0.31448978018040508</v>
      </c>
      <c r="H46" s="1168"/>
      <c r="I46" s="1172"/>
      <c r="J46" s="1172"/>
      <c r="K46" s="1172"/>
      <c r="L46" s="1172"/>
      <c r="M46" s="1172"/>
      <c r="N46" s="1172"/>
      <c r="O46" s="1172"/>
      <c r="P46" s="1172"/>
      <c r="Q46" s="1172"/>
      <c r="R46" s="1172"/>
    </row>
    <row r="47" spans="1:18" ht="18" customHeight="1" thickBot="1">
      <c r="A47" s="1172"/>
      <c r="B47" s="1227"/>
      <c r="C47" s="2036" t="s">
        <v>243</v>
      </c>
      <c r="D47" s="2037"/>
      <c r="E47" s="2037"/>
      <c r="F47" s="2038"/>
      <c r="G47" s="1846">
        <v>0.22677157365904441</v>
      </c>
      <c r="H47" s="1168"/>
      <c r="I47" s="1172"/>
      <c r="J47" s="1172"/>
      <c r="K47" s="1172"/>
      <c r="L47" s="1172"/>
      <c r="M47" s="1172"/>
      <c r="N47" s="1172"/>
      <c r="O47" s="1172"/>
      <c r="P47" s="1172"/>
      <c r="Q47" s="1172"/>
      <c r="R47" s="1172"/>
    </row>
    <row r="48" spans="1:18" ht="18" customHeight="1" thickBot="1">
      <c r="A48" s="1172"/>
      <c r="B48" s="1228"/>
      <c r="C48" s="2039" t="s">
        <v>39</v>
      </c>
      <c r="D48" s="2040"/>
      <c r="E48" s="2040"/>
      <c r="F48" s="2041"/>
      <c r="G48" s="1848">
        <v>8.9241410800000001</v>
      </c>
      <c r="H48" s="1168"/>
      <c r="I48" s="1172"/>
      <c r="J48" s="1172"/>
      <c r="K48" s="1172"/>
      <c r="L48" s="1172"/>
      <c r="M48" s="1172"/>
      <c r="N48" s="1172"/>
      <c r="O48" s="1172"/>
      <c r="P48" s="1172"/>
      <c r="Q48" s="1172"/>
      <c r="R48" s="1172"/>
    </row>
    <row r="49" spans="1:18" ht="15">
      <c r="A49" s="462"/>
      <c r="B49" s="462"/>
      <c r="C49" s="462"/>
      <c r="D49" s="462"/>
      <c r="E49" s="462"/>
      <c r="F49" s="462"/>
      <c r="G49" s="1217"/>
      <c r="H49" s="1229"/>
      <c r="I49" s="1230"/>
      <c r="J49" s="1230"/>
      <c r="K49" s="1230"/>
      <c r="L49" s="1231"/>
      <c r="M49" s="1173"/>
      <c r="N49" s="1173"/>
      <c r="O49" s="1173"/>
      <c r="P49" s="1173"/>
      <c r="Q49" s="1173"/>
      <c r="R49" s="1173"/>
    </row>
    <row r="50" spans="1:18" ht="13.5" thickBot="1"/>
    <row r="51" spans="1:18" ht="14.25">
      <c r="E51" s="2036"/>
      <c r="F51" s="2037"/>
      <c r="G51" s="2037"/>
      <c r="H51" s="2038"/>
    </row>
  </sheetData>
  <mergeCells count="51">
    <mergeCell ref="G11:G12"/>
    <mergeCell ref="F11:F12"/>
    <mergeCell ref="M7:Q7"/>
    <mergeCell ref="E7:G7"/>
    <mergeCell ref="I7:K7"/>
    <mergeCell ref="E8:G8"/>
    <mergeCell ref="M8:O8"/>
    <mergeCell ref="A9:C10"/>
    <mergeCell ref="A11:A12"/>
    <mergeCell ref="B11:C11"/>
    <mergeCell ref="E11:E12"/>
    <mergeCell ref="B12:C12"/>
    <mergeCell ref="G14:G16"/>
    <mergeCell ref="B15:C15"/>
    <mergeCell ref="B16:C16"/>
    <mergeCell ref="A17:A19"/>
    <mergeCell ref="B17:C17"/>
    <mergeCell ref="B18:C18"/>
    <mergeCell ref="B19:C19"/>
    <mergeCell ref="A13:A16"/>
    <mergeCell ref="B13:C13"/>
    <mergeCell ref="B14:C14"/>
    <mergeCell ref="E14:E16"/>
    <mergeCell ref="A20:A23"/>
    <mergeCell ref="B20:C20"/>
    <mergeCell ref="B23:C23"/>
    <mergeCell ref="A24:A27"/>
    <mergeCell ref="B24:C24"/>
    <mergeCell ref="B27:C27"/>
    <mergeCell ref="O42:O43"/>
    <mergeCell ref="G42:G43"/>
    <mergeCell ref="E37:H37"/>
    <mergeCell ref="E38:H38"/>
    <mergeCell ref="E39:H39"/>
    <mergeCell ref="E40:H40"/>
    <mergeCell ref="M42:N43"/>
    <mergeCell ref="M44:N44"/>
    <mergeCell ref="C42:F43"/>
    <mergeCell ref="C44:F44"/>
    <mergeCell ref="C45:F45"/>
    <mergeCell ref="C46:F46"/>
    <mergeCell ref="C47:F47"/>
    <mergeCell ref="C48:F48"/>
    <mergeCell ref="E51:H51"/>
    <mergeCell ref="A28:C28"/>
    <mergeCell ref="A34:C34"/>
    <mergeCell ref="A32:C32"/>
    <mergeCell ref="A33:C33"/>
    <mergeCell ref="A29:C29"/>
    <mergeCell ref="A30:C30"/>
    <mergeCell ref="A31:C31"/>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zoomScale="80"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000" customFormat="1">
      <c r="A1" s="1038" t="s">
        <v>16</v>
      </c>
      <c r="E1" s="1159" t="s">
        <v>216</v>
      </c>
    </row>
    <row r="2" spans="1:14">
      <c r="A2" s="1459"/>
    </row>
    <row r="3" spans="1:14">
      <c r="A3" s="1459" t="s">
        <v>29</v>
      </c>
    </row>
    <row r="5" spans="1:14" ht="20.25">
      <c r="A5" s="412" t="s">
        <v>194</v>
      </c>
      <c r="B5" s="413"/>
      <c r="C5" s="413"/>
      <c r="D5" s="414"/>
      <c r="E5" s="413"/>
      <c r="F5" s="413"/>
      <c r="G5" s="413"/>
      <c r="H5" s="413"/>
      <c r="I5" s="413"/>
      <c r="J5" s="413"/>
      <c r="K5" s="413"/>
      <c r="L5" s="413"/>
      <c r="M5" s="424"/>
      <c r="N5" s="424"/>
    </row>
    <row r="6" spans="1:14" ht="21" thickBot="1">
      <c r="A6" s="412"/>
      <c r="B6" s="413"/>
      <c r="C6" s="413"/>
      <c r="D6" s="414"/>
      <c r="E6" s="413"/>
      <c r="F6" s="413"/>
      <c r="G6" s="413"/>
      <c r="H6" s="413"/>
      <c r="I6" s="413"/>
      <c r="J6" s="413"/>
      <c r="K6" s="413"/>
      <c r="L6" s="413"/>
      <c r="M6" s="424"/>
      <c r="N6" s="424"/>
    </row>
    <row r="7" spans="1:14" ht="18.75" thickBot="1">
      <c r="A7" s="415"/>
      <c r="B7" s="415"/>
      <c r="C7" s="2146" t="s">
        <v>753</v>
      </c>
      <c r="D7" s="2147"/>
      <c r="E7" s="425"/>
      <c r="F7" s="425"/>
      <c r="G7" s="425"/>
      <c r="H7" s="425"/>
      <c r="I7" s="425"/>
      <c r="J7" s="425"/>
      <c r="K7" s="425"/>
      <c r="L7" s="426"/>
      <c r="M7" s="415"/>
      <c r="N7" s="415"/>
    </row>
    <row r="8" spans="1:14" ht="108.75" thickBot="1">
      <c r="A8" s="415"/>
      <c r="B8" s="415"/>
      <c r="C8" s="2100" t="s">
        <v>83</v>
      </c>
      <c r="D8" s="2102"/>
      <c r="E8" s="427" t="s">
        <v>84</v>
      </c>
      <c r="F8" s="1235" t="s">
        <v>85</v>
      </c>
      <c r="G8" s="1235" t="s">
        <v>86</v>
      </c>
      <c r="H8" s="427" t="s">
        <v>159</v>
      </c>
      <c r="I8" s="1235" t="s">
        <v>160</v>
      </c>
      <c r="J8" s="1236" t="s">
        <v>15</v>
      </c>
      <c r="K8" s="1237" t="s">
        <v>786</v>
      </c>
      <c r="L8" s="428" t="s">
        <v>246</v>
      </c>
      <c r="M8" s="415"/>
      <c r="N8" s="415"/>
    </row>
    <row r="9" spans="1:14" ht="15.75" thickBot="1">
      <c r="A9" s="415"/>
      <c r="B9" s="415"/>
      <c r="C9" s="2103"/>
      <c r="D9" s="2105"/>
      <c r="E9" s="429" t="s">
        <v>157</v>
      </c>
      <c r="F9" s="430" t="s">
        <v>157</v>
      </c>
      <c r="G9" s="430" t="s">
        <v>157</v>
      </c>
      <c r="H9" s="429" t="s">
        <v>157</v>
      </c>
      <c r="I9" s="430" t="s">
        <v>157</v>
      </c>
      <c r="J9" s="430" t="s">
        <v>157</v>
      </c>
      <c r="K9" s="431" t="s">
        <v>157</v>
      </c>
      <c r="L9" s="432" t="s">
        <v>157</v>
      </c>
      <c r="M9" s="415"/>
      <c r="N9" s="415"/>
    </row>
    <row r="10" spans="1:14" ht="15">
      <c r="A10" s="415"/>
      <c r="B10" s="415"/>
      <c r="C10" s="2156" t="s">
        <v>670</v>
      </c>
      <c r="D10" s="2157"/>
      <c r="E10" s="433"/>
      <c r="F10" s="434"/>
      <c r="G10" s="434"/>
      <c r="H10" s="433"/>
      <c r="I10" s="434"/>
      <c r="J10" s="435"/>
      <c r="K10" s="435"/>
      <c r="L10" s="436">
        <v>0</v>
      </c>
      <c r="M10" s="415"/>
      <c r="N10" s="415"/>
    </row>
    <row r="11" spans="1:14" ht="14.25">
      <c r="A11" s="415"/>
      <c r="B11" s="415"/>
      <c r="C11" s="2169" t="s">
        <v>671</v>
      </c>
      <c r="D11" s="2170"/>
      <c r="E11" s="1849">
        <v>30.64</v>
      </c>
      <c r="F11" s="1849">
        <v>0</v>
      </c>
      <c r="G11" s="1849">
        <v>0</v>
      </c>
      <c r="H11" s="1849">
        <v>6.24</v>
      </c>
      <c r="I11" s="437"/>
      <c r="J11" s="438"/>
      <c r="K11" s="439"/>
      <c r="L11" s="440">
        <v>36.880000000000003</v>
      </c>
      <c r="M11" s="415"/>
      <c r="N11" s="415"/>
    </row>
    <row r="12" spans="1:14" ht="14.25">
      <c r="A12" s="415"/>
      <c r="B12" s="415"/>
      <c r="C12" s="2169" t="s">
        <v>672</v>
      </c>
      <c r="D12" s="2170"/>
      <c r="E12" s="1849">
        <v>5.54</v>
      </c>
      <c r="F12" s="1849">
        <v>0</v>
      </c>
      <c r="G12" s="1849">
        <v>0</v>
      </c>
      <c r="H12" s="1849">
        <v>1.74</v>
      </c>
      <c r="I12" s="437"/>
      <c r="J12" s="438"/>
      <c r="K12" s="439"/>
      <c r="L12" s="440">
        <v>7.28</v>
      </c>
      <c r="M12" s="415"/>
      <c r="N12" s="415"/>
    </row>
    <row r="13" spans="1:14" ht="14.25">
      <c r="A13" s="415"/>
      <c r="B13" s="415"/>
      <c r="C13" s="2169" t="s">
        <v>845</v>
      </c>
      <c r="D13" s="2170"/>
      <c r="E13" s="1849">
        <v>2.9520820421511697E-4</v>
      </c>
      <c r="F13" s="1849">
        <v>0</v>
      </c>
      <c r="G13" s="1849">
        <v>0</v>
      </c>
      <c r="H13" s="1849">
        <v>2.2740721737946355E-2</v>
      </c>
      <c r="I13" s="437"/>
      <c r="J13" s="438"/>
      <c r="K13" s="439"/>
      <c r="L13" s="440">
        <v>2.303592994216147E-2</v>
      </c>
      <c r="M13" s="415"/>
      <c r="N13" s="415"/>
    </row>
    <row r="14" spans="1:14" ht="14.25">
      <c r="A14" s="415"/>
      <c r="B14" s="415"/>
      <c r="C14" s="2160" t="s">
        <v>846</v>
      </c>
      <c r="D14" s="2161"/>
      <c r="E14" s="1849">
        <v>0</v>
      </c>
      <c r="F14" s="1849">
        <v>0</v>
      </c>
      <c r="G14" s="1849">
        <v>0</v>
      </c>
      <c r="H14" s="1849">
        <v>0</v>
      </c>
      <c r="I14" s="437"/>
      <c r="J14" s="438"/>
      <c r="K14" s="439"/>
      <c r="L14" s="440">
        <v>0</v>
      </c>
      <c r="M14" s="415"/>
      <c r="N14" s="415"/>
    </row>
    <row r="15" spans="1:14" ht="15">
      <c r="A15" s="415"/>
      <c r="B15" s="415"/>
      <c r="C15" s="2158" t="s">
        <v>847</v>
      </c>
      <c r="D15" s="2159"/>
      <c r="E15" s="441"/>
      <c r="F15" s="442"/>
      <c r="G15" s="442"/>
      <c r="H15" s="441"/>
      <c r="I15" s="437"/>
      <c r="J15" s="438"/>
      <c r="K15" s="439"/>
      <c r="L15" s="443">
        <v>0</v>
      </c>
      <c r="M15" s="415"/>
      <c r="N15" s="415"/>
    </row>
    <row r="16" spans="1:14" ht="14.25">
      <c r="A16" s="415"/>
      <c r="B16" s="415"/>
      <c r="C16" s="2160" t="s">
        <v>848</v>
      </c>
      <c r="D16" s="2161"/>
      <c r="E16" s="444"/>
      <c r="F16" s="437"/>
      <c r="G16" s="437"/>
      <c r="H16" s="437"/>
      <c r="I16" s="1849">
        <v>0.84</v>
      </c>
      <c r="J16" s="1849">
        <v>0</v>
      </c>
      <c r="K16" s="439"/>
      <c r="L16" s="440">
        <v>0.84</v>
      </c>
      <c r="M16" s="415"/>
      <c r="N16" s="415"/>
    </row>
    <row r="17" spans="1:14" ht="14.25">
      <c r="A17" s="415"/>
      <c r="B17" s="415"/>
      <c r="C17" s="2160" t="s">
        <v>843</v>
      </c>
      <c r="D17" s="2161"/>
      <c r="E17" s="444"/>
      <c r="F17" s="437"/>
      <c r="G17" s="437"/>
      <c r="H17" s="437"/>
      <c r="I17" s="1849">
        <v>4.6399999999999997</v>
      </c>
      <c r="J17" s="1849">
        <v>0</v>
      </c>
      <c r="K17" s="439"/>
      <c r="L17" s="440">
        <v>4.6399999999999997</v>
      </c>
      <c r="M17" s="415"/>
      <c r="N17" s="415"/>
    </row>
    <row r="18" spans="1:14" ht="14.25">
      <c r="A18" s="415"/>
      <c r="B18" s="415"/>
      <c r="C18" s="2160" t="s">
        <v>844</v>
      </c>
      <c r="D18" s="2161"/>
      <c r="E18" s="444"/>
      <c r="F18" s="437"/>
      <c r="G18" s="437"/>
      <c r="H18" s="437"/>
      <c r="I18" s="1849">
        <v>8.34</v>
      </c>
      <c r="J18" s="1849">
        <v>0</v>
      </c>
      <c r="K18" s="439"/>
      <c r="L18" s="440">
        <v>8.34</v>
      </c>
      <c r="M18" s="415"/>
      <c r="N18" s="415"/>
    </row>
    <row r="19" spans="1:14" ht="14.25">
      <c r="A19" s="415"/>
      <c r="B19" s="415"/>
      <c r="C19" s="2160" t="s">
        <v>787</v>
      </c>
      <c r="D19" s="2161"/>
      <c r="E19" s="444"/>
      <c r="F19" s="437"/>
      <c r="G19" s="437"/>
      <c r="H19" s="437"/>
      <c r="I19" s="1849">
        <v>1.84</v>
      </c>
      <c r="J19" s="1849">
        <v>0</v>
      </c>
      <c r="K19" s="439"/>
      <c r="L19" s="440">
        <v>1.84</v>
      </c>
      <c r="M19" s="415"/>
      <c r="N19" s="415"/>
    </row>
    <row r="20" spans="1:14" ht="15">
      <c r="A20" s="415"/>
      <c r="B20" s="415"/>
      <c r="C20" s="2158" t="s">
        <v>786</v>
      </c>
      <c r="D20" s="2159"/>
      <c r="E20" s="445"/>
      <c r="F20" s="446"/>
      <c r="G20" s="446"/>
      <c r="H20" s="446"/>
      <c r="I20" s="446"/>
      <c r="J20" s="439"/>
      <c r="K20" s="1849">
        <v>0</v>
      </c>
      <c r="L20" s="440">
        <v>0</v>
      </c>
      <c r="M20" s="415"/>
      <c r="N20" s="415"/>
    </row>
    <row r="21" spans="1:14" ht="15">
      <c r="A21" s="415"/>
      <c r="B21" s="415"/>
      <c r="C21" s="2158" t="s">
        <v>788</v>
      </c>
      <c r="D21" s="2159"/>
      <c r="E21" s="447">
        <v>36.180295208204214</v>
      </c>
      <c r="F21" s="447">
        <v>0</v>
      </c>
      <c r="G21" s="447">
        <v>0</v>
      </c>
      <c r="H21" s="447">
        <v>8.0027407217379469</v>
      </c>
      <c r="I21" s="447">
        <v>15.66</v>
      </c>
      <c r="J21" s="447">
        <v>0</v>
      </c>
      <c r="K21" s="448">
        <v>0</v>
      </c>
      <c r="L21" s="449">
        <v>59.843035929942175</v>
      </c>
      <c r="M21" s="450"/>
      <c r="N21" s="415"/>
    </row>
    <row r="22" spans="1:14" ht="15" customHeight="1">
      <c r="A22" s="415"/>
      <c r="B22" s="415"/>
      <c r="C22" s="2160" t="s">
        <v>789</v>
      </c>
      <c r="D22" s="2161"/>
      <c r="E22" s="1849">
        <v>0</v>
      </c>
      <c r="F22" s="437"/>
      <c r="G22" s="1849">
        <v>0</v>
      </c>
      <c r="H22" s="1849">
        <v>0</v>
      </c>
      <c r="I22" s="1849">
        <v>0</v>
      </c>
      <c r="J22" s="1849">
        <v>0</v>
      </c>
      <c r="K22" s="1849">
        <v>0</v>
      </c>
      <c r="L22" s="440">
        <v>0</v>
      </c>
      <c r="M22" s="450"/>
      <c r="N22" s="415"/>
    </row>
    <row r="23" spans="1:14" ht="15">
      <c r="A23" s="415"/>
      <c r="B23" s="415"/>
      <c r="C23" s="2158" t="s">
        <v>837</v>
      </c>
      <c r="D23" s="2159"/>
      <c r="E23" s="447">
        <v>36.180295208204214</v>
      </c>
      <c r="F23" s="451">
        <v>0</v>
      </c>
      <c r="G23" s="451">
        <v>0</v>
      </c>
      <c r="H23" s="451">
        <v>8.0027407217379469</v>
      </c>
      <c r="I23" s="451">
        <v>15.66</v>
      </c>
      <c r="J23" s="451">
        <v>0</v>
      </c>
      <c r="K23" s="452">
        <v>0</v>
      </c>
      <c r="L23" s="449">
        <v>59.843035929942161</v>
      </c>
      <c r="M23" s="453"/>
      <c r="N23" s="415"/>
    </row>
    <row r="24" spans="1:14" ht="15.75" thickBot="1">
      <c r="A24" s="415"/>
      <c r="B24" s="415"/>
      <c r="C24" s="2160" t="s">
        <v>838</v>
      </c>
      <c r="D24" s="2161"/>
      <c r="E24" s="1849">
        <v>-54.2</v>
      </c>
      <c r="F24" s="1849">
        <v>0</v>
      </c>
      <c r="G24" s="1849">
        <v>0</v>
      </c>
      <c r="H24" s="454"/>
      <c r="I24" s="455"/>
      <c r="J24" s="455"/>
      <c r="K24" s="1849">
        <v>0</v>
      </c>
      <c r="L24" s="456">
        <v>-54.2</v>
      </c>
      <c r="M24" s="457"/>
      <c r="N24" s="415"/>
    </row>
    <row r="25" spans="1:14" ht="15.75" thickBot="1">
      <c r="A25" s="415"/>
      <c r="B25" s="415"/>
      <c r="C25" s="2158" t="s">
        <v>839</v>
      </c>
      <c r="D25" s="2159"/>
      <c r="E25" s="458">
        <v>-18.019704791795789</v>
      </c>
      <c r="F25" s="459">
        <v>0</v>
      </c>
      <c r="G25" s="459">
        <v>0</v>
      </c>
      <c r="H25" s="459">
        <v>8.0027407217379469</v>
      </c>
      <c r="I25" s="459">
        <v>15.66</v>
      </c>
      <c r="J25" s="459">
        <v>0</v>
      </c>
      <c r="K25" s="460">
        <v>0</v>
      </c>
      <c r="L25" s="461">
        <v>5.6430359299421582</v>
      </c>
      <c r="M25" s="453"/>
      <c r="N25" s="415"/>
    </row>
    <row r="26" spans="1:14" ht="15.75" thickBot="1">
      <c r="A26" s="415"/>
      <c r="B26" s="415"/>
      <c r="C26" s="462"/>
      <c r="D26" s="462"/>
      <c r="E26" s="463"/>
      <c r="F26" s="463"/>
      <c r="G26" s="423"/>
      <c r="H26" s="464"/>
      <c r="I26" s="415"/>
      <c r="J26" s="415"/>
      <c r="K26" s="415"/>
      <c r="L26" s="415"/>
      <c r="M26" s="415"/>
      <c r="N26" s="415"/>
    </row>
    <row r="27" spans="1:14" ht="18.75" thickBot="1">
      <c r="A27" s="415"/>
      <c r="B27" s="415"/>
      <c r="C27" s="2148" t="s">
        <v>919</v>
      </c>
      <c r="D27" s="2149"/>
      <c r="E27" s="465"/>
      <c r="F27" s="465"/>
      <c r="G27" s="466"/>
      <c r="H27" s="415"/>
      <c r="I27" s="415"/>
      <c r="J27" s="415"/>
      <c r="K27" s="415"/>
      <c r="L27" s="422"/>
      <c r="M27" s="415"/>
      <c r="N27" s="415"/>
    </row>
    <row r="28" spans="1:14" ht="18" customHeight="1" thickBot="1">
      <c r="A28" s="415"/>
      <c r="B28" s="415"/>
      <c r="C28" s="2100" t="s">
        <v>83</v>
      </c>
      <c r="D28" s="2102"/>
      <c r="E28" s="2165" t="s">
        <v>49</v>
      </c>
      <c r="F28" s="2166"/>
      <c r="G28" s="467"/>
      <c r="H28" s="415"/>
      <c r="I28" s="415"/>
      <c r="J28" s="415"/>
      <c r="K28" s="415"/>
      <c r="L28" s="422"/>
      <c r="M28" s="415"/>
      <c r="N28" s="415"/>
    </row>
    <row r="29" spans="1:14" ht="45.75" thickBot="1">
      <c r="A29" s="415"/>
      <c r="B29" s="415"/>
      <c r="C29" s="2150"/>
      <c r="D29" s="2151"/>
      <c r="E29" s="1238" t="s">
        <v>851</v>
      </c>
      <c r="F29" s="1238" t="s">
        <v>101</v>
      </c>
      <c r="G29" s="1238" t="s">
        <v>102</v>
      </c>
      <c r="H29" s="415"/>
      <c r="I29" s="415"/>
      <c r="J29" s="415"/>
      <c r="K29" s="415"/>
      <c r="L29" s="422"/>
      <c r="M29" s="415"/>
      <c r="N29" s="415"/>
    </row>
    <row r="30" spans="1:14" ht="15.75" thickBot="1">
      <c r="A30" s="415"/>
      <c r="B30" s="415"/>
      <c r="C30" s="2103"/>
      <c r="D30" s="2105"/>
      <c r="E30" s="417" t="s">
        <v>157</v>
      </c>
      <c r="F30" s="417" t="s">
        <v>157</v>
      </c>
      <c r="G30" s="417" t="s">
        <v>157</v>
      </c>
      <c r="H30" s="415"/>
      <c r="I30" s="415"/>
      <c r="J30" s="415"/>
      <c r="K30" s="415"/>
      <c r="L30" s="422"/>
      <c r="M30" s="415"/>
      <c r="N30" s="415"/>
    </row>
    <row r="31" spans="1:14" s="1000" customFormat="1" ht="18" customHeight="1">
      <c r="A31" s="1173"/>
      <c r="B31" s="1173"/>
      <c r="C31" s="2167" t="s">
        <v>103</v>
      </c>
      <c r="D31" s="470" t="s">
        <v>104</v>
      </c>
      <c r="E31" s="1850">
        <v>0.24</v>
      </c>
      <c r="F31" s="1849">
        <v>4.6292713318415564E-2</v>
      </c>
      <c r="G31" s="1851">
        <v>0.28629271331841555</v>
      </c>
      <c r="H31" s="1173"/>
      <c r="I31" s="1173"/>
      <c r="J31" s="1173"/>
      <c r="K31" s="1173"/>
      <c r="L31" s="1215"/>
      <c r="M31" s="1173"/>
      <c r="N31" s="1173"/>
    </row>
    <row r="32" spans="1:14" s="1000" customFormat="1" ht="18" customHeight="1" thickBot="1">
      <c r="A32" s="1173"/>
      <c r="B32" s="1173"/>
      <c r="C32" s="2168"/>
      <c r="D32" s="1239" t="s">
        <v>105</v>
      </c>
      <c r="E32" s="1852">
        <v>3.64</v>
      </c>
      <c r="F32" s="1852">
        <v>0.21368979761934548</v>
      </c>
      <c r="G32" s="1853">
        <v>3.8536897976193458</v>
      </c>
      <c r="H32" s="1173"/>
      <c r="I32" s="1173"/>
      <c r="J32" s="1173"/>
      <c r="K32" s="1173"/>
      <c r="L32" s="1215"/>
      <c r="M32" s="1173"/>
      <c r="N32" s="1173"/>
    </row>
    <row r="33" spans="1:14" s="1000" customFormat="1" ht="18" customHeight="1">
      <c r="A33" s="1173"/>
      <c r="B33" s="1173"/>
      <c r="C33" s="2167" t="s">
        <v>106</v>
      </c>
      <c r="D33" s="470" t="s">
        <v>104</v>
      </c>
      <c r="E33" s="1850">
        <v>0</v>
      </c>
      <c r="F33" s="1849">
        <v>0</v>
      </c>
      <c r="G33" s="1851">
        <v>0</v>
      </c>
      <c r="H33" s="1173"/>
      <c r="I33" s="1173"/>
      <c r="J33" s="1173"/>
      <c r="K33" s="1173"/>
      <c r="L33" s="1215"/>
      <c r="M33" s="1173"/>
      <c r="N33" s="1173"/>
    </row>
    <row r="34" spans="1:14" s="1000" customFormat="1" ht="18" customHeight="1" thickBot="1">
      <c r="A34" s="1173"/>
      <c r="B34" s="1173"/>
      <c r="C34" s="2168"/>
      <c r="D34" s="1239" t="s">
        <v>105</v>
      </c>
      <c r="E34" s="1852">
        <v>0</v>
      </c>
      <c r="F34" s="1852">
        <v>0</v>
      </c>
      <c r="G34" s="1853">
        <v>0</v>
      </c>
      <c r="H34" s="1173"/>
      <c r="I34" s="1173"/>
      <c r="J34" s="1173"/>
      <c r="K34" s="1173"/>
      <c r="L34" s="1215"/>
      <c r="M34" s="1173"/>
      <c r="N34" s="1173"/>
    </row>
    <row r="35" spans="1:14" s="1000" customFormat="1" ht="18" customHeight="1">
      <c r="A35" s="1173"/>
      <c r="B35" s="1173"/>
      <c r="C35" s="2162" t="s">
        <v>848</v>
      </c>
      <c r="D35" s="470" t="s">
        <v>222</v>
      </c>
      <c r="E35" s="1850">
        <v>0.58803843337182204</v>
      </c>
      <c r="F35" s="1849">
        <v>8.1542676024189704E-3</v>
      </c>
      <c r="G35" s="1851">
        <v>0.59619270097424104</v>
      </c>
      <c r="H35" s="1173"/>
      <c r="I35" s="1173"/>
      <c r="J35" s="1173"/>
      <c r="K35" s="1173"/>
      <c r="L35" s="1215"/>
      <c r="M35" s="1173"/>
      <c r="N35" s="1173"/>
    </row>
    <row r="36" spans="1:14" s="1000" customFormat="1" ht="18" customHeight="1">
      <c r="A36" s="1173"/>
      <c r="B36" s="1173"/>
      <c r="C36" s="2163"/>
      <c r="D36" s="1240" t="s">
        <v>223</v>
      </c>
      <c r="E36" s="1850">
        <v>5.3744597642332632</v>
      </c>
      <c r="F36" s="1849">
        <v>7.1868956503129411E-2</v>
      </c>
      <c r="G36" s="440">
        <v>5.4463287207363926</v>
      </c>
      <c r="H36" s="1173"/>
      <c r="I36" s="1173"/>
      <c r="J36" s="1173"/>
      <c r="K36" s="1173"/>
      <c r="L36" s="1215"/>
      <c r="M36" s="1173"/>
      <c r="N36" s="1173"/>
    </row>
    <row r="37" spans="1:14" s="1000" customFormat="1" ht="18" customHeight="1" thickBot="1">
      <c r="A37" s="1173"/>
      <c r="B37" s="1173"/>
      <c r="C37" s="2164"/>
      <c r="D37" s="469" t="s">
        <v>224</v>
      </c>
      <c r="E37" s="1852">
        <v>2.3075336631865913</v>
      </c>
      <c r="F37" s="1852">
        <v>0.19078495292205472</v>
      </c>
      <c r="G37" s="1853">
        <v>2.4983186161086461</v>
      </c>
      <c r="H37" s="1173"/>
      <c r="I37" s="1173"/>
      <c r="J37" s="1173"/>
      <c r="K37" s="1173"/>
      <c r="L37" s="1215"/>
      <c r="M37" s="1173"/>
      <c r="N37" s="1173"/>
    </row>
    <row r="38" spans="1:14" s="1000" customFormat="1" ht="18" customHeight="1">
      <c r="A38" s="1173"/>
      <c r="B38" s="1173"/>
      <c r="C38" s="2162" t="s">
        <v>239</v>
      </c>
      <c r="D38" s="470" t="s">
        <v>225</v>
      </c>
      <c r="E38" s="1850">
        <v>10.349688615538659</v>
      </c>
      <c r="F38" s="1849">
        <v>6.9203446524298495E-2</v>
      </c>
      <c r="G38" s="1851">
        <v>10.418892062062957</v>
      </c>
      <c r="H38" s="1173"/>
      <c r="I38" s="1173"/>
      <c r="J38" s="1173"/>
      <c r="K38" s="1173"/>
      <c r="L38" s="1215"/>
      <c r="M38" s="1173"/>
      <c r="N38" s="1173"/>
    </row>
    <row r="39" spans="1:14" s="1000" customFormat="1" ht="18" customHeight="1">
      <c r="A39" s="1173"/>
      <c r="B39" s="1173"/>
      <c r="C39" s="2163"/>
      <c r="D39" s="1240" t="s">
        <v>119</v>
      </c>
      <c r="E39" s="1850">
        <v>3.54</v>
      </c>
      <c r="F39" s="1849">
        <v>1.24</v>
      </c>
      <c r="G39" s="440">
        <v>4.78</v>
      </c>
      <c r="H39" s="1173"/>
      <c r="I39" s="1173"/>
      <c r="J39" s="1173"/>
      <c r="K39" s="1173"/>
      <c r="L39" s="1215"/>
      <c r="M39" s="1173"/>
      <c r="N39" s="1173"/>
    </row>
    <row r="40" spans="1:14" s="1000" customFormat="1" ht="18" customHeight="1">
      <c r="A40" s="1173"/>
      <c r="B40" s="1173"/>
      <c r="C40" s="2163"/>
      <c r="D40" s="471" t="s">
        <v>120</v>
      </c>
      <c r="E40" s="1850">
        <v>0</v>
      </c>
      <c r="F40" s="1849">
        <v>0</v>
      </c>
      <c r="G40" s="440">
        <v>0</v>
      </c>
      <c r="H40" s="1173"/>
      <c r="I40" s="1173"/>
      <c r="J40" s="1173"/>
      <c r="K40" s="1173"/>
      <c r="L40" s="1215"/>
      <c r="M40" s="1173"/>
      <c r="N40" s="1173"/>
    </row>
    <row r="41" spans="1:14" s="1000" customFormat="1" ht="18" customHeight="1">
      <c r="A41" s="1173"/>
      <c r="B41" s="1173"/>
      <c r="C41" s="2163"/>
      <c r="D41" s="471" t="s">
        <v>224</v>
      </c>
      <c r="E41" s="1850">
        <v>3.74</v>
      </c>
      <c r="F41" s="1849">
        <v>0.54821908400879216</v>
      </c>
      <c r="G41" s="440">
        <v>4.2882190840087926</v>
      </c>
      <c r="H41" s="1173"/>
      <c r="I41" s="1173"/>
      <c r="J41" s="1173"/>
      <c r="K41" s="1173"/>
      <c r="L41" s="1215"/>
      <c r="M41" s="1173"/>
      <c r="N41" s="1173"/>
    </row>
    <row r="42" spans="1:14" s="1000" customFormat="1" ht="18" customHeight="1">
      <c r="A42" s="1173"/>
      <c r="B42" s="1173"/>
      <c r="C42" s="2163"/>
      <c r="D42" s="1240" t="s">
        <v>868</v>
      </c>
      <c r="E42" s="1850">
        <v>0.37899100091533766</v>
      </c>
      <c r="F42" s="1849">
        <v>0.32116813541497696</v>
      </c>
      <c r="G42" s="440">
        <v>0.70015913633031457</v>
      </c>
      <c r="H42" s="1173"/>
      <c r="I42" s="1173"/>
      <c r="J42" s="1173"/>
      <c r="K42" s="1173"/>
      <c r="L42" s="1215"/>
      <c r="M42" s="1173"/>
      <c r="N42" s="1173"/>
    </row>
    <row r="43" spans="1:14" s="1000" customFormat="1" ht="18" customHeight="1" thickBot="1">
      <c r="A43" s="1173"/>
      <c r="B43" s="1173"/>
      <c r="C43" s="2164"/>
      <c r="D43" s="1239" t="s">
        <v>869</v>
      </c>
      <c r="E43" s="1852">
        <v>1.24</v>
      </c>
      <c r="F43" s="1852">
        <v>0.7</v>
      </c>
      <c r="G43" s="1853">
        <v>1.94</v>
      </c>
      <c r="H43" s="1173"/>
      <c r="I43" s="1173"/>
      <c r="J43" s="1173"/>
      <c r="K43" s="1173"/>
      <c r="L43" s="1215"/>
      <c r="M43" s="1173"/>
      <c r="N43" s="1173"/>
    </row>
    <row r="44" spans="1:14" s="1000" customFormat="1" ht="18" customHeight="1">
      <c r="A44" s="1173"/>
      <c r="B44" s="1173"/>
      <c r="C44" s="2162" t="s">
        <v>245</v>
      </c>
      <c r="D44" s="470" t="s">
        <v>225</v>
      </c>
      <c r="E44" s="1850">
        <v>4.5747654658786413E-2</v>
      </c>
      <c r="F44" s="1849">
        <v>5.8758471721742428E-3</v>
      </c>
      <c r="G44" s="1851">
        <v>5.1623501830960657E-2</v>
      </c>
      <c r="H44" s="1173"/>
      <c r="I44" s="1173"/>
      <c r="J44" s="1173"/>
      <c r="K44" s="1173"/>
      <c r="L44" s="1215"/>
      <c r="M44" s="1173"/>
      <c r="N44" s="1173"/>
    </row>
    <row r="45" spans="1:14" s="1000" customFormat="1" ht="18" customHeight="1">
      <c r="A45" s="1173"/>
      <c r="B45" s="1173"/>
      <c r="C45" s="2163"/>
      <c r="D45" s="1240" t="s">
        <v>119</v>
      </c>
      <c r="E45" s="1850">
        <v>1.04</v>
      </c>
      <c r="F45" s="1849">
        <v>0.22404121029423843</v>
      </c>
      <c r="G45" s="440">
        <v>1.2640412102942384</v>
      </c>
      <c r="H45" s="1173"/>
      <c r="I45" s="1173"/>
      <c r="J45" s="1173"/>
      <c r="K45" s="1173"/>
      <c r="L45" s="1215"/>
      <c r="M45" s="1173"/>
      <c r="N45" s="1173"/>
    </row>
    <row r="46" spans="1:14" s="1000" customFormat="1" ht="18" customHeight="1">
      <c r="A46" s="1173"/>
      <c r="B46" s="1173"/>
      <c r="C46" s="2163"/>
      <c r="D46" s="1240" t="s">
        <v>120</v>
      </c>
      <c r="E46" s="1850">
        <v>0</v>
      </c>
      <c r="F46" s="1849">
        <v>0</v>
      </c>
      <c r="G46" s="440">
        <v>0</v>
      </c>
      <c r="H46" s="1173"/>
      <c r="I46" s="1173"/>
      <c r="J46" s="1173"/>
      <c r="K46" s="1173"/>
      <c r="L46" s="1215"/>
      <c r="M46" s="1173"/>
      <c r="N46" s="1173"/>
    </row>
    <row r="47" spans="1:14" s="1000" customFormat="1" ht="18" customHeight="1">
      <c r="A47" s="1173"/>
      <c r="B47" s="1173"/>
      <c r="C47" s="2163"/>
      <c r="D47" s="1240" t="s">
        <v>224</v>
      </c>
      <c r="E47" s="1850">
        <v>3.8405046976352872E-2</v>
      </c>
      <c r="F47" s="1849">
        <v>3.1893983520429048E-2</v>
      </c>
      <c r="G47" s="440">
        <v>7.029903049678192E-2</v>
      </c>
      <c r="H47" s="1173"/>
      <c r="I47" s="1173"/>
      <c r="J47" s="1173"/>
      <c r="K47" s="1173"/>
      <c r="L47" s="1215"/>
      <c r="M47" s="1173"/>
      <c r="N47" s="1173"/>
    </row>
    <row r="48" spans="1:14" s="1000" customFormat="1" ht="18" customHeight="1">
      <c r="A48" s="1173"/>
      <c r="B48" s="1173"/>
      <c r="C48" s="2163"/>
      <c r="D48" s="1240" t="s">
        <v>868</v>
      </c>
      <c r="E48" s="1850">
        <v>-4.391021798885289E-2</v>
      </c>
      <c r="F48" s="1849">
        <v>2.2469662936353614</v>
      </c>
      <c r="G48" s="440">
        <v>2.2030560756465083</v>
      </c>
      <c r="H48" s="1173"/>
      <c r="I48" s="1173"/>
      <c r="J48" s="1173"/>
      <c r="K48" s="1173"/>
      <c r="L48" s="1215"/>
      <c r="M48" s="1173"/>
      <c r="N48" s="1173"/>
    </row>
    <row r="49" spans="1:14" s="1000" customFormat="1" ht="18" customHeight="1" thickBot="1">
      <c r="A49" s="1173"/>
      <c r="B49" s="1173"/>
      <c r="C49" s="2164"/>
      <c r="D49" s="469" t="s">
        <v>869</v>
      </c>
      <c r="E49" s="1852">
        <v>1.592475814205339</v>
      </c>
      <c r="F49" s="1852">
        <v>4.2914531994428925E-3</v>
      </c>
      <c r="G49" s="1853">
        <v>1.5967672674047819</v>
      </c>
      <c r="H49" s="1173"/>
      <c r="I49" s="1173"/>
      <c r="J49" s="1173"/>
      <c r="K49" s="1173"/>
      <c r="L49" s="1215"/>
      <c r="M49" s="1173"/>
      <c r="N49" s="1173"/>
    </row>
    <row r="50" spans="1:14" s="1000" customFormat="1" ht="18" customHeight="1">
      <c r="A50" s="1173"/>
      <c r="B50" s="1173"/>
      <c r="C50" s="2162" t="s">
        <v>243</v>
      </c>
      <c r="D50" s="470" t="s">
        <v>225</v>
      </c>
      <c r="E50" s="1850">
        <v>7.04</v>
      </c>
      <c r="F50" s="1849">
        <v>0</v>
      </c>
      <c r="G50" s="1851">
        <v>7.04</v>
      </c>
      <c r="H50" s="1173"/>
      <c r="I50" s="1173"/>
      <c r="J50" s="1173"/>
      <c r="K50" s="1173"/>
      <c r="L50" s="1215"/>
      <c r="M50" s="1173"/>
      <c r="N50" s="1173"/>
    </row>
    <row r="51" spans="1:14" s="1000" customFormat="1" ht="18" customHeight="1">
      <c r="A51" s="1173"/>
      <c r="B51" s="1173"/>
      <c r="C51" s="2163"/>
      <c r="D51" s="1240" t="s">
        <v>119</v>
      </c>
      <c r="E51" s="1850">
        <v>3.9669160593351322</v>
      </c>
      <c r="F51" s="1849">
        <v>0</v>
      </c>
      <c r="G51" s="440">
        <v>3.9669160593351322</v>
      </c>
      <c r="H51" s="1173"/>
      <c r="I51" s="1173"/>
      <c r="J51" s="1173"/>
      <c r="K51" s="1173"/>
      <c r="L51" s="1215"/>
      <c r="M51" s="1173"/>
      <c r="N51" s="1173"/>
    </row>
    <row r="52" spans="1:14" s="1000" customFormat="1" ht="18" customHeight="1">
      <c r="A52" s="1173"/>
      <c r="B52" s="1173"/>
      <c r="C52" s="2163"/>
      <c r="D52" s="471" t="s">
        <v>870</v>
      </c>
      <c r="E52" s="1850">
        <v>0</v>
      </c>
      <c r="F52" s="1849">
        <v>0</v>
      </c>
      <c r="G52" s="440">
        <v>0</v>
      </c>
      <c r="H52" s="1173"/>
      <c r="I52" s="1173"/>
      <c r="J52" s="1173"/>
      <c r="K52" s="1173"/>
      <c r="L52" s="1215"/>
      <c r="M52" s="1173"/>
      <c r="N52" s="1173"/>
    </row>
    <row r="53" spans="1:14" s="1000" customFormat="1" ht="18" customHeight="1">
      <c r="A53" s="1173"/>
      <c r="B53" s="1173"/>
      <c r="C53" s="2163"/>
      <c r="D53" s="471" t="s">
        <v>224</v>
      </c>
      <c r="E53" s="1850">
        <v>11.94</v>
      </c>
      <c r="F53" s="1849">
        <v>0</v>
      </c>
      <c r="G53" s="440">
        <v>11.94</v>
      </c>
      <c r="H53" s="1173"/>
      <c r="I53" s="1173"/>
      <c r="J53" s="1173"/>
      <c r="K53" s="1173"/>
      <c r="L53" s="1215"/>
      <c r="M53" s="1173"/>
      <c r="N53" s="1173"/>
    </row>
    <row r="54" spans="1:14" s="1000" customFormat="1" ht="18" customHeight="1">
      <c r="A54" s="1173"/>
      <c r="B54" s="1173"/>
      <c r="C54" s="2163"/>
      <c r="D54" s="471" t="s">
        <v>868</v>
      </c>
      <c r="E54" s="1850">
        <v>2.5499467560803706</v>
      </c>
      <c r="F54" s="1849">
        <v>0.4007368773762815</v>
      </c>
      <c r="G54" s="440">
        <v>2.9506836334566522</v>
      </c>
      <c r="H54" s="1173"/>
      <c r="I54" s="1173"/>
      <c r="J54" s="1173"/>
      <c r="K54" s="1173"/>
      <c r="L54" s="1215"/>
      <c r="M54" s="1173"/>
      <c r="N54" s="1173"/>
    </row>
    <row r="55" spans="1:14" s="1000" customFormat="1" ht="18" customHeight="1" thickBot="1">
      <c r="A55" s="1173"/>
      <c r="B55" s="1173"/>
      <c r="C55" s="2164"/>
      <c r="D55" s="469" t="s">
        <v>869</v>
      </c>
      <c r="E55" s="1850">
        <v>-2.0865269887229355E-2</v>
      </c>
      <c r="F55" s="1849">
        <v>1.1137266114561692E-2</v>
      </c>
      <c r="G55" s="440">
        <v>-9.7280037726676632E-3</v>
      </c>
      <c r="H55" s="1173"/>
      <c r="I55" s="1173"/>
      <c r="J55" s="1173"/>
      <c r="K55" s="1173"/>
      <c r="L55" s="1215"/>
      <c r="M55" s="1173"/>
      <c r="N55" s="1173"/>
    </row>
    <row r="56" spans="1:14" s="1000" customFormat="1" ht="18" customHeight="1" thickBot="1">
      <c r="A56" s="1173"/>
      <c r="B56" s="1173"/>
      <c r="C56" s="2045" t="s">
        <v>871</v>
      </c>
      <c r="D56" s="2047"/>
      <c r="E56" s="1854">
        <v>59.547427320625566</v>
      </c>
      <c r="F56" s="1854">
        <v>6.3343242852259216</v>
      </c>
      <c r="G56" s="1854">
        <v>65.881751605851491</v>
      </c>
      <c r="H56" s="1241"/>
      <c r="I56" s="1173"/>
      <c r="J56" s="1173"/>
      <c r="K56" s="1173"/>
      <c r="L56" s="1173"/>
      <c r="M56" s="1215"/>
      <c r="N56" s="1173"/>
    </row>
    <row r="57" spans="1:14" s="1000" customFormat="1" ht="18" customHeight="1" thickBot="1">
      <c r="A57" s="1173"/>
      <c r="B57" s="1173"/>
      <c r="C57" s="2129" t="s">
        <v>838</v>
      </c>
      <c r="D57" s="2130"/>
      <c r="E57" s="1850">
        <v>0</v>
      </c>
      <c r="F57" s="1849">
        <v>0</v>
      </c>
      <c r="G57" s="440">
        <v>0</v>
      </c>
      <c r="H57" s="1241"/>
      <c r="I57" s="1241"/>
      <c r="J57" s="1241"/>
      <c r="K57" s="1173"/>
      <c r="L57" s="1173"/>
      <c r="M57" s="1215"/>
      <c r="N57" s="1173"/>
    </row>
    <row r="58" spans="1:14" s="1000" customFormat="1" ht="18" customHeight="1" thickBot="1">
      <c r="A58" s="1173"/>
      <c r="B58" s="1173"/>
      <c r="C58" s="2045" t="s">
        <v>872</v>
      </c>
      <c r="D58" s="2047"/>
      <c r="E58" s="1854">
        <v>59.547427320625566</v>
      </c>
      <c r="F58" s="1854">
        <v>6.3343242852259216</v>
      </c>
      <c r="G58" s="1854">
        <v>65.881751605851491</v>
      </c>
      <c r="H58" s="1173"/>
      <c r="I58" s="1173"/>
      <c r="J58" s="1173"/>
      <c r="K58" s="1173"/>
      <c r="L58" s="1215"/>
      <c r="M58" s="1173"/>
      <c r="N58" s="1173"/>
    </row>
    <row r="59" spans="1:14" s="1000" customFormat="1" ht="18" customHeight="1" thickBot="1">
      <c r="C59" s="2131"/>
      <c r="D59" s="2131"/>
    </row>
    <row r="60" spans="1:14" s="1000" customFormat="1" ht="18" customHeight="1" thickBot="1">
      <c r="A60" s="1173"/>
      <c r="B60" s="1173"/>
      <c r="C60" s="2152" t="s">
        <v>873</v>
      </c>
      <c r="D60" s="2153"/>
      <c r="E60" s="1242" t="s">
        <v>240</v>
      </c>
      <c r="F60" s="1242" t="s">
        <v>239</v>
      </c>
      <c r="G60" s="1242" t="s">
        <v>245</v>
      </c>
      <c r="H60" s="1242" t="s">
        <v>243</v>
      </c>
      <c r="I60" s="1242" t="s">
        <v>246</v>
      </c>
      <c r="J60" s="1173"/>
      <c r="K60" s="1173"/>
      <c r="L60" s="1173"/>
      <c r="M60" s="1215"/>
      <c r="N60" s="1173"/>
    </row>
    <row r="61" spans="1:14" s="1000" customFormat="1" ht="18" customHeight="1" thickBot="1">
      <c r="A61" s="1173"/>
      <c r="B61" s="1173"/>
      <c r="C61" s="2154" t="s">
        <v>83</v>
      </c>
      <c r="D61" s="2155"/>
      <c r="E61" s="1222" t="s">
        <v>157</v>
      </c>
      <c r="F61" s="1222" t="s">
        <v>157</v>
      </c>
      <c r="G61" s="1222" t="s">
        <v>157</v>
      </c>
      <c r="H61" s="1222" t="s">
        <v>157</v>
      </c>
      <c r="I61" s="1222" t="s">
        <v>157</v>
      </c>
      <c r="J61" s="1173"/>
      <c r="K61" s="1173"/>
      <c r="L61" s="1173"/>
      <c r="M61" s="1173"/>
      <c r="N61" s="1215"/>
    </row>
    <row r="62" spans="1:14" s="1000" customFormat="1" ht="18" customHeight="1">
      <c r="A62" s="1173"/>
      <c r="B62" s="1173"/>
      <c r="C62" s="2144" t="s">
        <v>874</v>
      </c>
      <c r="D62" s="2145"/>
      <c r="E62" s="1850">
        <v>0.11144405232676594</v>
      </c>
      <c r="F62" s="1849">
        <v>7.8516595613712017</v>
      </c>
      <c r="G62" s="1849">
        <v>1.2426650420184003E-2</v>
      </c>
      <c r="H62" s="1849">
        <v>0</v>
      </c>
      <c r="I62" s="1855">
        <v>7.9755302641181514</v>
      </c>
      <c r="J62" s="1173"/>
      <c r="K62" s="1173"/>
      <c r="L62" s="1173"/>
      <c r="M62" s="1173"/>
      <c r="N62" s="1215"/>
    </row>
    <row r="63" spans="1:14" s="1000" customFormat="1" ht="18" customHeight="1">
      <c r="A63" s="1173"/>
      <c r="B63" s="1173"/>
      <c r="C63" s="2138" t="s">
        <v>875</v>
      </c>
      <c r="D63" s="2139"/>
      <c r="E63" s="1850">
        <v>1.44</v>
      </c>
      <c r="F63" s="1849">
        <v>0.81453474669442516</v>
      </c>
      <c r="G63" s="1849">
        <v>0.27667550609523239</v>
      </c>
      <c r="H63" s="1849">
        <v>5.6893104787277327E-2</v>
      </c>
      <c r="I63" s="449">
        <v>2.5881033575769345</v>
      </c>
      <c r="J63" s="1173"/>
      <c r="K63" s="1173"/>
      <c r="L63" s="1173"/>
      <c r="M63" s="1173"/>
      <c r="N63" s="1215"/>
    </row>
    <row r="64" spans="1:14" s="1000" customFormat="1" ht="18" customHeight="1">
      <c r="A64" s="1173"/>
      <c r="B64" s="1173"/>
      <c r="C64" s="2138" t="s">
        <v>121</v>
      </c>
      <c r="D64" s="2139"/>
      <c r="E64" s="1850">
        <v>7.9133040677175793E-3</v>
      </c>
      <c r="F64" s="1849">
        <v>3.1718213737327888E-2</v>
      </c>
      <c r="G64" s="1849">
        <v>6.7633462599588051E-2</v>
      </c>
      <c r="H64" s="1849">
        <v>0</v>
      </c>
      <c r="I64" s="449">
        <v>0.10726498040463352</v>
      </c>
      <c r="J64" s="1173"/>
      <c r="K64" s="1173"/>
      <c r="L64" s="1173"/>
      <c r="M64" s="1173"/>
      <c r="N64" s="1215"/>
    </row>
    <row r="65" spans="1:14" s="1000" customFormat="1" ht="18" customHeight="1">
      <c r="A65" s="1173"/>
      <c r="B65" s="1173"/>
      <c r="C65" s="2138" t="s">
        <v>122</v>
      </c>
      <c r="D65" s="2139"/>
      <c r="E65" s="1850">
        <v>1.7022079061462941E-2</v>
      </c>
      <c r="F65" s="1849">
        <v>2.8012541419207761E-2</v>
      </c>
      <c r="G65" s="1849">
        <v>0</v>
      </c>
      <c r="H65" s="1849">
        <v>0</v>
      </c>
      <c r="I65" s="449">
        <v>4.5034620480670702E-2</v>
      </c>
      <c r="J65" s="1173"/>
      <c r="K65" s="1173"/>
      <c r="L65" s="1173"/>
      <c r="M65" s="1173"/>
      <c r="N65" s="1215"/>
    </row>
    <row r="66" spans="1:14" s="1000" customFormat="1" ht="18" customHeight="1">
      <c r="A66" s="1173"/>
      <c r="B66" s="1173"/>
      <c r="C66" s="2138" t="s">
        <v>123</v>
      </c>
      <c r="D66" s="2139"/>
      <c r="E66" s="1850">
        <v>0</v>
      </c>
      <c r="F66" s="1849">
        <v>8.754704549918375E-3</v>
      </c>
      <c r="G66" s="1849">
        <v>0</v>
      </c>
      <c r="H66" s="1849">
        <v>0</v>
      </c>
      <c r="I66" s="449">
        <v>8.754704549918375E-3</v>
      </c>
      <c r="J66" s="1173"/>
      <c r="K66" s="1173"/>
      <c r="L66" s="1173"/>
      <c r="M66" s="1173"/>
      <c r="N66" s="1215"/>
    </row>
    <row r="67" spans="1:14" s="1000" customFormat="1" ht="18" customHeight="1">
      <c r="A67" s="1173"/>
      <c r="B67" s="1173"/>
      <c r="C67" s="2138" t="s">
        <v>124</v>
      </c>
      <c r="D67" s="2139"/>
      <c r="E67" s="1850">
        <v>0</v>
      </c>
      <c r="F67" s="1849">
        <v>0</v>
      </c>
      <c r="G67" s="1849">
        <v>0</v>
      </c>
      <c r="H67" s="1849">
        <v>0</v>
      </c>
      <c r="I67" s="449">
        <v>0</v>
      </c>
      <c r="J67" s="1173"/>
      <c r="K67" s="1173"/>
      <c r="L67" s="1173"/>
      <c r="M67" s="1173"/>
      <c r="N67" s="1215"/>
    </row>
    <row r="68" spans="1:14" s="1000" customFormat="1" ht="18" customHeight="1">
      <c r="A68" s="1173"/>
      <c r="B68" s="1173"/>
      <c r="C68" s="2138" t="s">
        <v>125</v>
      </c>
      <c r="D68" s="2139"/>
      <c r="E68" s="1850">
        <v>0</v>
      </c>
      <c r="F68" s="1849">
        <v>0</v>
      </c>
      <c r="G68" s="1849">
        <v>0</v>
      </c>
      <c r="H68" s="1849">
        <v>0</v>
      </c>
      <c r="I68" s="449">
        <v>0</v>
      </c>
      <c r="J68" s="1173"/>
      <c r="K68" s="1173"/>
      <c r="L68" s="1173"/>
      <c r="M68" s="1173"/>
      <c r="N68" s="1215"/>
    </row>
    <row r="69" spans="1:14" s="1000" customFormat="1" ht="18" customHeight="1">
      <c r="A69" s="1173"/>
      <c r="B69" s="1173"/>
      <c r="C69" s="2138" t="s">
        <v>143</v>
      </c>
      <c r="D69" s="2139"/>
      <c r="E69" s="1850">
        <v>0</v>
      </c>
      <c r="F69" s="1849">
        <v>2.0674791032064717E-4</v>
      </c>
      <c r="G69" s="1849">
        <v>5.2094717843987601E-2</v>
      </c>
      <c r="H69" s="1849">
        <v>0</v>
      </c>
      <c r="I69" s="456">
        <v>5.2301465754308246E-2</v>
      </c>
      <c r="J69" s="1173"/>
      <c r="K69" s="1173"/>
      <c r="L69" s="1173"/>
      <c r="M69" s="1173"/>
      <c r="N69" s="1215"/>
    </row>
    <row r="70" spans="1:14" s="1000" customFormat="1" ht="18" customHeight="1" thickBot="1">
      <c r="A70" s="1173"/>
      <c r="B70" s="1173"/>
      <c r="C70" s="2140" t="s">
        <v>144</v>
      </c>
      <c r="D70" s="2141"/>
      <c r="E70" s="1850">
        <v>1.7071761753133965</v>
      </c>
      <c r="F70" s="1849">
        <v>1.9141859817989475</v>
      </c>
      <c r="G70" s="1849">
        <v>0.12842695304841664</v>
      </c>
      <c r="H70" s="1849">
        <v>2.2767498048319061</v>
      </c>
      <c r="I70" s="1856">
        <v>6.0265389149926669</v>
      </c>
      <c r="J70" s="1173"/>
      <c r="K70" s="1173"/>
      <c r="L70" s="1173"/>
      <c r="M70" s="1173"/>
      <c r="N70" s="1215"/>
    </row>
    <row r="71" spans="1:14" s="1000" customFormat="1" ht="18" customHeight="1" thickBot="1">
      <c r="A71" s="1173"/>
      <c r="B71" s="1173"/>
      <c r="C71" s="2132" t="s">
        <v>135</v>
      </c>
      <c r="D71" s="2133"/>
      <c r="E71" s="461">
        <v>3.2835556107693429</v>
      </c>
      <c r="F71" s="461">
        <v>10.649072497481351</v>
      </c>
      <c r="G71" s="461">
        <v>0.53725729000740863</v>
      </c>
      <c r="H71" s="461">
        <v>2.3336429096191833</v>
      </c>
      <c r="I71" s="461">
        <v>16.803528307877283</v>
      </c>
      <c r="J71" s="1173"/>
      <c r="K71" s="1173"/>
      <c r="L71" s="1173"/>
      <c r="M71" s="1173"/>
      <c r="N71" s="1215"/>
    </row>
    <row r="72" spans="1:14" s="1000" customFormat="1" ht="18" customHeight="1" thickBot="1">
      <c r="A72" s="1173"/>
      <c r="B72" s="1173"/>
      <c r="C72" s="2142" t="s">
        <v>838</v>
      </c>
      <c r="D72" s="2143"/>
      <c r="E72" s="1850">
        <v>0</v>
      </c>
      <c r="F72" s="1849">
        <v>0</v>
      </c>
      <c r="G72" s="1849">
        <v>0</v>
      </c>
      <c r="H72" s="1849">
        <v>0</v>
      </c>
      <c r="I72" s="461">
        <v>0</v>
      </c>
      <c r="J72" s="1173"/>
      <c r="K72" s="1173"/>
      <c r="L72" s="1173"/>
      <c r="M72" s="1215"/>
      <c r="N72" s="1173"/>
    </row>
    <row r="73" spans="1:14" s="1000" customFormat="1" ht="18" customHeight="1" thickBot="1">
      <c r="A73" s="1173"/>
      <c r="B73" s="1173"/>
      <c r="C73" s="2132" t="s">
        <v>0</v>
      </c>
      <c r="D73" s="2133"/>
      <c r="E73" s="1857">
        <v>3.2835556107693429</v>
      </c>
      <c r="F73" s="1857">
        <v>10.649072497481351</v>
      </c>
      <c r="G73" s="1857">
        <v>0.53725729000740863</v>
      </c>
      <c r="H73" s="1857">
        <v>2.3336429096191833</v>
      </c>
      <c r="I73" s="1857">
        <v>16.803528307877283</v>
      </c>
      <c r="J73" s="1173"/>
      <c r="K73" s="1173"/>
      <c r="L73" s="1173"/>
      <c r="M73" s="1215"/>
      <c r="N73" s="1173"/>
    </row>
    <row r="74" spans="1:14" s="1000" customFormat="1" ht="18" customHeight="1" thickBot="1">
      <c r="A74" s="1173"/>
      <c r="B74" s="1173"/>
      <c r="C74" s="1166"/>
      <c r="D74" s="1244"/>
      <c r="E74" s="1244"/>
      <c r="F74" s="1244"/>
      <c r="G74" s="1244"/>
      <c r="H74" s="1245"/>
      <c r="I74" s="1245"/>
      <c r="J74" s="1245"/>
      <c r="K74" s="1245"/>
      <c r="L74" s="1173"/>
      <c r="M74" s="1173"/>
      <c r="N74" s="1173"/>
    </row>
    <row r="75" spans="1:14" s="1000" customFormat="1" ht="18" customHeight="1" thickBot="1">
      <c r="A75" s="1173"/>
      <c r="B75" s="1173"/>
      <c r="C75" s="2132" t="s">
        <v>715</v>
      </c>
      <c r="D75" s="2133"/>
      <c r="E75" s="1246">
        <f>+I71+G56</f>
        <v>82.685279913728778</v>
      </c>
      <c r="F75" s="1241"/>
      <c r="G75" s="1173"/>
      <c r="H75" s="1173"/>
      <c r="I75" s="1173"/>
      <c r="J75" s="1173"/>
      <c r="K75" s="1173"/>
      <c r="L75" s="1173"/>
      <c r="M75" s="1215"/>
      <c r="N75" s="1173"/>
    </row>
    <row r="76" spans="1:14" s="1000" customFormat="1" ht="18" customHeight="1" thickBot="1">
      <c r="A76" s="1173"/>
      <c r="B76" s="1173"/>
      <c r="C76" s="2132" t="s">
        <v>838</v>
      </c>
      <c r="D76" s="2133"/>
      <c r="E76" s="1858">
        <v>0</v>
      </c>
      <c r="F76" s="1241"/>
      <c r="G76" s="1173"/>
      <c r="H76" s="1173"/>
      <c r="I76" s="1173"/>
      <c r="J76" s="1173"/>
      <c r="K76" s="1173"/>
      <c r="L76" s="1173"/>
      <c r="M76" s="1215"/>
      <c r="N76" s="1173"/>
    </row>
    <row r="77" spans="1:14" s="1000" customFormat="1" ht="18" customHeight="1" thickBot="1">
      <c r="A77" s="1173"/>
      <c r="B77" s="1173"/>
      <c r="C77" s="2132" t="s">
        <v>606</v>
      </c>
      <c r="D77" s="2133"/>
      <c r="E77" s="1857">
        <v>82.685279913728778</v>
      </c>
      <c r="F77" s="1173"/>
      <c r="G77" s="1173"/>
      <c r="H77" s="1173"/>
      <c r="I77" s="1173"/>
      <c r="J77" s="1173"/>
      <c r="K77" s="1173"/>
      <c r="L77" s="1173"/>
      <c r="M77" s="1215"/>
      <c r="N77" s="1173"/>
    </row>
    <row r="78" spans="1:14" s="1000" customFormat="1" ht="18" customHeight="1" thickBot="1">
      <c r="A78" s="1173"/>
      <c r="B78" s="1173"/>
      <c r="C78" s="1167"/>
      <c r="D78" s="1167"/>
      <c r="E78" s="1167"/>
      <c r="F78" s="1167"/>
      <c r="G78" s="1167"/>
      <c r="H78" s="1167"/>
      <c r="I78" s="1167"/>
      <c r="J78" s="1167"/>
      <c r="K78" s="1167"/>
      <c r="L78" s="1173"/>
      <c r="M78" s="1173"/>
      <c r="N78" s="1173"/>
    </row>
    <row r="79" spans="1:14" s="1000" customFormat="1" ht="18.75" thickBot="1">
      <c r="A79" s="1173"/>
      <c r="B79" s="1173"/>
      <c r="C79" s="472" t="s">
        <v>607</v>
      </c>
      <c r="D79" s="473"/>
      <c r="E79" s="1247"/>
      <c r="F79" s="1247"/>
      <c r="G79" s="1248"/>
      <c r="H79" s="1173"/>
      <c r="I79" s="1173"/>
      <c r="J79" s="1173"/>
      <c r="K79" s="1173"/>
      <c r="L79" s="1173"/>
      <c r="M79" s="1173"/>
      <c r="N79" s="1173"/>
    </row>
    <row r="80" spans="1:14" s="1000" customFormat="1" ht="60.75" thickBot="1">
      <c r="A80" s="1173"/>
      <c r="B80" s="1173"/>
      <c r="C80" s="2134" t="s">
        <v>83</v>
      </c>
      <c r="D80" s="2135"/>
      <c r="E80" s="1249" t="s">
        <v>246</v>
      </c>
      <c r="F80" s="1250" t="s">
        <v>608</v>
      </c>
      <c r="G80" s="1250" t="s">
        <v>609</v>
      </c>
      <c r="H80" s="1173"/>
      <c r="I80" s="1173"/>
      <c r="J80" s="1173"/>
      <c r="K80" s="1173"/>
      <c r="L80" s="1173"/>
      <c r="M80" s="1173"/>
      <c r="N80" s="1173"/>
    </row>
    <row r="81" spans="1:14" s="1000" customFormat="1" ht="15.75" thickBot="1">
      <c r="A81" s="1173"/>
      <c r="B81" s="1173"/>
      <c r="C81" s="2136"/>
      <c r="D81" s="2137"/>
      <c r="E81" s="1234" t="s">
        <v>157</v>
      </c>
      <c r="F81" s="1222" t="s">
        <v>157</v>
      </c>
      <c r="G81" s="1222" t="s">
        <v>157</v>
      </c>
      <c r="H81" s="1173"/>
      <c r="I81" s="1173"/>
      <c r="J81" s="1173"/>
      <c r="K81" s="1173"/>
      <c r="L81" s="1173"/>
      <c r="M81" s="1173"/>
      <c r="N81" s="1173"/>
    </row>
    <row r="82" spans="1:14" s="1000" customFormat="1" ht="18" customHeight="1">
      <c r="A82" s="1173"/>
      <c r="B82" s="1173"/>
      <c r="C82" s="2061" t="s">
        <v>727</v>
      </c>
      <c r="D82" s="2063"/>
      <c r="E82" s="1851">
        <v>0.2</v>
      </c>
      <c r="F82" s="1849">
        <v>0.2</v>
      </c>
      <c r="G82" s="1850"/>
      <c r="H82" s="1173"/>
      <c r="I82" s="1173"/>
      <c r="J82" s="1173"/>
      <c r="K82" s="1173"/>
      <c r="L82" s="1173"/>
      <c r="M82" s="1173"/>
      <c r="N82" s="1173"/>
    </row>
    <row r="83" spans="1:14" s="1000" customFormat="1" ht="18" customHeight="1">
      <c r="A83" s="1173"/>
      <c r="B83" s="1173"/>
      <c r="C83" s="2127" t="s">
        <v>610</v>
      </c>
      <c r="D83" s="2128"/>
      <c r="E83" s="440">
        <v>0</v>
      </c>
      <c r="F83" s="1849"/>
      <c r="G83" s="1850"/>
      <c r="H83" s="1173"/>
      <c r="I83" s="1173"/>
      <c r="J83" s="1173"/>
      <c r="K83" s="1173"/>
      <c r="L83" s="1173"/>
      <c r="M83" s="1173"/>
      <c r="N83" s="1173"/>
    </row>
    <row r="84" spans="1:14" s="1000" customFormat="1" ht="18" customHeight="1">
      <c r="A84" s="1173"/>
      <c r="B84" s="1173"/>
      <c r="C84" s="2127" t="s">
        <v>611</v>
      </c>
      <c r="D84" s="2128"/>
      <c r="E84" s="440">
        <v>1.359</v>
      </c>
      <c r="F84" s="1849">
        <v>1.359</v>
      </c>
      <c r="G84" s="1850"/>
      <c r="H84" s="1173"/>
      <c r="I84" s="1173"/>
      <c r="J84" s="1173"/>
      <c r="K84" s="1173"/>
      <c r="L84" s="1173"/>
      <c r="M84" s="1173"/>
      <c r="N84" s="1173"/>
    </row>
    <row r="85" spans="1:14" s="1000" customFormat="1" ht="18" customHeight="1">
      <c r="A85" s="1173"/>
      <c r="B85" s="1173"/>
      <c r="C85" s="2127" t="s">
        <v>612</v>
      </c>
      <c r="D85" s="2128"/>
      <c r="E85" s="440">
        <v>0</v>
      </c>
      <c r="F85" s="1849"/>
      <c r="G85" s="1850"/>
      <c r="H85" s="1173"/>
      <c r="I85" s="1173"/>
      <c r="J85" s="1173"/>
      <c r="K85" s="1173"/>
      <c r="L85" s="1173"/>
      <c r="M85" s="1173"/>
      <c r="N85" s="1173"/>
    </row>
    <row r="86" spans="1:14" s="1000" customFormat="1" ht="18" customHeight="1">
      <c r="A86" s="1173"/>
      <c r="B86" s="1173"/>
      <c r="C86" s="2127" t="s">
        <v>716</v>
      </c>
      <c r="D86" s="2128"/>
      <c r="E86" s="440">
        <v>0</v>
      </c>
      <c r="F86" s="1849"/>
      <c r="G86" s="1850"/>
      <c r="H86" s="1173"/>
      <c r="I86" s="1173"/>
      <c r="J86" s="1173"/>
      <c r="K86" s="1173"/>
      <c r="L86" s="1173"/>
      <c r="M86" s="1173"/>
      <c r="N86" s="1173"/>
    </row>
    <row r="87" spans="1:14" s="1000" customFormat="1" ht="18" customHeight="1">
      <c r="A87" s="1173"/>
      <c r="B87" s="1173"/>
      <c r="C87" s="2127" t="s">
        <v>134</v>
      </c>
      <c r="D87" s="2128"/>
      <c r="E87" s="440">
        <v>0.68900000000000006</v>
      </c>
      <c r="F87" s="1849">
        <v>0.68900000000000006</v>
      </c>
      <c r="G87" s="1850"/>
      <c r="H87" s="1173"/>
      <c r="I87" s="1173"/>
      <c r="J87" s="1173"/>
      <c r="K87" s="1173"/>
      <c r="L87" s="1173"/>
      <c r="M87" s="1173"/>
      <c r="N87" s="1173"/>
    </row>
    <row r="88" spans="1:14" s="1000" customFormat="1" ht="18" customHeight="1" thickBot="1">
      <c r="A88" s="1173"/>
      <c r="B88" s="1173"/>
      <c r="C88" s="2064" t="s">
        <v>231</v>
      </c>
      <c r="D88" s="2066"/>
      <c r="E88" s="440">
        <v>0</v>
      </c>
      <c r="F88" s="1849"/>
      <c r="G88" s="1850"/>
      <c r="H88" s="1241"/>
      <c r="I88" s="1173"/>
      <c r="J88" s="1173"/>
      <c r="K88" s="1173"/>
      <c r="L88" s="1173"/>
      <c r="M88" s="1173"/>
      <c r="N88" s="1173"/>
    </row>
    <row r="89" spans="1:14" s="1000" customFormat="1" ht="18" customHeight="1" thickBot="1">
      <c r="A89" s="1173"/>
      <c r="B89" s="1173"/>
      <c r="C89" s="2045" t="s">
        <v>232</v>
      </c>
      <c r="D89" s="2047"/>
      <c r="E89" s="461">
        <v>2.2480000000000002</v>
      </c>
      <c r="F89" s="461">
        <v>2.2480000000000002</v>
      </c>
      <c r="G89" s="461">
        <v>0</v>
      </c>
      <c r="H89" s="1241"/>
      <c r="I89" s="1173"/>
      <c r="J89" s="1173"/>
      <c r="K89" s="1173"/>
      <c r="L89" s="1173"/>
      <c r="M89" s="1173"/>
      <c r="N89" s="1173"/>
    </row>
  </sheetData>
  <mergeCells count="57">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 ref="C7:D7"/>
    <mergeCell ref="C27:D27"/>
    <mergeCell ref="C28:D30"/>
    <mergeCell ref="C60:D60"/>
    <mergeCell ref="C61:D61"/>
    <mergeCell ref="C8:D9"/>
    <mergeCell ref="C10:D10"/>
    <mergeCell ref="C15:D15"/>
    <mergeCell ref="C16:D16"/>
    <mergeCell ref="C44:C49"/>
    <mergeCell ref="C50:C55"/>
    <mergeCell ref="C38:C43"/>
    <mergeCell ref="C24:D24"/>
    <mergeCell ref="C62:D62"/>
    <mergeCell ref="C63:D63"/>
    <mergeCell ref="C64:D64"/>
    <mergeCell ref="C65:D65"/>
    <mergeCell ref="C66:D66"/>
    <mergeCell ref="C80:D81"/>
    <mergeCell ref="C67:D67"/>
    <mergeCell ref="C68:D68"/>
    <mergeCell ref="C69:D69"/>
    <mergeCell ref="C70:D70"/>
    <mergeCell ref="C72:D72"/>
    <mergeCell ref="C71:D71"/>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s>
  <phoneticPr fontId="0"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topLeftCell="A4" workbookViewId="0">
      <selection activeCell="A73" sqref="A1:XFD1048576"/>
    </sheetView>
  </sheetViews>
  <sheetFormatPr defaultColWidth="10.140625" defaultRowHeight="12.75"/>
  <cols>
    <col min="1" max="3" width="10.140625" style="1000"/>
    <col min="4" max="6" width="12.28515625" style="1000" customWidth="1"/>
    <col min="7" max="16384" width="10.140625" style="1000"/>
  </cols>
  <sheetData>
    <row r="1" spans="1:13">
      <c r="A1" s="1038" t="s">
        <v>91</v>
      </c>
      <c r="F1" s="1159" t="s">
        <v>216</v>
      </c>
    </row>
    <row r="2" spans="1:13">
      <c r="A2" s="1038"/>
    </row>
    <row r="3" spans="1:13">
      <c r="A3" s="1038" t="s">
        <v>29</v>
      </c>
    </row>
    <row r="5" spans="1:13">
      <c r="A5" s="1251" t="s">
        <v>92</v>
      </c>
      <c r="B5" s="1037"/>
      <c r="C5" s="1037"/>
      <c r="D5" s="1037"/>
      <c r="E5" s="1037"/>
      <c r="F5" s="1252"/>
      <c r="G5" s="1252"/>
      <c r="H5" s="1252"/>
      <c r="I5" s="1252"/>
      <c r="J5" s="1252"/>
      <c r="K5" s="1252"/>
      <c r="L5" s="1252"/>
      <c r="M5" s="1252"/>
    </row>
    <row r="6" spans="1:13" ht="13.5" thickBot="1">
      <c r="A6" s="1253"/>
      <c r="B6" s="1254"/>
      <c r="C6" s="1255"/>
      <c r="D6" s="1256"/>
      <c r="E6" s="1254"/>
      <c r="F6" s="1254"/>
      <c r="G6" s="1253"/>
      <c r="H6" s="1253"/>
      <c r="I6" s="1253"/>
      <c r="J6" s="1253"/>
      <c r="K6" s="1253"/>
      <c r="L6" s="1253"/>
      <c r="M6" s="1253"/>
    </row>
    <row r="7" spans="1:13" ht="13.5" thickBot="1">
      <c r="A7" s="1252"/>
      <c r="B7" s="1257"/>
      <c r="C7" s="1258" t="s">
        <v>156</v>
      </c>
      <c r="D7" s="1259"/>
      <c r="E7" s="1260"/>
      <c r="F7" s="1260"/>
      <c r="G7" s="1260"/>
      <c r="H7" s="1261"/>
      <c r="I7" s="1262"/>
      <c r="J7" s="1252"/>
      <c r="K7" s="1252"/>
      <c r="L7" s="1252"/>
      <c r="M7" s="1252"/>
    </row>
    <row r="8" spans="1:13" ht="13.5" thickBot="1">
      <c r="A8" s="1252"/>
      <c r="B8" s="1263"/>
      <c r="C8" s="1166"/>
      <c r="D8" s="1166"/>
      <c r="E8" s="1252"/>
      <c r="F8" s="1252"/>
      <c r="G8" s="1264" t="s">
        <v>157</v>
      </c>
      <c r="H8" s="1264" t="s">
        <v>157</v>
      </c>
      <c r="I8" s="1265"/>
      <c r="J8" s="1252"/>
      <c r="K8" s="1252"/>
      <c r="L8" s="1252"/>
      <c r="M8" s="1252"/>
    </row>
    <row r="9" spans="1:13">
      <c r="A9" s="1252"/>
      <c r="B9" s="1266"/>
      <c r="C9" s="1258" t="s">
        <v>158</v>
      </c>
      <c r="D9" s="1166"/>
      <c r="E9" s="1267"/>
      <c r="F9" s="1252"/>
      <c r="G9" s="1372"/>
      <c r="H9" s="1268"/>
      <c r="I9" s="1265"/>
      <c r="J9" s="1252"/>
      <c r="K9" s="1252"/>
      <c r="L9" s="1252"/>
      <c r="M9" s="1252"/>
    </row>
    <row r="10" spans="1:13">
      <c r="A10" s="1252"/>
      <c r="B10" s="1269"/>
      <c r="C10" s="1225"/>
      <c r="D10" s="1270" t="s">
        <v>145</v>
      </c>
      <c r="E10" s="1271"/>
      <c r="F10" s="1253"/>
      <c r="G10" s="1859">
        <v>8</v>
      </c>
      <c r="H10" s="1860"/>
      <c r="I10" s="1272"/>
      <c r="J10" s="1273"/>
      <c r="K10" s="1273"/>
      <c r="L10" s="1273"/>
      <c r="M10" s="1252"/>
    </row>
    <row r="11" spans="1:13">
      <c r="A11" s="1252"/>
      <c r="B11" s="1269"/>
      <c r="C11" s="1225"/>
      <c r="D11" s="1270" t="s">
        <v>146</v>
      </c>
      <c r="E11" s="1271"/>
      <c r="F11" s="1253"/>
      <c r="G11" s="1859">
        <v>0</v>
      </c>
      <c r="H11" s="1860"/>
      <c r="I11" s="1272"/>
      <c r="J11" s="1273"/>
      <c r="K11" s="1273"/>
      <c r="L11" s="1273"/>
      <c r="M11" s="1252"/>
    </row>
    <row r="12" spans="1:13">
      <c r="A12" s="1252"/>
      <c r="B12" s="1269"/>
      <c r="C12" s="1225"/>
      <c r="D12" s="1270" t="s">
        <v>147</v>
      </c>
      <c r="E12" s="1271"/>
      <c r="F12" s="1178"/>
      <c r="G12" s="1859">
        <v>20.184226800000001</v>
      </c>
      <c r="H12" s="1860"/>
      <c r="I12" s="1272"/>
      <c r="J12" s="1273"/>
      <c r="K12" s="1273"/>
      <c r="L12" s="1273"/>
      <c r="M12" s="1252"/>
    </row>
    <row r="13" spans="1:13">
      <c r="A13" s="1252"/>
      <c r="B13" s="1269"/>
      <c r="C13" s="1225"/>
      <c r="D13" s="1270" t="s">
        <v>227</v>
      </c>
      <c r="E13" s="1271"/>
      <c r="F13" s="1178"/>
      <c r="G13" s="1859">
        <v>1.45009349</v>
      </c>
      <c r="H13" s="1860"/>
      <c r="I13" s="1272"/>
      <c r="J13" s="1273"/>
      <c r="K13" s="1273"/>
      <c r="L13" s="1273"/>
      <c r="M13" s="1252"/>
    </row>
    <row r="14" spans="1:13">
      <c r="A14" s="1252"/>
      <c r="B14" s="1269"/>
      <c r="C14" s="1225"/>
      <c r="D14" s="1274" t="s">
        <v>228</v>
      </c>
      <c r="E14" s="1271"/>
      <c r="F14" s="1178"/>
      <c r="G14" s="1859">
        <v>0</v>
      </c>
      <c r="H14" s="1860"/>
      <c r="I14" s="1272"/>
      <c r="J14" s="1273"/>
      <c r="K14" s="1273"/>
      <c r="L14" s="1273"/>
      <c r="M14" s="1252"/>
    </row>
    <row r="15" spans="1:13" ht="25.5" customHeight="1">
      <c r="A15" s="1252"/>
      <c r="B15" s="1269"/>
      <c r="C15" s="1271"/>
      <c r="D15" s="2173" t="s">
        <v>882</v>
      </c>
      <c r="E15" s="2173"/>
      <c r="F15" s="2174"/>
      <c r="G15" s="1861">
        <v>0</v>
      </c>
      <c r="H15" s="1860">
        <v>29.634320290000002</v>
      </c>
      <c r="I15" s="1272"/>
      <c r="J15" s="1273"/>
      <c r="K15" s="1273"/>
      <c r="L15" s="1273"/>
      <c r="M15" s="1252"/>
    </row>
    <row r="16" spans="1:13">
      <c r="A16" s="1252"/>
      <c r="B16" s="1269"/>
      <c r="C16" s="1258" t="s">
        <v>148</v>
      </c>
      <c r="D16" s="1274"/>
      <c r="E16" s="1271"/>
      <c r="F16" s="1253"/>
      <c r="G16" s="1862"/>
      <c r="H16" s="1863"/>
      <c r="I16" s="1272"/>
      <c r="J16" s="1273"/>
      <c r="K16" s="1273"/>
      <c r="L16" s="1273"/>
      <c r="M16" s="1252"/>
    </row>
    <row r="17" spans="1:13" ht="25.5" customHeight="1">
      <c r="A17" s="1252"/>
      <c r="B17" s="1269"/>
      <c r="C17" s="1271"/>
      <c r="D17" s="2173" t="s">
        <v>233</v>
      </c>
      <c r="E17" s="2173"/>
      <c r="F17" s="2174"/>
      <c r="G17" s="1859">
        <v>0</v>
      </c>
      <c r="H17" s="1860"/>
      <c r="I17" s="1272"/>
      <c r="J17" s="1273"/>
      <c r="K17" s="1273"/>
      <c r="L17" s="1273"/>
      <c r="M17" s="1252"/>
    </row>
    <row r="18" spans="1:13">
      <c r="A18" s="1252"/>
      <c r="B18" s="1269"/>
      <c r="C18" s="1271"/>
      <c r="D18" s="1274" t="s">
        <v>132</v>
      </c>
      <c r="E18" s="1271"/>
      <c r="F18" s="1253"/>
      <c r="G18" s="1859">
        <v>0.68664242000000009</v>
      </c>
      <c r="H18" s="1860"/>
      <c r="I18" s="1272"/>
      <c r="J18" s="1273"/>
      <c r="K18" s="1273"/>
      <c r="L18" s="1273"/>
      <c r="M18" s="1252"/>
    </row>
    <row r="19" spans="1:13">
      <c r="A19" s="1252"/>
      <c r="B19" s="1269"/>
      <c r="C19" s="1271"/>
      <c r="D19" s="1274" t="s">
        <v>133</v>
      </c>
      <c r="E19" s="1271"/>
      <c r="F19" s="1253"/>
      <c r="G19" s="1861">
        <v>0.31245005660000003</v>
      </c>
      <c r="H19" s="1860">
        <v>0.99909247660000011</v>
      </c>
      <c r="I19" s="1272"/>
      <c r="J19" s="1273"/>
      <c r="K19" s="1273"/>
      <c r="L19" s="1273"/>
      <c r="M19" s="1252"/>
    </row>
    <row r="20" spans="1:13">
      <c r="A20" s="1252"/>
      <c r="B20" s="1269"/>
      <c r="C20" s="1258" t="s">
        <v>93</v>
      </c>
      <c r="D20" s="1274"/>
      <c r="E20" s="1271"/>
      <c r="F20" s="1253"/>
      <c r="G20" s="1862"/>
      <c r="H20" s="1863"/>
      <c r="I20" s="1272"/>
      <c r="J20" s="1273"/>
      <c r="K20" s="1273"/>
      <c r="L20" s="1273"/>
      <c r="M20" s="1252"/>
    </row>
    <row r="21" spans="1:13" ht="27.75" customHeight="1">
      <c r="A21" s="1252"/>
      <c r="B21" s="1269"/>
      <c r="C21" s="1271"/>
      <c r="D21" s="2173" t="s">
        <v>202</v>
      </c>
      <c r="E21" s="2173"/>
      <c r="F21" s="2174"/>
      <c r="G21" s="1859">
        <v>7.889699999997779E-4</v>
      </c>
      <c r="H21" s="1860"/>
      <c r="I21" s="1272"/>
      <c r="J21" s="1273"/>
      <c r="K21" s="1273"/>
      <c r="L21" s="1273"/>
      <c r="M21" s="1252"/>
    </row>
    <row r="22" spans="1:13" ht="26.25" customHeight="1">
      <c r="A22" s="1252"/>
      <c r="B22" s="1269"/>
      <c r="C22" s="1271"/>
      <c r="D22" s="2171" t="s">
        <v>203</v>
      </c>
      <c r="E22" s="2171"/>
      <c r="F22" s="2172"/>
      <c r="G22" s="1859">
        <v>36.130465450300001</v>
      </c>
      <c r="H22" s="1860"/>
      <c r="I22" s="1272"/>
      <c r="J22" s="1273"/>
      <c r="K22" s="1273"/>
      <c r="L22" s="1273"/>
      <c r="M22" s="1252"/>
    </row>
    <row r="23" spans="1:13">
      <c r="A23" s="1252"/>
      <c r="B23" s="1269"/>
      <c r="C23" s="1271"/>
      <c r="D23" s="1275" t="s">
        <v>204</v>
      </c>
      <c r="E23" s="1271"/>
      <c r="F23" s="1178"/>
      <c r="G23" s="1861">
        <v>7.62</v>
      </c>
      <c r="H23" s="1860">
        <v>43.7512544203</v>
      </c>
      <c r="I23" s="1272"/>
      <c r="J23" s="1273"/>
      <c r="K23" s="1273"/>
      <c r="L23" s="1273"/>
      <c r="M23" s="1252"/>
    </row>
    <row r="24" spans="1:13">
      <c r="A24" s="1252"/>
      <c r="B24" s="1269"/>
      <c r="C24" s="1271"/>
      <c r="D24" s="1270"/>
      <c r="E24" s="1267"/>
      <c r="F24" s="1178"/>
      <c r="G24" s="1862"/>
      <c r="H24" s="1863"/>
      <c r="I24" s="1272"/>
      <c r="J24" s="1273"/>
      <c r="K24" s="1273"/>
      <c r="L24" s="1273"/>
      <c r="M24" s="1252"/>
    </row>
    <row r="25" spans="1:13" ht="13.5" thickBot="1">
      <c r="A25" s="1252"/>
      <c r="B25" s="1243"/>
      <c r="C25" s="2175" t="s">
        <v>205</v>
      </c>
      <c r="D25" s="2175"/>
      <c r="E25" s="2175"/>
      <c r="F25" s="2176"/>
      <c r="G25" s="1864"/>
      <c r="H25" s="1865">
        <v>74.384667186900003</v>
      </c>
      <c r="I25" s="1272"/>
      <c r="J25" s="1273"/>
      <c r="K25" s="1273"/>
      <c r="L25" s="1273"/>
      <c r="M25" s="1252"/>
    </row>
    <row r="26" spans="1:13" ht="13.5" thickBot="1">
      <c r="A26" s="1252"/>
      <c r="B26" s="1277"/>
      <c r="C26" s="1278"/>
      <c r="D26" s="1278"/>
      <c r="E26" s="1278"/>
      <c r="F26" s="1279"/>
      <c r="G26" s="1280"/>
      <c r="H26" s="1280"/>
      <c r="I26" s="1281"/>
      <c r="J26" s="1273"/>
      <c r="K26" s="1273"/>
      <c r="L26" s="1273"/>
      <c r="M26" s="1252"/>
    </row>
    <row r="27" spans="1:13" ht="13.5" thickBot="1">
      <c r="A27" s="1252"/>
      <c r="B27" s="1254"/>
      <c r="C27" s="1260"/>
      <c r="D27" s="1252"/>
      <c r="E27" s="1276"/>
      <c r="F27" s="1254"/>
      <c r="G27" s="1273"/>
      <c r="H27" s="1273"/>
      <c r="I27" s="1273"/>
      <c r="J27" s="1273"/>
      <c r="K27" s="1273"/>
      <c r="L27" s="1273"/>
      <c r="M27" s="1252"/>
    </row>
    <row r="28" spans="1:13">
      <c r="A28" s="1252"/>
      <c r="B28" s="1257"/>
      <c r="C28" s="1282" t="s">
        <v>206</v>
      </c>
      <c r="D28" s="1260"/>
      <c r="E28" s="1260"/>
      <c r="F28" s="1283"/>
      <c r="G28" s="1284"/>
      <c r="H28" s="1285"/>
      <c r="I28" s="1285"/>
      <c r="J28" s="1285"/>
      <c r="K28" s="1285"/>
      <c r="L28" s="1285"/>
      <c r="M28" s="1262"/>
    </row>
    <row r="29" spans="1:13" ht="13.5" thickBot="1">
      <c r="A29" s="1252"/>
      <c r="B29" s="1263"/>
      <c r="C29" s="1252"/>
      <c r="D29" s="1258" t="s">
        <v>207</v>
      </c>
      <c r="E29" s="1258"/>
      <c r="F29" s="1253"/>
      <c r="G29" s="1286"/>
      <c r="H29" s="1286"/>
      <c r="I29" s="1273"/>
      <c r="J29" s="1273"/>
      <c r="K29" s="1273"/>
      <c r="L29" s="1273"/>
      <c r="M29" s="1265"/>
    </row>
    <row r="30" spans="1:13" ht="13.5" thickBot="1">
      <c r="A30" s="1252"/>
      <c r="B30" s="1287"/>
      <c r="C30" s="1252"/>
      <c r="D30" s="1271" t="s">
        <v>208</v>
      </c>
      <c r="F30" s="1178"/>
      <c r="G30" s="1288" t="s">
        <v>157</v>
      </c>
      <c r="H30" s="1289"/>
      <c r="I30" s="1273"/>
      <c r="J30" s="1273"/>
      <c r="K30" s="1273"/>
      <c r="L30" s="1273"/>
      <c r="M30" s="1265"/>
    </row>
    <row r="31" spans="1:13">
      <c r="A31" s="1252"/>
      <c r="B31" s="1287"/>
      <c r="C31" s="1252"/>
      <c r="D31" s="1274" t="s">
        <v>209</v>
      </c>
      <c r="F31" s="1252"/>
      <c r="G31" s="1866"/>
      <c r="H31" s="1289"/>
      <c r="I31" s="1273"/>
      <c r="J31" s="1273"/>
      <c r="K31" s="1273"/>
      <c r="L31" s="1273"/>
      <c r="M31" s="1265"/>
    </row>
    <row r="32" spans="1:13">
      <c r="A32" s="1252"/>
      <c r="B32" s="1287"/>
      <c r="C32" s="1252"/>
      <c r="D32" s="1274" t="s">
        <v>210</v>
      </c>
      <c r="F32" s="1252"/>
      <c r="G32" s="1866">
        <v>-0.50689503000000002</v>
      </c>
      <c r="H32" s="1289"/>
      <c r="I32" s="1273"/>
      <c r="J32" s="1273"/>
      <c r="K32" s="1273"/>
      <c r="L32" s="1273"/>
      <c r="M32" s="1265"/>
    </row>
    <row r="33" spans="1:13">
      <c r="A33" s="1253"/>
      <c r="B33" s="1291"/>
      <c r="C33" s="1253"/>
      <c r="D33" s="1274" t="s">
        <v>840</v>
      </c>
      <c r="F33" s="1253"/>
      <c r="G33" s="1866">
        <v>-0.17633336999999999</v>
      </c>
      <c r="H33" s="1289"/>
      <c r="I33" s="1286"/>
      <c r="J33" s="1286"/>
      <c r="K33" s="1286"/>
      <c r="L33" s="1286"/>
      <c r="M33" s="1292"/>
    </row>
    <row r="34" spans="1:13" ht="13.5" thickBot="1">
      <c r="A34" s="1253"/>
      <c r="B34" s="1291"/>
      <c r="C34" s="1253"/>
      <c r="D34" s="1178"/>
      <c r="E34" s="1293" t="s">
        <v>246</v>
      </c>
      <c r="F34" s="1178"/>
      <c r="G34" s="1867">
        <v>-0.68322839999999996</v>
      </c>
      <c r="H34" s="1289"/>
      <c r="I34" s="1286"/>
      <c r="J34" s="1286"/>
      <c r="K34" s="1286"/>
      <c r="L34" s="1286"/>
      <c r="M34" s="1292"/>
    </row>
    <row r="35" spans="1:13" ht="14.25" thickTop="1" thickBot="1">
      <c r="A35" s="1253"/>
      <c r="B35" s="1291"/>
      <c r="C35" s="1256"/>
      <c r="D35" s="1178"/>
      <c r="E35" s="1178"/>
      <c r="F35" s="1178"/>
      <c r="G35" s="1289"/>
      <c r="H35" s="1289"/>
      <c r="I35" s="1286"/>
      <c r="J35" s="1286"/>
      <c r="K35" s="1286"/>
      <c r="L35" s="1286"/>
      <c r="M35" s="1292"/>
    </row>
    <row r="36" spans="1:13" ht="38.25">
      <c r="A36" s="1253"/>
      <c r="B36" s="1243"/>
      <c r="C36" s="1178"/>
      <c r="D36" s="1178"/>
      <c r="E36" s="2191" t="s">
        <v>155</v>
      </c>
      <c r="F36" s="2192"/>
      <c r="G36" s="1369" t="s">
        <v>8</v>
      </c>
      <c r="H36" s="1369" t="s">
        <v>9</v>
      </c>
      <c r="I36" s="1369" t="s">
        <v>10</v>
      </c>
      <c r="J36" s="1369" t="s">
        <v>11</v>
      </c>
      <c r="K36" s="1370" t="s">
        <v>447</v>
      </c>
      <c r="L36" s="2189" t="s">
        <v>12</v>
      </c>
      <c r="M36" s="1292"/>
    </row>
    <row r="37" spans="1:13">
      <c r="A37" s="1253"/>
      <c r="B37" s="1243"/>
      <c r="C37" s="1178"/>
      <c r="D37" s="1178"/>
      <c r="E37" s="2185" t="s">
        <v>13</v>
      </c>
      <c r="F37" s="2186"/>
      <c r="G37" s="1294" t="s">
        <v>14</v>
      </c>
      <c r="H37" s="1294" t="s">
        <v>14</v>
      </c>
      <c r="I37" s="1294" t="s">
        <v>14</v>
      </c>
      <c r="J37" s="1294" t="s">
        <v>14</v>
      </c>
      <c r="K37" s="1371" t="s">
        <v>14</v>
      </c>
      <c r="L37" s="2190"/>
      <c r="M37" s="1292"/>
    </row>
    <row r="38" spans="1:13">
      <c r="A38" s="1253"/>
      <c r="B38" s="1243"/>
      <c r="C38" s="1178"/>
      <c r="D38" s="1178"/>
      <c r="E38" s="2187" t="s">
        <v>1181</v>
      </c>
      <c r="F38" s="2188"/>
      <c r="G38" s="1868">
        <v>1.5407160099999999</v>
      </c>
      <c r="H38" s="1868">
        <v>0.86561200999999999</v>
      </c>
      <c r="I38" s="1869">
        <v>0.67510399999999993</v>
      </c>
      <c r="J38" s="1868"/>
      <c r="K38" s="1869">
        <v>0.67510399999999993</v>
      </c>
      <c r="L38" s="1870"/>
      <c r="M38" s="1292"/>
    </row>
    <row r="39" spans="1:13">
      <c r="A39" s="1253"/>
      <c r="B39" s="1243"/>
      <c r="C39" s="1178"/>
      <c r="D39" s="1178"/>
      <c r="E39" s="2187" t="s">
        <v>1182</v>
      </c>
      <c r="F39" s="2193"/>
      <c r="G39" s="1868">
        <v>1.36656172</v>
      </c>
      <c r="H39" s="1868">
        <v>1.3576483500000001</v>
      </c>
      <c r="I39" s="1869">
        <v>8.9133699999999205E-3</v>
      </c>
      <c r="J39" s="1868">
        <v>0.17633336999999999</v>
      </c>
      <c r="K39" s="1869">
        <v>-0.16742000000000007</v>
      </c>
      <c r="L39" s="1871"/>
      <c r="M39" s="1292"/>
    </row>
    <row r="40" spans="1:13">
      <c r="A40" s="1253"/>
      <c r="B40" s="1243"/>
      <c r="C40" s="1178"/>
      <c r="D40" s="1178"/>
      <c r="E40" s="2187" t="s">
        <v>1183</v>
      </c>
      <c r="F40" s="2193"/>
      <c r="G40" s="1868"/>
      <c r="H40" s="1868"/>
      <c r="I40" s="1869">
        <v>0</v>
      </c>
      <c r="J40" s="1868">
        <v>0.50689503000000002</v>
      </c>
      <c r="K40" s="1869">
        <v>-0.50689503000000002</v>
      </c>
      <c r="L40" s="1871"/>
      <c r="M40" s="1292"/>
    </row>
    <row r="41" spans="1:13" ht="14.25">
      <c r="A41" s="1253"/>
      <c r="B41" s="1243"/>
      <c r="C41" s="1178"/>
      <c r="D41" s="1178"/>
      <c r="E41" s="2183"/>
      <c r="F41" s="2184"/>
      <c r="G41" s="1868"/>
      <c r="H41" s="1868"/>
      <c r="I41" s="1869">
        <v>0</v>
      </c>
      <c r="J41" s="1868"/>
      <c r="K41" s="1869">
        <v>0</v>
      </c>
      <c r="L41" s="1871"/>
      <c r="M41" s="1292"/>
    </row>
    <row r="42" spans="1:13" ht="14.25">
      <c r="A42" s="1253"/>
      <c r="B42" s="1243"/>
      <c r="C42" s="1178"/>
      <c r="D42" s="1178"/>
      <c r="E42" s="2183"/>
      <c r="F42" s="2184"/>
      <c r="G42" s="1868"/>
      <c r="H42" s="1868"/>
      <c r="I42" s="1869">
        <v>0</v>
      </c>
      <c r="J42" s="1868"/>
      <c r="K42" s="1869">
        <v>0</v>
      </c>
      <c r="L42" s="1871"/>
      <c r="M42" s="1292"/>
    </row>
    <row r="43" spans="1:13" ht="14.25">
      <c r="A43" s="1253"/>
      <c r="B43" s="1243"/>
      <c r="C43" s="1178"/>
      <c r="D43" s="1178"/>
      <c r="E43" s="2183"/>
      <c r="F43" s="2184"/>
      <c r="G43" s="1868"/>
      <c r="H43" s="1868"/>
      <c r="I43" s="1869">
        <v>0</v>
      </c>
      <c r="J43" s="1868"/>
      <c r="K43" s="1869">
        <v>0</v>
      </c>
      <c r="L43" s="1871"/>
      <c r="M43" s="1292"/>
    </row>
    <row r="44" spans="1:13" ht="14.25">
      <c r="A44" s="1253"/>
      <c r="B44" s="1243"/>
      <c r="C44" s="1178"/>
      <c r="D44" s="1178"/>
      <c r="E44" s="2183"/>
      <c r="F44" s="2184"/>
      <c r="G44" s="1868"/>
      <c r="H44" s="1868"/>
      <c r="I44" s="1869">
        <v>0</v>
      </c>
      <c r="J44" s="1868"/>
      <c r="K44" s="1869">
        <v>0</v>
      </c>
      <c r="L44" s="1871"/>
      <c r="M44" s="1292"/>
    </row>
    <row r="45" spans="1:13" ht="14.25">
      <c r="A45" s="1253"/>
      <c r="B45" s="1243"/>
      <c r="C45" s="1178"/>
      <c r="D45" s="1178"/>
      <c r="E45" s="2183"/>
      <c r="F45" s="2184"/>
      <c r="G45" s="1868"/>
      <c r="H45" s="1868"/>
      <c r="I45" s="1869">
        <v>0</v>
      </c>
      <c r="J45" s="1868"/>
      <c r="K45" s="1869">
        <v>0</v>
      </c>
      <c r="L45" s="1871"/>
      <c r="M45" s="1292"/>
    </row>
    <row r="46" spans="1:13" ht="14.25">
      <c r="A46" s="1253"/>
      <c r="B46" s="1243"/>
      <c r="C46" s="1178"/>
      <c r="D46" s="1178"/>
      <c r="E46" s="2183"/>
      <c r="F46" s="2184"/>
      <c r="G46" s="1868"/>
      <c r="H46" s="1868"/>
      <c r="I46" s="1869">
        <v>0</v>
      </c>
      <c r="J46" s="1868"/>
      <c r="K46" s="1869">
        <v>0</v>
      </c>
      <c r="L46" s="1871"/>
      <c r="M46" s="1292"/>
    </row>
    <row r="47" spans="1:13" ht="14.25">
      <c r="A47" s="1253"/>
      <c r="B47" s="1243"/>
      <c r="C47" s="1178"/>
      <c r="D47" s="1178"/>
      <c r="E47" s="2183"/>
      <c r="F47" s="2184"/>
      <c r="G47" s="1868"/>
      <c r="H47" s="1868"/>
      <c r="I47" s="1869">
        <v>0</v>
      </c>
      <c r="J47" s="1868"/>
      <c r="K47" s="1869">
        <v>0</v>
      </c>
      <c r="L47" s="1871"/>
      <c r="M47" s="1292"/>
    </row>
    <row r="48" spans="1:13" ht="14.25">
      <c r="A48" s="1253"/>
      <c r="B48" s="1243"/>
      <c r="C48" s="1178"/>
      <c r="D48" s="1178"/>
      <c r="E48" s="2183"/>
      <c r="F48" s="2184"/>
      <c r="G48" s="1868"/>
      <c r="H48" s="1868"/>
      <c r="I48" s="1869">
        <v>0</v>
      </c>
      <c r="J48" s="1868"/>
      <c r="K48" s="1869">
        <v>0</v>
      </c>
      <c r="L48" s="1871"/>
      <c r="M48" s="1292"/>
    </row>
    <row r="49" spans="1:13" ht="14.25">
      <c r="A49" s="1253"/>
      <c r="B49" s="1243"/>
      <c r="C49" s="1178"/>
      <c r="D49" s="1178"/>
      <c r="E49" s="2183"/>
      <c r="F49" s="2184"/>
      <c r="G49" s="1868"/>
      <c r="H49" s="1868"/>
      <c r="I49" s="1869">
        <v>0</v>
      </c>
      <c r="J49" s="1868"/>
      <c r="K49" s="1869">
        <v>0</v>
      </c>
      <c r="L49" s="1871"/>
      <c r="M49" s="1292"/>
    </row>
    <row r="50" spans="1:13" ht="14.25">
      <c r="A50" s="1253"/>
      <c r="B50" s="1243"/>
      <c r="C50" s="1178"/>
      <c r="D50" s="1178"/>
      <c r="E50" s="2183"/>
      <c r="F50" s="2184"/>
      <c r="G50" s="1868"/>
      <c r="H50" s="1868"/>
      <c r="I50" s="1869">
        <v>0</v>
      </c>
      <c r="J50" s="1868"/>
      <c r="K50" s="1869">
        <v>0</v>
      </c>
      <c r="L50" s="1872"/>
      <c r="M50" s="1292"/>
    </row>
    <row r="51" spans="1:13" ht="13.5" thickBot="1">
      <c r="A51" s="1253"/>
      <c r="B51" s="1243"/>
      <c r="C51" s="1178"/>
      <c r="D51" s="1178"/>
      <c r="E51" s="1316" t="s">
        <v>246</v>
      </c>
      <c r="F51" s="1316"/>
      <c r="G51" s="1873">
        <v>2.9072777299999997</v>
      </c>
      <c r="H51" s="1873">
        <v>2.2232603600000003</v>
      </c>
      <c r="I51" s="1873">
        <v>0.68401736999999985</v>
      </c>
      <c r="J51" s="1873">
        <v>0.68322839999999996</v>
      </c>
      <c r="K51" s="1873">
        <v>7.889699999997779E-4</v>
      </c>
      <c r="L51" s="1874"/>
      <c r="M51" s="1292"/>
    </row>
    <row r="52" spans="1:13">
      <c r="A52" s="1253"/>
      <c r="B52" s="1243"/>
      <c r="C52" s="1178"/>
      <c r="D52" s="1178"/>
      <c r="E52" s="1178"/>
      <c r="F52" s="1178"/>
      <c r="G52" s="1253"/>
      <c r="H52" s="1253"/>
      <c r="I52" s="1253"/>
      <c r="J52" s="1295" t="s">
        <v>728</v>
      </c>
      <c r="K52" s="1295" t="s">
        <v>728</v>
      </c>
      <c r="L52" s="1253"/>
      <c r="M52" s="1292"/>
    </row>
    <row r="53" spans="1:13" ht="13.5" thickBot="1">
      <c r="A53" s="1253"/>
      <c r="B53" s="1243"/>
      <c r="C53" s="1178"/>
      <c r="D53" s="1178"/>
      <c r="E53" s="1178"/>
      <c r="F53" s="1178"/>
      <c r="G53" s="1253"/>
      <c r="H53" s="1253"/>
      <c r="I53" s="1253"/>
      <c r="J53" s="1253"/>
      <c r="K53" s="1253"/>
      <c r="L53" s="1253"/>
      <c r="M53" s="1292"/>
    </row>
    <row r="54" spans="1:13" ht="13.5" thickBot="1">
      <c r="A54" s="1253"/>
      <c r="B54" s="1243"/>
      <c r="C54" s="1258" t="s">
        <v>729</v>
      </c>
      <c r="E54" s="1297"/>
      <c r="F54" s="1253"/>
      <c r="G54" s="1288" t="s">
        <v>14</v>
      </c>
      <c r="H54" s="1288" t="s">
        <v>14</v>
      </c>
      <c r="I54" s="1253"/>
      <c r="J54" s="1286"/>
      <c r="K54" s="1286"/>
      <c r="L54" s="1286"/>
      <c r="M54" s="1298"/>
    </row>
    <row r="55" spans="1:13" ht="26.25" thickBot="1">
      <c r="A55" s="1253"/>
      <c r="B55" s="1243"/>
      <c r="C55" s="1178"/>
      <c r="D55" s="1253"/>
      <c r="E55" s="1253"/>
      <c r="F55" s="1253"/>
      <c r="G55" s="1299"/>
      <c r="H55" s="1300" t="s">
        <v>730</v>
      </c>
      <c r="I55" s="1253"/>
      <c r="J55" s="1286"/>
      <c r="K55" s="1286"/>
      <c r="L55" s="1286"/>
      <c r="M55" s="1298"/>
    </row>
    <row r="56" spans="1:13">
      <c r="A56" s="1253"/>
      <c r="B56" s="1243"/>
      <c r="D56" s="1297" t="s">
        <v>731</v>
      </c>
      <c r="F56" s="1253"/>
      <c r="G56" s="1290">
        <v>0</v>
      </c>
      <c r="H56" s="1301">
        <v>0</v>
      </c>
      <c r="I56" s="1253"/>
      <c r="J56" s="1286"/>
      <c r="K56" s="1286"/>
      <c r="L56" s="1286"/>
      <c r="M56" s="1298"/>
    </row>
    <row r="57" spans="1:13" ht="13.5" thickBot="1">
      <c r="A57" s="1253"/>
      <c r="B57" s="1243"/>
      <c r="D57" s="1297" t="s">
        <v>732</v>
      </c>
      <c r="F57" s="1253"/>
      <c r="G57" s="1290">
        <v>0</v>
      </c>
      <c r="H57" s="1302">
        <v>0</v>
      </c>
      <c r="I57" s="1253"/>
      <c r="J57" s="1286"/>
      <c r="K57" s="1286"/>
      <c r="L57" s="1286"/>
      <c r="M57" s="1298"/>
    </row>
    <row r="58" spans="1:13" ht="13.5" thickBot="1">
      <c r="A58" s="1253"/>
      <c r="B58" s="1243"/>
      <c r="C58" s="1178"/>
      <c r="E58" s="1293" t="s">
        <v>733</v>
      </c>
      <c r="F58" s="1253"/>
      <c r="G58" s="1303">
        <v>0</v>
      </c>
      <c r="H58" s="1286"/>
      <c r="I58" s="1253"/>
      <c r="J58" s="1286"/>
      <c r="K58" s="1286"/>
      <c r="L58" s="1286"/>
      <c r="M58" s="1298"/>
    </row>
    <row r="59" spans="1:13" ht="14.25" thickTop="1" thickBot="1">
      <c r="A59" s="1253"/>
      <c r="B59" s="1243"/>
      <c r="C59" s="1178"/>
      <c r="D59" s="1178"/>
      <c r="E59" s="1293"/>
      <c r="F59" s="1253"/>
      <c r="G59" s="1286"/>
      <c r="H59" s="1286"/>
      <c r="I59" s="1253"/>
      <c r="J59" s="1286"/>
      <c r="K59" s="1286"/>
      <c r="L59" s="1286"/>
      <c r="M59" s="1298"/>
    </row>
    <row r="60" spans="1:13" ht="73.5" customHeight="1" thickBot="1">
      <c r="A60" s="1253"/>
      <c r="B60" s="1243"/>
      <c r="C60" s="2177" t="s">
        <v>95</v>
      </c>
      <c r="D60" s="2177"/>
      <c r="E60" s="2177"/>
      <c r="F60" s="1253"/>
      <c r="G60" s="1304" t="s">
        <v>246</v>
      </c>
      <c r="H60" s="1305" t="s">
        <v>96</v>
      </c>
      <c r="I60" s="1305" t="s">
        <v>97</v>
      </c>
      <c r="J60" s="1305" t="s">
        <v>98</v>
      </c>
      <c r="K60" s="1305" t="s">
        <v>99</v>
      </c>
      <c r="L60" s="1286"/>
      <c r="M60" s="1292"/>
    </row>
    <row r="61" spans="1:13" ht="13.5" thickBot="1">
      <c r="A61" s="1253"/>
      <c r="B61" s="1291"/>
      <c r="C61" s="1256"/>
      <c r="D61" s="1258"/>
      <c r="E61" s="1225"/>
      <c r="F61" s="1178"/>
      <c r="G61" s="1288" t="s">
        <v>14</v>
      </c>
      <c r="H61" s="1288" t="s">
        <v>14</v>
      </c>
      <c r="I61" s="1288" t="s">
        <v>14</v>
      </c>
      <c r="J61" s="1288" t="s">
        <v>14</v>
      </c>
      <c r="K61" s="1288" t="s">
        <v>14</v>
      </c>
      <c r="L61" s="1286"/>
      <c r="M61" s="1292"/>
    </row>
    <row r="62" spans="1:13">
      <c r="A62" s="1253"/>
      <c r="B62" s="1291"/>
      <c r="D62" s="2171" t="s">
        <v>100</v>
      </c>
      <c r="E62" s="2171"/>
      <c r="F62" s="2172"/>
      <c r="G62" s="1306">
        <v>0</v>
      </c>
      <c r="H62" s="1307">
        <v>0</v>
      </c>
      <c r="I62" s="1308">
        <v>0</v>
      </c>
      <c r="J62" s="1308">
        <v>0</v>
      </c>
      <c r="K62" s="1309">
        <v>0</v>
      </c>
      <c r="L62" s="1286"/>
      <c r="M62" s="1292"/>
    </row>
    <row r="63" spans="1:13" ht="24.75" customHeight="1" thickBot="1">
      <c r="A63" s="1253"/>
      <c r="B63" s="1291"/>
      <c r="D63" s="2171" t="s">
        <v>176</v>
      </c>
      <c r="E63" s="2171"/>
      <c r="F63" s="2172"/>
      <c r="G63" s="1310">
        <v>0</v>
      </c>
      <c r="H63" s="1311">
        <v>0</v>
      </c>
      <c r="I63" s="1312">
        <v>0</v>
      </c>
      <c r="J63" s="1312">
        <v>0</v>
      </c>
      <c r="K63" s="1313">
        <v>0</v>
      </c>
      <c r="L63" s="1286"/>
      <c r="M63" s="1292"/>
    </row>
    <row r="64" spans="1:13" ht="13.5" thickBot="1">
      <c r="A64" s="1253"/>
      <c r="B64" s="1291"/>
      <c r="C64" s="1256"/>
      <c r="D64" s="1178"/>
      <c r="E64" s="1178"/>
      <c r="F64" s="1178"/>
      <c r="G64" s="1289"/>
      <c r="H64" s="1289"/>
      <c r="I64" s="1286"/>
      <c r="J64" s="1286"/>
      <c r="K64" s="1286"/>
      <c r="L64" s="1286"/>
      <c r="M64" s="1292"/>
    </row>
    <row r="65" spans="1:13" ht="90" thickBot="1">
      <c r="A65" s="1253"/>
      <c r="B65" s="1243"/>
      <c r="C65" s="2177" t="s">
        <v>40</v>
      </c>
      <c r="D65" s="2177"/>
      <c r="E65" s="2177"/>
      <c r="F65" s="1253"/>
      <c r="G65" s="1314" t="s">
        <v>246</v>
      </c>
      <c r="H65" s="1315" t="s">
        <v>753</v>
      </c>
      <c r="I65" s="1315" t="s">
        <v>211</v>
      </c>
      <c r="J65" s="1315" t="s">
        <v>212</v>
      </c>
      <c r="K65" s="1315" t="s">
        <v>213</v>
      </c>
      <c r="L65" s="1315" t="s">
        <v>214</v>
      </c>
      <c r="M65" s="1292"/>
    </row>
    <row r="66" spans="1:13" ht="13.5" thickBot="1">
      <c r="A66" s="1253"/>
      <c r="B66" s="1243"/>
      <c r="C66" s="1178"/>
      <c r="D66" s="1297"/>
      <c r="E66" s="1253"/>
      <c r="F66" s="1253"/>
      <c r="G66" s="1288" t="s">
        <v>14</v>
      </c>
      <c r="H66" s="1288" t="s">
        <v>14</v>
      </c>
      <c r="I66" s="1288" t="s">
        <v>14</v>
      </c>
      <c r="J66" s="1288" t="s">
        <v>14</v>
      </c>
      <c r="K66" s="1288" t="s">
        <v>14</v>
      </c>
      <c r="L66" s="1288" t="s">
        <v>14</v>
      </c>
      <c r="M66" s="1292"/>
    </row>
    <row r="67" spans="1:13">
      <c r="A67" s="1253"/>
      <c r="B67" s="1243"/>
      <c r="D67" s="1275" t="s">
        <v>215</v>
      </c>
      <c r="F67" s="1253"/>
      <c r="G67" s="1875">
        <v>0.72593800000000008</v>
      </c>
      <c r="H67" s="1876">
        <v>0.51738600000000001</v>
      </c>
      <c r="I67" s="1877">
        <v>9.9901999999999991E-2</v>
      </c>
      <c r="J67" s="1877">
        <v>0.10865</v>
      </c>
      <c r="K67" s="1878"/>
      <c r="L67" s="1879"/>
      <c r="M67" s="1292"/>
    </row>
    <row r="68" spans="1:13">
      <c r="A68" s="1253"/>
      <c r="B68" s="1243"/>
      <c r="D68" s="1297" t="s">
        <v>107</v>
      </c>
      <c r="F68" s="1253"/>
      <c r="G68" s="1875">
        <v>0</v>
      </c>
      <c r="H68" s="1876"/>
      <c r="I68" s="1877"/>
      <c r="J68" s="1877"/>
      <c r="K68" s="1878"/>
      <c r="L68" s="1879"/>
      <c r="M68" s="1292"/>
    </row>
    <row r="69" spans="1:13">
      <c r="A69" s="1253"/>
      <c r="B69" s="1243"/>
      <c r="D69" s="1297" t="s">
        <v>108</v>
      </c>
      <c r="F69" s="1253"/>
      <c r="G69" s="1875">
        <v>0</v>
      </c>
      <c r="H69" s="1876"/>
      <c r="I69" s="1877"/>
      <c r="J69" s="1877"/>
      <c r="K69" s="1878"/>
      <c r="L69" s="1879"/>
      <c r="M69" s="1292"/>
    </row>
    <row r="70" spans="1:13">
      <c r="A70" s="1253"/>
      <c r="B70" s="1243"/>
      <c r="D70" s="1297" t="s">
        <v>109</v>
      </c>
      <c r="F70" s="1253"/>
      <c r="G70" s="1875">
        <v>0</v>
      </c>
      <c r="H70" s="1880"/>
      <c r="I70" s="1881"/>
      <c r="J70" s="1881"/>
      <c r="K70" s="1882"/>
      <c r="L70" s="1883"/>
      <c r="M70" s="1292"/>
    </row>
    <row r="71" spans="1:13" ht="13.5" thickBot="1">
      <c r="A71" s="1253"/>
      <c r="B71" s="1243"/>
      <c r="C71" s="1178"/>
      <c r="D71" s="1178"/>
      <c r="E71" s="1293" t="s">
        <v>110</v>
      </c>
      <c r="F71" s="1253"/>
      <c r="G71" s="1884">
        <v>0.72593800000000008</v>
      </c>
      <c r="H71" s="1884">
        <v>0.51738600000000001</v>
      </c>
      <c r="I71" s="1884">
        <v>9.9901999999999991E-2</v>
      </c>
      <c r="J71" s="1884">
        <v>0.10865</v>
      </c>
      <c r="K71" s="1884">
        <v>0</v>
      </c>
      <c r="L71" s="1884">
        <v>0</v>
      </c>
      <c r="M71" s="1292"/>
    </row>
    <row r="72" spans="1:13" ht="13.5" thickBot="1">
      <c r="A72" s="1253"/>
      <c r="B72" s="1317"/>
      <c r="C72" s="1318"/>
      <c r="D72" s="1318"/>
      <c r="E72" s="1319"/>
      <c r="F72" s="1320"/>
      <c r="G72" s="1319"/>
      <c r="H72" s="1321"/>
      <c r="I72" s="1322"/>
      <c r="J72" s="1322"/>
      <c r="K72" s="1322"/>
      <c r="L72" s="1322"/>
      <c r="M72" s="1323"/>
    </row>
    <row r="73" spans="1:13" ht="13.5" thickBot="1">
      <c r="A73" s="1253"/>
      <c r="B73" s="1253"/>
      <c r="C73" s="1320"/>
      <c r="D73" s="1253"/>
      <c r="E73" s="1253"/>
      <c r="F73" s="1253"/>
      <c r="G73" s="1286"/>
      <c r="H73" s="1286"/>
      <c r="I73" s="1286"/>
      <c r="J73" s="1286"/>
      <c r="K73" s="1286"/>
      <c r="L73" s="1286"/>
      <c r="M73" s="1253"/>
    </row>
    <row r="74" spans="1:13">
      <c r="A74" s="1253"/>
      <c r="B74" s="1257"/>
      <c r="C74" s="1258" t="s">
        <v>111</v>
      </c>
      <c r="D74" s="1260"/>
      <c r="E74" s="1324"/>
      <c r="F74" s="1260"/>
      <c r="G74" s="1285"/>
      <c r="H74" s="1285"/>
      <c r="I74" s="1284"/>
      <c r="J74" s="1284"/>
      <c r="K74" s="1284"/>
      <c r="L74" s="1284"/>
      <c r="M74" s="1325"/>
    </row>
    <row r="75" spans="1:13" ht="13.5" thickBot="1">
      <c r="A75" s="1253"/>
      <c r="B75" s="1263"/>
      <c r="C75" s="1296"/>
      <c r="D75" s="1252"/>
      <c r="E75" s="1270"/>
      <c r="F75" s="1252"/>
      <c r="G75" s="1273"/>
      <c r="H75" s="1273"/>
      <c r="I75" s="1286"/>
      <c r="J75" s="1286"/>
      <c r="K75" s="1286"/>
      <c r="L75" s="1286"/>
      <c r="M75" s="1292"/>
    </row>
    <row r="76" spans="1:13" ht="90" customHeight="1" thickBot="1">
      <c r="A76" s="1253"/>
      <c r="B76" s="1243"/>
      <c r="C76" s="2177" t="s">
        <v>94</v>
      </c>
      <c r="D76" s="2177"/>
      <c r="E76" s="2177"/>
      <c r="F76" s="2178"/>
      <c r="G76" s="1314" t="s">
        <v>246</v>
      </c>
      <c r="H76" s="1315" t="s">
        <v>753</v>
      </c>
      <c r="I76" s="1315" t="s">
        <v>211</v>
      </c>
      <c r="J76" s="1315" t="s">
        <v>212</v>
      </c>
      <c r="K76" s="1315" t="s">
        <v>213</v>
      </c>
      <c r="L76" s="1315" t="s">
        <v>214</v>
      </c>
      <c r="M76" s="1292"/>
    </row>
    <row r="77" spans="1:13" ht="13.5" thickBot="1">
      <c r="A77" s="1253"/>
      <c r="B77" s="1243"/>
      <c r="C77" s="1178"/>
      <c r="D77" s="1297"/>
      <c r="E77" s="1253"/>
      <c r="F77" s="1253"/>
      <c r="G77" s="1288" t="s">
        <v>14</v>
      </c>
      <c r="H77" s="1288" t="s">
        <v>14</v>
      </c>
      <c r="I77" s="1288" t="s">
        <v>14</v>
      </c>
      <c r="J77" s="1288" t="s">
        <v>14</v>
      </c>
      <c r="K77" s="1288" t="s">
        <v>14</v>
      </c>
      <c r="L77" s="1288" t="s">
        <v>14</v>
      </c>
      <c r="M77" s="1292"/>
    </row>
    <row r="78" spans="1:13">
      <c r="A78" s="1253"/>
      <c r="B78" s="1243"/>
      <c r="C78" s="1178"/>
      <c r="D78" s="1178" t="s">
        <v>107</v>
      </c>
      <c r="E78" s="1178"/>
      <c r="G78" s="1326">
        <v>0</v>
      </c>
      <c r="H78" s="1327"/>
      <c r="I78" s="1328"/>
      <c r="J78" s="1328"/>
      <c r="K78" s="1329"/>
      <c r="L78" s="1330"/>
      <c r="M78" s="1292"/>
    </row>
    <row r="79" spans="1:13">
      <c r="A79" s="1253"/>
      <c r="B79" s="1243"/>
      <c r="C79" s="1178"/>
      <c r="D79" s="1178" t="s">
        <v>108</v>
      </c>
      <c r="E79" s="1178"/>
      <c r="G79" s="1326">
        <v>0</v>
      </c>
      <c r="H79" s="1327"/>
      <c r="I79" s="1328"/>
      <c r="J79" s="1328"/>
      <c r="K79" s="1329"/>
      <c r="L79" s="1330"/>
      <c r="M79" s="1292"/>
    </row>
    <row r="80" spans="1:13">
      <c r="A80" s="1253"/>
      <c r="B80" s="1243"/>
      <c r="C80" s="1178"/>
      <c r="D80" s="1178" t="s">
        <v>109</v>
      </c>
      <c r="E80" s="1178"/>
      <c r="G80" s="1326">
        <v>0</v>
      </c>
      <c r="H80" s="1331"/>
      <c r="I80" s="1332"/>
      <c r="J80" s="1332"/>
      <c r="K80" s="1333"/>
      <c r="L80" s="1334"/>
      <c r="M80" s="1292"/>
    </row>
    <row r="81" spans="1:13" ht="13.5" thickBot="1">
      <c r="A81" s="1253"/>
      <c r="B81" s="1243"/>
      <c r="C81" s="1178"/>
      <c r="D81" s="1178"/>
      <c r="F81" s="1368" t="s">
        <v>246</v>
      </c>
      <c r="G81" s="1335">
        <v>0</v>
      </c>
      <c r="H81" s="1335">
        <v>0</v>
      </c>
      <c r="I81" s="1335">
        <v>0</v>
      </c>
      <c r="J81" s="1335">
        <v>0</v>
      </c>
      <c r="K81" s="1335">
        <v>0</v>
      </c>
      <c r="L81" s="1335">
        <v>0</v>
      </c>
      <c r="M81" s="1292"/>
    </row>
    <row r="82" spans="1:13" ht="13.5" thickBot="1">
      <c r="A82" s="1253"/>
      <c r="B82" s="1243"/>
      <c r="C82" s="1178"/>
      <c r="D82" s="1178"/>
      <c r="E82" s="1297"/>
      <c r="F82" s="1253"/>
      <c r="G82" s="1336"/>
      <c r="H82" s="1336"/>
      <c r="I82" s="1286"/>
      <c r="J82" s="1286"/>
      <c r="K82" s="1286"/>
      <c r="L82" s="1286"/>
      <c r="M82" s="1292"/>
    </row>
    <row r="83" spans="1:13" ht="27" customHeight="1" thickBot="1">
      <c r="A83" s="1253"/>
      <c r="B83" s="1243"/>
      <c r="C83" s="2181" t="s">
        <v>187</v>
      </c>
      <c r="D83" s="2181"/>
      <c r="E83" s="2181"/>
      <c r="F83" s="2182"/>
      <c r="G83" s="1338">
        <v>0</v>
      </c>
      <c r="H83" s="1339"/>
      <c r="I83" s="1340">
        <v>0</v>
      </c>
      <c r="J83" s="1339"/>
      <c r="K83" s="1341"/>
      <c r="L83" s="1342"/>
      <c r="M83" s="1292"/>
    </row>
    <row r="84" spans="1:13" ht="13.5" thickBot="1">
      <c r="A84" s="1253"/>
      <c r="B84" s="1317"/>
      <c r="C84" s="1318"/>
      <c r="D84" s="1318"/>
      <c r="E84" s="1343"/>
      <c r="F84" s="1320"/>
      <c r="G84" s="1344"/>
      <c r="H84" s="1345"/>
      <c r="I84" s="1344"/>
      <c r="J84" s="1344"/>
      <c r="K84" s="1344"/>
      <c r="L84" s="1344"/>
      <c r="M84" s="1346"/>
    </row>
    <row r="85" spans="1:13" ht="13.5" thickBot="1">
      <c r="A85" s="1297"/>
      <c r="B85" s="1297"/>
      <c r="C85" s="1299"/>
      <c r="D85" s="1178"/>
      <c r="E85" s="1297"/>
      <c r="F85" s="1253"/>
      <c r="G85" s="1286"/>
      <c r="H85" s="1336"/>
      <c r="I85" s="1286"/>
      <c r="J85" s="1286"/>
      <c r="K85" s="1286"/>
      <c r="L85" s="1286"/>
      <c r="M85" s="1253"/>
    </row>
    <row r="86" spans="1:13" ht="13.5" thickBot="1">
      <c r="A86" s="1253"/>
      <c r="B86" s="1347"/>
      <c r="C86" s="1282" t="s">
        <v>175</v>
      </c>
      <c r="D86" s="1348"/>
      <c r="E86" s="1349"/>
      <c r="F86" s="1350"/>
      <c r="G86" s="1351"/>
      <c r="H86" s="1351"/>
      <c r="I86" s="1352"/>
      <c r="J86" s="1286"/>
      <c r="K86" s="1286"/>
      <c r="L86" s="1286"/>
      <c r="M86" s="1253"/>
    </row>
    <row r="87" spans="1:13" ht="13.5" thickBot="1">
      <c r="A87" s="1253"/>
      <c r="B87" s="1243"/>
      <c r="C87" s="1178"/>
      <c r="D87" s="1178"/>
      <c r="E87" s="1293"/>
      <c r="F87" s="1253"/>
      <c r="G87" s="1288" t="s">
        <v>14</v>
      </c>
      <c r="H87" s="1336"/>
      <c r="I87" s="1298"/>
      <c r="J87" s="1286"/>
      <c r="K87" s="1286"/>
      <c r="L87" s="1286"/>
      <c r="M87" s="1253"/>
    </row>
    <row r="88" spans="1:13" ht="29.25" customHeight="1" thickBot="1">
      <c r="A88" s="1253"/>
      <c r="B88" s="1243"/>
      <c r="C88" s="2177" t="s">
        <v>664</v>
      </c>
      <c r="D88" s="2177"/>
      <c r="E88" s="2177"/>
      <c r="F88" s="2178"/>
      <c r="G88" s="1367"/>
      <c r="H88" s="1286"/>
      <c r="I88" s="1298"/>
      <c r="J88" s="1286"/>
      <c r="K88" s="1286"/>
      <c r="L88" s="1286"/>
      <c r="M88" s="1253"/>
    </row>
    <row r="89" spans="1:13" ht="27" customHeight="1" thickBot="1">
      <c r="A89" s="1253"/>
      <c r="B89" s="1243"/>
      <c r="C89" s="2177" t="s">
        <v>920</v>
      </c>
      <c r="D89" s="2177"/>
      <c r="E89" s="2177"/>
      <c r="F89" s="2178"/>
      <c r="G89" s="1353">
        <v>0</v>
      </c>
      <c r="H89" s="1286"/>
      <c r="I89" s="1298"/>
      <c r="J89" s="1286"/>
      <c r="K89" s="1286"/>
      <c r="L89" s="1286"/>
      <c r="M89" s="1253"/>
    </row>
    <row r="90" spans="1:13" ht="13.5" thickBot="1">
      <c r="A90" s="1253"/>
      <c r="B90" s="1243"/>
      <c r="C90" s="1178"/>
      <c r="D90" s="1178"/>
      <c r="E90" s="1297"/>
      <c r="F90" s="1253"/>
      <c r="G90" s="1286"/>
      <c r="H90" s="1286"/>
      <c r="I90" s="1298"/>
      <c r="J90" s="1286"/>
      <c r="K90" s="1286"/>
      <c r="L90" s="1286"/>
      <c r="M90" s="1253"/>
    </row>
    <row r="91" spans="1:13" ht="13.5" thickBot="1">
      <c r="A91" s="1253"/>
      <c r="B91" s="1243"/>
      <c r="C91" s="1178"/>
      <c r="D91" s="1178"/>
      <c r="E91" s="1337"/>
      <c r="F91" s="1253"/>
      <c r="G91" s="1288" t="s">
        <v>14</v>
      </c>
      <c r="H91" s="1288" t="s">
        <v>177</v>
      </c>
      <c r="I91" s="1354"/>
      <c r="J91" s="1355"/>
      <c r="K91" s="1355"/>
      <c r="L91" s="1286"/>
      <c r="M91" s="1253"/>
    </row>
    <row r="92" spans="1:13" ht="13.5" thickBot="1">
      <c r="A92" s="1253"/>
      <c r="B92" s="1243"/>
      <c r="C92" s="1258" t="s">
        <v>190</v>
      </c>
      <c r="E92" s="1253"/>
      <c r="F92" s="1253"/>
      <c r="G92" s="1356"/>
      <c r="H92" s="1357"/>
      <c r="I92" s="1358"/>
      <c r="J92" s="1359"/>
      <c r="K92" s="1359"/>
      <c r="L92" s="1286"/>
      <c r="M92" s="1253"/>
    </row>
    <row r="93" spans="1:13" ht="14.25" thickTop="1" thickBot="1">
      <c r="A93" s="1253"/>
      <c r="B93" s="1291"/>
      <c r="C93" s="1253"/>
      <c r="D93" s="1360"/>
      <c r="E93" s="1253"/>
      <c r="F93" s="1253"/>
      <c r="G93" s="1253"/>
      <c r="H93" s="1253"/>
      <c r="I93" s="1358"/>
      <c r="J93" s="1361"/>
      <c r="K93" s="1361"/>
      <c r="L93" s="1286"/>
      <c r="M93" s="1253"/>
    </row>
    <row r="94" spans="1:13" ht="27.75" customHeight="1" thickBot="1">
      <c r="A94" s="1253"/>
      <c r="B94" s="1243"/>
      <c r="C94" s="2177" t="s">
        <v>191</v>
      </c>
      <c r="D94" s="2177"/>
      <c r="E94" s="2177"/>
      <c r="F94" s="2178"/>
      <c r="G94" s="1288" t="s">
        <v>14</v>
      </c>
      <c r="H94" s="1288" t="s">
        <v>177</v>
      </c>
      <c r="I94" s="1362"/>
      <c r="J94" s="1361"/>
      <c r="K94" s="1361"/>
      <c r="L94" s="1286"/>
      <c r="M94" s="1253"/>
    </row>
    <row r="95" spans="1:13">
      <c r="A95" s="1253"/>
      <c r="B95" s="1243"/>
      <c r="C95" s="1178"/>
      <c r="D95" s="1297" t="s">
        <v>240</v>
      </c>
      <c r="F95" s="1253"/>
      <c r="G95" s="1290">
        <v>0</v>
      </c>
      <c r="H95" s="1290">
        <v>0</v>
      </c>
      <c r="I95" s="1358"/>
      <c r="J95" s="1359"/>
      <c r="K95" s="1359"/>
      <c r="L95" s="1286"/>
      <c r="M95" s="1253"/>
    </row>
    <row r="96" spans="1:13">
      <c r="A96" s="1253"/>
      <c r="B96" s="1243"/>
      <c r="C96" s="1178"/>
      <c r="D96" s="1297" t="s">
        <v>239</v>
      </c>
      <c r="F96" s="1253"/>
      <c r="G96" s="1290">
        <v>0</v>
      </c>
      <c r="H96" s="1290"/>
      <c r="I96" s="1358"/>
      <c r="J96" s="1359"/>
      <c r="K96" s="1359"/>
      <c r="L96" s="1286"/>
      <c r="M96" s="1253"/>
    </row>
    <row r="97" spans="1:13" ht="13.5" thickBot="1">
      <c r="A97" s="1253"/>
      <c r="B97" s="1243"/>
      <c r="C97" s="1178"/>
      <c r="D97" s="1297" t="s">
        <v>192</v>
      </c>
      <c r="F97" s="1253"/>
      <c r="G97" s="1290">
        <v>0</v>
      </c>
      <c r="H97" s="1302">
        <v>0</v>
      </c>
      <c r="I97" s="1358"/>
      <c r="J97" s="1359"/>
      <c r="K97" s="1359"/>
      <c r="L97" s="1286"/>
      <c r="M97" s="1253"/>
    </row>
    <row r="98" spans="1:13" ht="26.25" customHeight="1">
      <c r="A98" s="1253"/>
      <c r="B98" s="1243"/>
      <c r="C98" s="1178"/>
      <c r="D98" s="2179" t="s">
        <v>193</v>
      </c>
      <c r="E98" s="2179"/>
      <c r="F98" s="2180"/>
      <c r="G98" s="1363">
        <v>0</v>
      </c>
      <c r="H98" s="1364"/>
      <c r="I98" s="1358"/>
      <c r="J98" s="1359"/>
      <c r="K98" s="1361"/>
      <c r="L98" s="1286"/>
      <c r="M98" s="1253"/>
    </row>
    <row r="99" spans="1:13" ht="13.5" thickBot="1">
      <c r="A99" s="1253"/>
      <c r="B99" s="1243"/>
      <c r="C99" s="2175" t="s">
        <v>178</v>
      </c>
      <c r="D99" s="2175"/>
      <c r="E99" s="2175"/>
      <c r="F99" s="2176"/>
      <c r="G99" s="1303">
        <v>0</v>
      </c>
      <c r="H99" s="1303"/>
      <c r="I99" s="1365"/>
      <c r="J99" s="1366"/>
      <c r="K99" s="1366"/>
      <c r="L99" s="1286"/>
      <c r="M99" s="1253"/>
    </row>
    <row r="100" spans="1:13" ht="14.25" thickTop="1" thickBot="1">
      <c r="A100" s="1253"/>
      <c r="B100" s="1317"/>
      <c r="C100" s="1318"/>
      <c r="D100" s="1318"/>
      <c r="E100" s="1318"/>
      <c r="F100" s="1318"/>
      <c r="G100" s="1320"/>
      <c r="H100" s="1320"/>
      <c r="I100" s="1346"/>
      <c r="J100" s="1253"/>
      <c r="K100" s="1253"/>
      <c r="L100" s="1253"/>
      <c r="M100" s="1253"/>
    </row>
    <row r="101" spans="1:13">
      <c r="A101" s="1253"/>
      <c r="B101" s="1165"/>
      <c r="C101" s="1165"/>
      <c r="D101" s="1165"/>
      <c r="E101" s="1165"/>
      <c r="F101" s="1165"/>
      <c r="G101" s="1253"/>
      <c r="H101" s="1253"/>
      <c r="I101" s="1253"/>
      <c r="J101" s="1253"/>
      <c r="K101" s="1253"/>
      <c r="L101" s="1253"/>
      <c r="M101" s="1253"/>
    </row>
  </sheetData>
  <mergeCells count="32">
    <mergeCell ref="E49:F49"/>
    <mergeCell ref="E44:F44"/>
    <mergeCell ref="E45:F45"/>
    <mergeCell ref="E46:F46"/>
    <mergeCell ref="E47:F47"/>
    <mergeCell ref="E48:F48"/>
    <mergeCell ref="E39:F39"/>
    <mergeCell ref="E40:F40"/>
    <mergeCell ref="E41:F41"/>
    <mergeCell ref="E42:F42"/>
    <mergeCell ref="E43:F43"/>
    <mergeCell ref="L36:L37"/>
    <mergeCell ref="D17:F17"/>
    <mergeCell ref="D21:F21"/>
    <mergeCell ref="D22:F22"/>
    <mergeCell ref="E36:F36"/>
    <mergeCell ref="D63:F63"/>
    <mergeCell ref="D15:F15"/>
    <mergeCell ref="C25:F25"/>
    <mergeCell ref="C99:F99"/>
    <mergeCell ref="C89:F89"/>
    <mergeCell ref="C88:F88"/>
    <mergeCell ref="C94:F94"/>
    <mergeCell ref="D98:F98"/>
    <mergeCell ref="C76:F76"/>
    <mergeCell ref="C83:F83"/>
    <mergeCell ref="C60:E60"/>
    <mergeCell ref="C65:E65"/>
    <mergeCell ref="D62:F62"/>
    <mergeCell ref="E50:F50"/>
    <mergeCell ref="E37:F37"/>
    <mergeCell ref="E38:F38"/>
  </mergeCells>
  <phoneticPr fontId="0" type="noConversion"/>
  <dataValidations count="2">
    <dataValidation type="decimal" operator="lessThanOrEqual" allowBlank="1" showInputMessage="1" showErrorMessage="1" sqref="G32:G33">
      <formula1>0</formula1>
    </dataValidation>
    <dataValidation type="decimal" operator="greaterThanOrEqual" allowBlank="1" showInputMessage="1" showErrorMessage="1" sqref="J38:J41 G38:H41">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zoomScale="80" workbookViewId="0">
      <selection activeCell="G9" sqref="G9:G73"/>
    </sheetView>
  </sheetViews>
  <sheetFormatPr defaultColWidth="8.85546875" defaultRowHeight="10.5"/>
  <cols>
    <col min="1" max="1" width="8.140625" style="579" customWidth="1"/>
    <col min="2" max="2" width="15.42578125" style="579" customWidth="1"/>
    <col min="3" max="3" width="48.7109375" style="579" bestFit="1" customWidth="1"/>
    <col min="4" max="4" width="16.140625" style="579" customWidth="1"/>
    <col min="5" max="10" width="11" style="579" customWidth="1"/>
    <col min="11" max="16384" width="8.85546875" style="579"/>
  </cols>
  <sheetData>
    <row r="1" spans="1:10" ht="12.75" customHeight="1">
      <c r="A1" s="1374" t="s">
        <v>16</v>
      </c>
      <c r="B1" s="498"/>
      <c r="C1" s="498"/>
      <c r="D1" s="498"/>
      <c r="E1" s="498"/>
      <c r="F1" s="516" t="s">
        <v>216</v>
      </c>
      <c r="G1" s="498"/>
      <c r="H1" s="498"/>
      <c r="I1" s="498"/>
    </row>
    <row r="2" spans="1:10" s="580" customFormat="1" ht="12.75">
      <c r="A2" s="499"/>
      <c r="B2" s="500"/>
      <c r="C2" s="500"/>
      <c r="D2" s="500"/>
      <c r="E2" s="500"/>
      <c r="F2" s="500"/>
      <c r="G2" s="500"/>
      <c r="H2" s="500"/>
      <c r="I2" s="500"/>
    </row>
    <row r="3" spans="1:10" ht="15">
      <c r="A3" s="1374" t="s">
        <v>29</v>
      </c>
      <c r="B3" s="498"/>
      <c r="C3" s="498"/>
      <c r="D3" s="498"/>
      <c r="E3" s="498"/>
      <c r="F3" s="498"/>
      <c r="G3" s="498"/>
      <c r="H3" s="498"/>
      <c r="I3" s="498"/>
    </row>
    <row r="4" spans="1:10" ht="12.75">
      <c r="A4" s="497"/>
      <c r="B4" s="498"/>
      <c r="C4" s="498"/>
      <c r="D4" s="498"/>
      <c r="E4" s="498"/>
      <c r="F4" s="498"/>
      <c r="G4" s="498"/>
      <c r="H4" s="498"/>
      <c r="I4" s="498"/>
    </row>
    <row r="5" spans="1:10" ht="20.25">
      <c r="A5" s="2194" t="s">
        <v>30</v>
      </c>
      <c r="B5" s="2194"/>
      <c r="C5" s="2194"/>
      <c r="D5" s="474"/>
      <c r="E5" s="475"/>
      <c r="F5" s="475"/>
      <c r="G5" s="475"/>
    </row>
    <row r="6" spans="1:10" ht="15" thickBot="1">
      <c r="A6" s="476"/>
      <c r="B6" s="476"/>
      <c r="C6" s="371"/>
      <c r="D6" s="371"/>
      <c r="E6" s="477"/>
      <c r="F6" s="477"/>
      <c r="G6" s="477"/>
    </row>
    <row r="7" spans="1:10" ht="15.75" thickBot="1">
      <c r="A7" s="476"/>
      <c r="B7" s="476"/>
      <c r="C7" s="478"/>
      <c r="D7" s="479" t="s">
        <v>31</v>
      </c>
      <c r="E7" s="479" t="s">
        <v>32</v>
      </c>
      <c r="F7" s="479" t="s">
        <v>33</v>
      </c>
      <c r="G7" s="479" t="s">
        <v>29</v>
      </c>
      <c r="H7" s="479" t="s">
        <v>34</v>
      </c>
      <c r="I7" s="1373" t="s">
        <v>35</v>
      </c>
      <c r="J7" s="1373" t="s">
        <v>118</v>
      </c>
    </row>
    <row r="8" spans="1:10" ht="15">
      <c r="A8" s="476"/>
      <c r="B8" s="476"/>
      <c r="C8" s="480" t="s">
        <v>229</v>
      </c>
      <c r="D8" s="481"/>
      <c r="E8" s="2195" t="s">
        <v>230</v>
      </c>
      <c r="F8" s="2196"/>
      <c r="G8" s="2196"/>
      <c r="H8" s="2197" t="s">
        <v>162</v>
      </c>
      <c r="I8" s="2198"/>
      <c r="J8" s="2199"/>
    </row>
    <row r="9" spans="1:10" ht="14.25">
      <c r="A9" s="476"/>
      <c r="B9" s="476"/>
      <c r="C9" s="482" t="s">
        <v>163</v>
      </c>
      <c r="D9" s="483" t="s">
        <v>164</v>
      </c>
      <c r="E9" s="484"/>
      <c r="F9" s="485"/>
      <c r="G9" s="486">
        <v>2434837</v>
      </c>
      <c r="H9" s="484"/>
      <c r="I9" s="485"/>
      <c r="J9" s="1375"/>
    </row>
    <row r="10" spans="1:10" ht="14.25">
      <c r="A10" s="476"/>
      <c r="B10" s="476"/>
      <c r="C10" s="482" t="s">
        <v>165</v>
      </c>
      <c r="D10" s="483" t="s">
        <v>166</v>
      </c>
      <c r="E10" s="484"/>
      <c r="F10" s="485"/>
      <c r="G10" s="486">
        <v>2920359</v>
      </c>
      <c r="H10" s="484"/>
      <c r="I10" s="485"/>
      <c r="J10" s="1375"/>
    </row>
    <row r="11" spans="1:10" ht="14.25">
      <c r="A11" s="476"/>
      <c r="B11" s="476"/>
      <c r="C11" s="482" t="s">
        <v>47</v>
      </c>
      <c r="D11" s="483" t="s">
        <v>48</v>
      </c>
      <c r="E11" s="484"/>
      <c r="F11" s="485"/>
      <c r="G11" s="486">
        <v>270558581</v>
      </c>
      <c r="H11" s="484"/>
      <c r="I11" s="485"/>
      <c r="J11" s="1375"/>
    </row>
    <row r="12" spans="1:10" ht="15.75" thickBot="1">
      <c r="A12" s="476"/>
      <c r="B12" s="476"/>
      <c r="C12" s="482"/>
      <c r="D12" s="487"/>
      <c r="E12" s="488"/>
      <c r="F12" s="489"/>
      <c r="G12" s="489"/>
      <c r="H12" s="488"/>
      <c r="I12" s="489"/>
      <c r="J12" s="1376"/>
    </row>
    <row r="13" spans="1:10" ht="15">
      <c r="A13" s="476"/>
      <c r="B13" s="476"/>
      <c r="C13" s="490" t="s">
        <v>234</v>
      </c>
      <c r="D13" s="481"/>
      <c r="E13" s="491"/>
      <c r="F13" s="477"/>
      <c r="G13" s="477"/>
      <c r="J13" s="1377"/>
    </row>
    <row r="14" spans="1:10" ht="14.25">
      <c r="A14" s="476"/>
      <c r="B14" s="476"/>
      <c r="C14" s="492"/>
      <c r="D14" s="483"/>
      <c r="E14" s="491"/>
      <c r="F14" s="477"/>
      <c r="G14" s="477"/>
      <c r="J14" s="1377"/>
    </row>
    <row r="15" spans="1:10" ht="14.25">
      <c r="A15" s="476"/>
      <c r="B15" s="476"/>
      <c r="C15" s="493" t="s">
        <v>235</v>
      </c>
      <c r="D15" s="483"/>
      <c r="E15" s="491"/>
      <c r="F15" s="477"/>
      <c r="G15" s="477"/>
      <c r="J15" s="1377"/>
    </row>
    <row r="16" spans="1:10" ht="14.25">
      <c r="A16" s="476"/>
      <c r="B16" s="476"/>
      <c r="C16" s="493" t="s">
        <v>236</v>
      </c>
      <c r="D16" s="483"/>
      <c r="E16" s="491"/>
      <c r="F16" s="477"/>
      <c r="G16" s="477"/>
      <c r="J16" s="1377"/>
    </row>
    <row r="17" spans="1:10" ht="14.25">
      <c r="A17" s="476"/>
      <c r="B17" s="476"/>
      <c r="C17" s="492" t="s">
        <v>237</v>
      </c>
      <c r="D17" s="483" t="s">
        <v>238</v>
      </c>
      <c r="E17" s="484"/>
      <c r="F17" s="485"/>
      <c r="G17" s="486">
        <v>0</v>
      </c>
      <c r="H17" s="484"/>
      <c r="I17" s="485"/>
      <c r="J17" s="1375"/>
    </row>
    <row r="18" spans="1:10" ht="14.25">
      <c r="A18" s="476"/>
      <c r="B18" s="476"/>
      <c r="C18" s="492" t="s">
        <v>239</v>
      </c>
      <c r="D18" s="483" t="s">
        <v>238</v>
      </c>
      <c r="E18" s="484"/>
      <c r="F18" s="485"/>
      <c r="G18" s="486">
        <v>20</v>
      </c>
      <c r="H18" s="484"/>
      <c r="I18" s="485"/>
      <c r="J18" s="1375"/>
    </row>
    <row r="19" spans="1:10" ht="14.25">
      <c r="A19" s="476"/>
      <c r="B19" s="476"/>
      <c r="C19" s="492" t="s">
        <v>240</v>
      </c>
      <c r="D19" s="483" t="s">
        <v>238</v>
      </c>
      <c r="E19" s="484"/>
      <c r="F19" s="485"/>
      <c r="G19" s="486">
        <v>20219</v>
      </c>
      <c r="H19" s="484"/>
      <c r="I19" s="485"/>
      <c r="J19" s="1375"/>
    </row>
    <row r="20" spans="1:10" ht="14.25">
      <c r="A20" s="476"/>
      <c r="B20" s="476"/>
      <c r="C20" s="492" t="s">
        <v>241</v>
      </c>
      <c r="D20" s="483" t="s">
        <v>238</v>
      </c>
      <c r="E20" s="484"/>
      <c r="F20" s="485"/>
      <c r="G20" s="486">
        <v>9</v>
      </c>
      <c r="H20" s="484"/>
      <c r="I20" s="485"/>
      <c r="J20" s="1375"/>
    </row>
    <row r="21" spans="1:10" ht="14.25">
      <c r="A21" s="476"/>
      <c r="B21" s="476"/>
      <c r="C21" s="492"/>
      <c r="D21" s="483"/>
      <c r="E21" s="491"/>
      <c r="F21" s="477"/>
      <c r="G21" s="477"/>
      <c r="H21" s="491"/>
      <c r="I21" s="477"/>
      <c r="J21" s="1378"/>
    </row>
    <row r="22" spans="1:10" ht="14.25">
      <c r="A22" s="476"/>
      <c r="B22" s="476"/>
      <c r="C22" s="493" t="s">
        <v>242</v>
      </c>
      <c r="D22" s="483"/>
      <c r="E22" s="491"/>
      <c r="F22" s="477"/>
      <c r="G22" s="477"/>
      <c r="H22" s="491"/>
      <c r="I22" s="477"/>
      <c r="J22" s="1378"/>
    </row>
    <row r="23" spans="1:10" ht="14.25">
      <c r="A23" s="476"/>
      <c r="B23" s="476"/>
      <c r="C23" s="492" t="s">
        <v>243</v>
      </c>
      <c r="D23" s="483" t="s">
        <v>244</v>
      </c>
      <c r="E23" s="484"/>
      <c r="F23" s="485"/>
      <c r="G23" s="486">
        <v>0</v>
      </c>
      <c r="H23" s="484"/>
      <c r="I23" s="485"/>
      <c r="J23" s="1375"/>
    </row>
    <row r="24" spans="1:10" ht="14.25">
      <c r="A24" s="476"/>
      <c r="B24" s="476"/>
      <c r="C24" s="492" t="s">
        <v>245</v>
      </c>
      <c r="D24" s="483" t="s">
        <v>244</v>
      </c>
      <c r="E24" s="484"/>
      <c r="F24" s="485"/>
      <c r="G24" s="486">
        <v>65</v>
      </c>
      <c r="H24" s="484"/>
      <c r="I24" s="485"/>
      <c r="J24" s="1375"/>
    </row>
    <row r="25" spans="1:10" ht="14.25">
      <c r="A25" s="476"/>
      <c r="B25" s="476"/>
      <c r="C25" s="492" t="s">
        <v>239</v>
      </c>
      <c r="D25" s="483" t="s">
        <v>244</v>
      </c>
      <c r="E25" s="484"/>
      <c r="F25" s="485"/>
      <c r="G25" s="486">
        <v>95.1</v>
      </c>
      <c r="H25" s="484"/>
      <c r="I25" s="485"/>
      <c r="J25" s="1375"/>
    </row>
    <row r="26" spans="1:10" ht="15" thickBot="1">
      <c r="A26" s="476"/>
      <c r="B26" s="476"/>
      <c r="C26" s="492" t="s">
        <v>240</v>
      </c>
      <c r="D26" s="483" t="s">
        <v>244</v>
      </c>
      <c r="E26" s="484"/>
      <c r="F26" s="485"/>
      <c r="G26" s="486">
        <v>2.9</v>
      </c>
      <c r="H26" s="484"/>
      <c r="I26" s="485"/>
      <c r="J26" s="1375"/>
    </row>
    <row r="27" spans="1:10" ht="15" thickBot="1">
      <c r="A27" s="476"/>
      <c r="B27" s="476"/>
      <c r="C27" s="493" t="s">
        <v>246</v>
      </c>
      <c r="D27" s="483"/>
      <c r="E27" s="1379"/>
      <c r="F27" s="494"/>
      <c r="G27" s="494">
        <v>163</v>
      </c>
      <c r="H27" s="494"/>
      <c r="I27" s="494"/>
      <c r="J27" s="1380"/>
    </row>
    <row r="28" spans="1:10" ht="14.25">
      <c r="A28" s="476"/>
      <c r="B28" s="476"/>
      <c r="C28" s="492"/>
      <c r="D28" s="483"/>
      <c r="E28" s="1381"/>
      <c r="F28" s="66"/>
      <c r="G28" s="66"/>
      <c r="H28" s="66"/>
      <c r="I28" s="66"/>
      <c r="J28" s="1382"/>
    </row>
    <row r="29" spans="1:10" ht="14.25">
      <c r="A29" s="476"/>
      <c r="B29" s="476"/>
      <c r="C29" s="493" t="s">
        <v>247</v>
      </c>
      <c r="D29" s="483"/>
      <c r="E29" s="1381"/>
      <c r="F29" s="66"/>
      <c r="G29" s="66"/>
      <c r="H29" s="66"/>
      <c r="I29" s="66"/>
      <c r="J29" s="1382"/>
    </row>
    <row r="30" spans="1:10" ht="14.25">
      <c r="A30" s="476"/>
      <c r="B30" s="476"/>
      <c r="C30" s="492" t="s">
        <v>17</v>
      </c>
      <c r="D30" s="483" t="s">
        <v>244</v>
      </c>
      <c r="E30" s="484"/>
      <c r="F30" s="485"/>
      <c r="G30" s="486">
        <v>5215</v>
      </c>
      <c r="H30" s="484"/>
      <c r="I30" s="485"/>
      <c r="J30" s="1375"/>
    </row>
    <row r="31" spans="1:10" ht="14.25">
      <c r="A31" s="476"/>
      <c r="B31" s="476"/>
      <c r="C31" s="492" t="s">
        <v>18</v>
      </c>
      <c r="D31" s="483" t="s">
        <v>244</v>
      </c>
      <c r="E31" s="484"/>
      <c r="F31" s="485"/>
      <c r="G31" s="486">
        <v>4974</v>
      </c>
      <c r="H31" s="484"/>
      <c r="I31" s="485"/>
      <c r="J31" s="1375"/>
    </row>
    <row r="32" spans="1:10" ht="14.25">
      <c r="A32" s="476"/>
      <c r="B32" s="476"/>
      <c r="C32" s="492"/>
      <c r="D32" s="483"/>
      <c r="E32" s="1381"/>
      <c r="F32" s="66"/>
      <c r="G32" s="66"/>
      <c r="H32" s="66"/>
      <c r="I32" s="66"/>
      <c r="J32" s="1382"/>
    </row>
    <row r="33" spans="1:10" ht="14.25">
      <c r="A33" s="476"/>
      <c r="B33" s="476"/>
      <c r="C33" s="493" t="s">
        <v>50</v>
      </c>
      <c r="D33" s="483"/>
      <c r="E33" s="1381"/>
      <c r="F33" s="66"/>
      <c r="G33" s="66"/>
      <c r="H33" s="66"/>
      <c r="I33" s="66"/>
      <c r="J33" s="1382"/>
    </row>
    <row r="34" spans="1:10" ht="14.25">
      <c r="A34" s="476"/>
      <c r="B34" s="476"/>
      <c r="C34" s="492" t="s">
        <v>237</v>
      </c>
      <c r="D34" s="483" t="s">
        <v>51</v>
      </c>
      <c r="E34" s="484"/>
      <c r="F34" s="485"/>
      <c r="G34" s="486">
        <v>616</v>
      </c>
      <c r="H34" s="484"/>
      <c r="I34" s="485"/>
      <c r="J34" s="1375"/>
    </row>
    <row r="35" spans="1:10" ht="14.25">
      <c r="A35" s="476"/>
      <c r="B35" s="476"/>
      <c r="C35" s="492" t="s">
        <v>239</v>
      </c>
      <c r="D35" s="483" t="s">
        <v>51</v>
      </c>
      <c r="E35" s="484"/>
      <c r="F35" s="485"/>
      <c r="G35" s="486">
        <v>9051</v>
      </c>
      <c r="H35" s="484"/>
      <c r="I35" s="485"/>
      <c r="J35" s="1375"/>
    </row>
    <row r="36" spans="1:10" ht="15" thickBot="1">
      <c r="A36" s="476"/>
      <c r="B36" s="476"/>
      <c r="C36" s="492" t="s">
        <v>240</v>
      </c>
      <c r="D36" s="483" t="s">
        <v>51</v>
      </c>
      <c r="E36" s="484"/>
      <c r="F36" s="485"/>
      <c r="G36" s="486">
        <v>17084</v>
      </c>
      <c r="H36" s="484"/>
      <c r="I36" s="485"/>
      <c r="J36" s="1375"/>
    </row>
    <row r="37" spans="1:10" ht="15" thickBot="1">
      <c r="A37" s="476"/>
      <c r="B37" s="476"/>
      <c r="C37" s="493" t="s">
        <v>246</v>
      </c>
      <c r="D37" s="483"/>
      <c r="E37" s="1379"/>
      <c r="F37" s="494"/>
      <c r="G37" s="494">
        <v>26751</v>
      </c>
      <c r="H37" s="494"/>
      <c r="I37" s="494"/>
      <c r="J37" s="1380"/>
    </row>
    <row r="38" spans="1:10" ht="14.25">
      <c r="A38" s="476"/>
      <c r="B38" s="476"/>
      <c r="C38" s="492"/>
      <c r="D38" s="483"/>
      <c r="E38" s="491"/>
      <c r="F38" s="477"/>
      <c r="G38" s="477"/>
      <c r="H38" s="491"/>
      <c r="I38" s="477"/>
      <c r="J38" s="1378"/>
    </row>
    <row r="39" spans="1:10" ht="14.25">
      <c r="A39" s="476"/>
      <c r="B39" s="476"/>
      <c r="C39" s="493" t="s">
        <v>52</v>
      </c>
      <c r="D39" s="483"/>
      <c r="E39" s="491"/>
      <c r="F39" s="477"/>
      <c r="G39" s="477"/>
      <c r="H39" s="491"/>
      <c r="I39" s="477"/>
      <c r="J39" s="1378"/>
    </row>
    <row r="40" spans="1:10" ht="14.25">
      <c r="A40" s="476"/>
      <c r="B40" s="476"/>
      <c r="C40" s="492" t="s">
        <v>53</v>
      </c>
      <c r="D40" s="483" t="s">
        <v>54</v>
      </c>
      <c r="E40" s="484"/>
      <c r="F40" s="485"/>
      <c r="G40" s="486">
        <v>1381</v>
      </c>
      <c r="H40" s="484"/>
      <c r="I40" s="485"/>
      <c r="J40" s="1375"/>
    </row>
    <row r="41" spans="1:10" ht="14.25">
      <c r="A41" s="476"/>
      <c r="B41" s="476"/>
      <c r="C41" s="492" t="s">
        <v>55</v>
      </c>
      <c r="D41" s="483" t="s">
        <v>56</v>
      </c>
      <c r="E41" s="484"/>
      <c r="F41" s="485"/>
      <c r="G41" s="495">
        <v>5.1624238346230047E-2</v>
      </c>
      <c r="H41" s="484"/>
      <c r="I41" s="485"/>
      <c r="J41" s="1383"/>
    </row>
    <row r="42" spans="1:10" ht="14.25">
      <c r="A42" s="476"/>
      <c r="B42" s="476"/>
      <c r="C42" s="492"/>
      <c r="D42" s="483"/>
      <c r="E42" s="1381"/>
      <c r="F42" s="66"/>
      <c r="G42" s="66"/>
      <c r="H42" s="66"/>
      <c r="I42" s="66"/>
      <c r="J42" s="1382"/>
    </row>
    <row r="43" spans="1:10" ht="15.75" thickBot="1">
      <c r="A43" s="476"/>
      <c r="B43" s="476"/>
      <c r="C43" s="482"/>
      <c r="D43" s="487"/>
      <c r="E43" s="488"/>
      <c r="F43" s="489"/>
      <c r="G43" s="489"/>
      <c r="H43" s="489"/>
      <c r="I43" s="489"/>
      <c r="J43" s="1376"/>
    </row>
    <row r="44" spans="1:10" ht="15">
      <c r="A44" s="476"/>
      <c r="B44" s="476"/>
      <c r="C44" s="490" t="s">
        <v>57</v>
      </c>
      <c r="D44" s="483"/>
      <c r="E44" s="1381"/>
      <c r="F44" s="66"/>
      <c r="G44" s="66"/>
      <c r="H44" s="66"/>
      <c r="I44" s="66"/>
      <c r="J44" s="1382"/>
    </row>
    <row r="45" spans="1:10" ht="14.25">
      <c r="A45" s="476"/>
      <c r="B45" s="476"/>
      <c r="C45" s="492"/>
      <c r="D45" s="483"/>
      <c r="E45" s="1381"/>
      <c r="F45" s="66"/>
      <c r="G45" s="66"/>
      <c r="H45" s="66"/>
      <c r="I45" s="66"/>
      <c r="J45" s="1382"/>
    </row>
    <row r="46" spans="1:10" ht="14.25">
      <c r="A46" s="476"/>
      <c r="B46" s="476"/>
      <c r="C46" s="493" t="s">
        <v>169</v>
      </c>
      <c r="D46" s="483"/>
      <c r="E46" s="1381"/>
      <c r="F46" s="66"/>
      <c r="G46" s="66"/>
      <c r="H46" s="66"/>
      <c r="I46" s="66"/>
      <c r="J46" s="1382"/>
    </row>
    <row r="47" spans="1:10" ht="14.25">
      <c r="A47" s="476"/>
      <c r="B47" s="476"/>
      <c r="C47" s="492" t="s">
        <v>243</v>
      </c>
      <c r="D47" s="483" t="s">
        <v>170</v>
      </c>
      <c r="E47" s="484"/>
      <c r="F47" s="485"/>
      <c r="G47" s="496">
        <v>1368</v>
      </c>
      <c r="H47" s="484"/>
      <c r="I47" s="485"/>
      <c r="J47" s="1384"/>
    </row>
    <row r="48" spans="1:10" ht="14.25">
      <c r="A48" s="476"/>
      <c r="B48" s="476"/>
      <c r="C48" s="492" t="s">
        <v>245</v>
      </c>
      <c r="D48" s="483" t="s">
        <v>170</v>
      </c>
      <c r="E48" s="484"/>
      <c r="F48" s="485"/>
      <c r="G48" s="496">
        <v>1830</v>
      </c>
      <c r="H48" s="484"/>
      <c r="I48" s="485"/>
      <c r="J48" s="1384"/>
    </row>
    <row r="49" spans="1:10" ht="14.25">
      <c r="A49" s="476"/>
      <c r="B49" s="476"/>
      <c r="C49" s="492" t="s">
        <v>239</v>
      </c>
      <c r="D49" s="483" t="s">
        <v>170</v>
      </c>
      <c r="E49" s="484"/>
      <c r="F49" s="485"/>
      <c r="G49" s="496">
        <v>14538</v>
      </c>
      <c r="H49" s="484"/>
      <c r="I49" s="485"/>
      <c r="J49" s="1384"/>
    </row>
    <row r="50" spans="1:10" ht="15" thickBot="1">
      <c r="A50" s="476"/>
      <c r="B50" s="476"/>
      <c r="C50" s="492" t="s">
        <v>240</v>
      </c>
      <c r="D50" s="483" t="s">
        <v>170</v>
      </c>
      <c r="E50" s="484"/>
      <c r="F50" s="485"/>
      <c r="G50" s="496">
        <v>6120</v>
      </c>
      <c r="H50" s="484"/>
      <c r="I50" s="485"/>
      <c r="J50" s="1384"/>
    </row>
    <row r="51" spans="1:10" ht="15" thickBot="1">
      <c r="A51" s="476"/>
      <c r="B51" s="476"/>
      <c r="C51" s="493" t="s">
        <v>246</v>
      </c>
      <c r="D51" s="483" t="s">
        <v>170</v>
      </c>
      <c r="E51" s="1379"/>
      <c r="F51" s="494"/>
      <c r="G51" s="494">
        <v>23856</v>
      </c>
      <c r="H51" s="494"/>
      <c r="I51" s="494"/>
      <c r="J51" s="1380"/>
    </row>
    <row r="52" spans="1:10" ht="14.25">
      <c r="A52" s="476"/>
      <c r="B52" s="476"/>
      <c r="C52" s="492"/>
      <c r="D52" s="483"/>
      <c r="E52" s="1381"/>
      <c r="F52" s="66"/>
      <c r="G52" s="66"/>
      <c r="H52" s="66"/>
      <c r="I52" s="66"/>
      <c r="J52" s="1382"/>
    </row>
    <row r="53" spans="1:10" ht="14.25">
      <c r="A53" s="476"/>
      <c r="B53" s="476"/>
      <c r="C53" s="493" t="s">
        <v>171</v>
      </c>
      <c r="D53" s="483"/>
      <c r="E53" s="1381"/>
      <c r="F53" s="66"/>
      <c r="G53" s="66"/>
      <c r="H53" s="66"/>
      <c r="I53" s="66"/>
      <c r="J53" s="1382"/>
    </row>
    <row r="54" spans="1:10" ht="14.25">
      <c r="A54" s="476"/>
      <c r="B54" s="476"/>
      <c r="C54" s="492" t="s">
        <v>243</v>
      </c>
      <c r="D54" s="483" t="s">
        <v>170</v>
      </c>
      <c r="E54" s="484"/>
      <c r="F54" s="485"/>
      <c r="G54" s="496">
        <v>303</v>
      </c>
      <c r="H54" s="484"/>
      <c r="I54" s="485"/>
      <c r="J54" s="1384"/>
    </row>
    <row r="55" spans="1:10" ht="14.25">
      <c r="A55" s="476"/>
      <c r="B55" s="476"/>
      <c r="C55" s="492" t="s">
        <v>245</v>
      </c>
      <c r="D55" s="483" t="s">
        <v>170</v>
      </c>
      <c r="E55" s="484"/>
      <c r="F55" s="485"/>
      <c r="G55" s="496">
        <v>380</v>
      </c>
      <c r="H55" s="484"/>
      <c r="I55" s="485"/>
      <c r="J55" s="1384"/>
    </row>
    <row r="56" spans="1:10" ht="14.25">
      <c r="A56" s="476"/>
      <c r="B56" s="476"/>
      <c r="C56" s="492" t="s">
        <v>239</v>
      </c>
      <c r="D56" s="483" t="s">
        <v>170</v>
      </c>
      <c r="E56" s="484"/>
      <c r="F56" s="485"/>
      <c r="G56" s="496">
        <v>12085</v>
      </c>
      <c r="H56" s="484"/>
      <c r="I56" s="485"/>
      <c r="J56" s="1384"/>
    </row>
    <row r="57" spans="1:10" ht="15" thickBot="1">
      <c r="A57" s="476"/>
      <c r="B57" s="476"/>
      <c r="C57" s="492" t="s">
        <v>240</v>
      </c>
      <c r="D57" s="483" t="s">
        <v>170</v>
      </c>
      <c r="E57" s="484"/>
      <c r="F57" s="485"/>
      <c r="G57" s="496">
        <v>25340</v>
      </c>
      <c r="H57" s="484"/>
      <c r="I57" s="485"/>
      <c r="J57" s="1384"/>
    </row>
    <row r="58" spans="1:10" ht="15" thickBot="1">
      <c r="A58" s="476"/>
      <c r="B58" s="476"/>
      <c r="C58" s="492" t="s">
        <v>246</v>
      </c>
      <c r="D58" s="483" t="s">
        <v>170</v>
      </c>
      <c r="E58" s="1379"/>
      <c r="F58" s="494"/>
      <c r="G58" s="494">
        <v>38108</v>
      </c>
      <c r="H58" s="494"/>
      <c r="I58" s="494"/>
      <c r="J58" s="1380"/>
    </row>
    <row r="59" spans="1:10" ht="14.25">
      <c r="A59" s="476"/>
      <c r="B59" s="476"/>
      <c r="C59" s="492"/>
      <c r="D59" s="483"/>
      <c r="E59" s="1381"/>
      <c r="F59" s="66"/>
      <c r="G59" s="66"/>
      <c r="H59" s="66"/>
      <c r="I59" s="66"/>
      <c r="J59" s="1382"/>
    </row>
    <row r="60" spans="1:10" ht="14.25">
      <c r="A60" s="476"/>
      <c r="B60" s="476"/>
      <c r="C60" s="493" t="s">
        <v>172</v>
      </c>
      <c r="D60" s="483"/>
      <c r="E60" s="1381"/>
      <c r="F60" s="66"/>
      <c r="G60" s="66"/>
      <c r="H60" s="66"/>
      <c r="I60" s="66"/>
      <c r="J60" s="1382"/>
    </row>
    <row r="61" spans="1:10" ht="14.25">
      <c r="A61" s="476"/>
      <c r="B61" s="476"/>
      <c r="C61" s="492" t="s">
        <v>243</v>
      </c>
      <c r="D61" s="483" t="s">
        <v>170</v>
      </c>
      <c r="E61" s="1385"/>
      <c r="F61" s="496"/>
      <c r="G61" s="496">
        <v>1671</v>
      </c>
      <c r="H61" s="496"/>
      <c r="I61" s="496"/>
      <c r="J61" s="1384"/>
    </row>
    <row r="62" spans="1:10" ht="14.25">
      <c r="A62" s="476"/>
      <c r="B62" s="476"/>
      <c r="C62" s="492" t="s">
        <v>245</v>
      </c>
      <c r="D62" s="483" t="s">
        <v>170</v>
      </c>
      <c r="E62" s="1385"/>
      <c r="F62" s="496"/>
      <c r="G62" s="496">
        <v>2210</v>
      </c>
      <c r="H62" s="496"/>
      <c r="I62" s="496"/>
      <c r="J62" s="1384"/>
    </row>
    <row r="63" spans="1:10" ht="14.25">
      <c r="A63" s="476"/>
      <c r="B63" s="476"/>
      <c r="C63" s="492" t="s">
        <v>239</v>
      </c>
      <c r="D63" s="483" t="s">
        <v>170</v>
      </c>
      <c r="E63" s="1385"/>
      <c r="F63" s="496"/>
      <c r="G63" s="496">
        <v>26623</v>
      </c>
      <c r="H63" s="496"/>
      <c r="I63" s="496"/>
      <c r="J63" s="1384"/>
    </row>
    <row r="64" spans="1:10" ht="15" thickBot="1">
      <c r="A64" s="476"/>
      <c r="B64" s="476"/>
      <c r="C64" s="492" t="s">
        <v>240</v>
      </c>
      <c r="D64" s="483" t="s">
        <v>170</v>
      </c>
      <c r="E64" s="1385"/>
      <c r="F64" s="496"/>
      <c r="G64" s="496">
        <v>31460</v>
      </c>
      <c r="H64" s="496"/>
      <c r="I64" s="496"/>
      <c r="J64" s="1384"/>
    </row>
    <row r="65" spans="1:10" ht="15" thickBot="1">
      <c r="A65" s="476"/>
      <c r="B65" s="476"/>
      <c r="C65" s="493" t="s">
        <v>246</v>
      </c>
      <c r="D65" s="483" t="s">
        <v>170</v>
      </c>
      <c r="E65" s="1379"/>
      <c r="F65" s="494"/>
      <c r="G65" s="494">
        <v>61964</v>
      </c>
      <c r="H65" s="494"/>
      <c r="I65" s="494"/>
      <c r="J65" s="1380"/>
    </row>
    <row r="66" spans="1:10" ht="14.25">
      <c r="A66" s="476"/>
      <c r="B66" s="476"/>
      <c r="C66" s="492"/>
      <c r="D66" s="483"/>
      <c r="E66" s="1381"/>
      <c r="F66" s="66"/>
      <c r="G66" s="66"/>
      <c r="H66" s="66"/>
      <c r="I66" s="66"/>
      <c r="J66" s="1382"/>
    </row>
    <row r="67" spans="1:10" ht="14.25">
      <c r="A67" s="476"/>
      <c r="B67" s="476"/>
      <c r="C67" s="493" t="s">
        <v>173</v>
      </c>
      <c r="D67" s="483"/>
      <c r="E67" s="1381"/>
      <c r="F67" s="66"/>
      <c r="G67" s="66"/>
      <c r="H67" s="66"/>
      <c r="I67" s="66"/>
      <c r="J67" s="1382"/>
    </row>
    <row r="68" spans="1:10" ht="14.25">
      <c r="A68" s="476"/>
      <c r="B68" s="476"/>
      <c r="C68" s="492" t="s">
        <v>243</v>
      </c>
      <c r="D68" s="483" t="s">
        <v>174</v>
      </c>
      <c r="E68" s="484"/>
      <c r="F68" s="485"/>
      <c r="G68" s="486">
        <v>84</v>
      </c>
      <c r="H68" s="484"/>
      <c r="I68" s="485"/>
      <c r="J68" s="1375"/>
    </row>
    <row r="69" spans="1:10" ht="14.25">
      <c r="A69" s="476"/>
      <c r="B69" s="476"/>
      <c r="C69" s="492" t="s">
        <v>87</v>
      </c>
      <c r="D69" s="483" t="s">
        <v>174</v>
      </c>
      <c r="E69" s="484"/>
      <c r="F69" s="485"/>
      <c r="G69" s="486">
        <v>138</v>
      </c>
      <c r="H69" s="484"/>
      <c r="I69" s="485"/>
      <c r="J69" s="1375"/>
    </row>
    <row r="70" spans="1:10" ht="14.25">
      <c r="A70" s="476"/>
      <c r="B70" s="476"/>
      <c r="C70" s="492" t="s">
        <v>88</v>
      </c>
      <c r="D70" s="483" t="s">
        <v>174</v>
      </c>
      <c r="E70" s="484"/>
      <c r="F70" s="485"/>
      <c r="G70" s="486">
        <v>3</v>
      </c>
      <c r="H70" s="484"/>
      <c r="I70" s="485"/>
      <c r="J70" s="1375"/>
    </row>
    <row r="71" spans="1:10" ht="14.25">
      <c r="A71" s="476"/>
      <c r="B71" s="476"/>
      <c r="C71" s="492" t="s">
        <v>89</v>
      </c>
      <c r="D71" s="483" t="s">
        <v>174</v>
      </c>
      <c r="E71" s="484"/>
      <c r="F71" s="485"/>
      <c r="G71" s="486">
        <v>16210</v>
      </c>
      <c r="H71" s="484"/>
      <c r="I71" s="485"/>
      <c r="J71" s="1375"/>
    </row>
    <row r="72" spans="1:10" ht="15" thickBot="1">
      <c r="A72" s="476"/>
      <c r="B72" s="476"/>
      <c r="C72" s="492" t="s">
        <v>90</v>
      </c>
      <c r="D72" s="483" t="s">
        <v>174</v>
      </c>
      <c r="E72" s="484"/>
      <c r="F72" s="485"/>
      <c r="G72" s="486">
        <v>34355</v>
      </c>
      <c r="H72" s="484"/>
      <c r="I72" s="485"/>
      <c r="J72" s="1375"/>
    </row>
    <row r="73" spans="1:10" ht="15" thickBot="1">
      <c r="A73" s="476"/>
      <c r="B73" s="476"/>
      <c r="C73" s="493" t="s">
        <v>246</v>
      </c>
      <c r="D73" s="483" t="s">
        <v>174</v>
      </c>
      <c r="E73" s="1379"/>
      <c r="F73" s="494"/>
      <c r="G73" s="494">
        <v>50790</v>
      </c>
      <c r="H73" s="494"/>
      <c r="I73" s="494"/>
      <c r="J73" s="1380"/>
    </row>
    <row r="74" spans="1:10" ht="15.75" thickBot="1">
      <c r="A74" s="476"/>
      <c r="B74" s="476"/>
      <c r="C74" s="488"/>
      <c r="D74" s="487"/>
      <c r="E74" s="488"/>
      <c r="F74" s="489"/>
      <c r="G74" s="489"/>
      <c r="H74" s="488"/>
      <c r="I74" s="489"/>
      <c r="J74" s="1376"/>
    </row>
    <row r="75" spans="1:10" ht="14.25">
      <c r="A75" s="371"/>
      <c r="B75" s="371"/>
      <c r="C75" s="371"/>
      <c r="D75" s="371"/>
      <c r="E75" s="371"/>
      <c r="F75" s="371"/>
      <c r="G75" s="371"/>
    </row>
    <row r="76" spans="1:10" ht="14.25">
      <c r="A76" s="476"/>
      <c r="B76" s="476"/>
      <c r="C76" s="371"/>
      <c r="D76" s="371"/>
      <c r="E76" s="371"/>
      <c r="F76" s="371"/>
      <c r="G76" s="371"/>
    </row>
    <row r="77" spans="1:10" ht="14.25">
      <c r="A77" s="476"/>
      <c r="B77" s="476"/>
      <c r="C77" s="371"/>
      <c r="D77" s="371"/>
      <c r="E77" s="371"/>
      <c r="F77" s="371"/>
      <c r="G77" s="371"/>
    </row>
    <row r="78" spans="1:10" ht="14.25">
      <c r="A78" s="476"/>
      <c r="B78" s="476"/>
      <c r="C78" s="371"/>
      <c r="D78" s="371"/>
      <c r="E78" s="371"/>
      <c r="F78" s="371"/>
      <c r="G78" s="371"/>
    </row>
    <row r="79" spans="1:10" ht="14.25">
      <c r="A79" s="476"/>
      <c r="B79" s="476"/>
      <c r="C79" s="371"/>
      <c r="D79" s="371"/>
      <c r="E79" s="371"/>
      <c r="F79" s="371"/>
      <c r="G79" s="371"/>
    </row>
    <row r="80" spans="1:10" ht="14.25">
      <c r="A80" s="476"/>
      <c r="B80" s="476"/>
      <c r="C80" s="371"/>
      <c r="D80" s="371"/>
      <c r="E80" s="371"/>
      <c r="F80" s="371"/>
      <c r="G80" s="371"/>
    </row>
  </sheetData>
  <mergeCells count="3">
    <mergeCell ref="A5:C5"/>
    <mergeCell ref="E8:G8"/>
    <mergeCell ref="H8:J8"/>
  </mergeCells>
  <phoneticPr fontId="0" type="noConversion"/>
  <hyperlinks>
    <hyperlink ref="F1" location="Inputs!A1" display="Index"/>
  </hyperlinks>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rgb="FFFF0000"/>
  </sheetPr>
  <dimension ref="A1:M66"/>
  <sheetViews>
    <sheetView topLeftCell="A37" workbookViewId="0">
      <selection activeCell="J65" sqref="J65"/>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502" t="s">
        <v>544</v>
      </c>
      <c r="J1" s="253" t="s">
        <v>216</v>
      </c>
    </row>
    <row r="8" spans="1:12" ht="15">
      <c r="A8" s="333" t="s">
        <v>545</v>
      </c>
      <c r="B8" s="334"/>
      <c r="C8" s="36"/>
      <c r="D8" s="503"/>
      <c r="E8" s="334"/>
      <c r="F8" s="334"/>
      <c r="G8" s="504"/>
      <c r="H8" s="336" t="s">
        <v>32</v>
      </c>
      <c r="I8" s="336" t="s">
        <v>33</v>
      </c>
      <c r="J8" s="336" t="s">
        <v>29</v>
      </c>
      <c r="K8" s="336" t="s">
        <v>34</v>
      </c>
      <c r="L8" s="336" t="s">
        <v>35</v>
      </c>
    </row>
    <row r="9" spans="1:12" ht="15">
      <c r="H9" s="336">
        <v>16</v>
      </c>
      <c r="I9" s="336">
        <v>17</v>
      </c>
      <c r="J9" s="336">
        <v>18</v>
      </c>
      <c r="K9" s="336">
        <v>19</v>
      </c>
      <c r="L9" s="336">
        <v>20</v>
      </c>
    </row>
    <row r="10" spans="1:12" ht="15">
      <c r="H10" s="336"/>
      <c r="I10" s="336"/>
      <c r="J10" s="336"/>
      <c r="K10" s="336"/>
      <c r="L10" s="336"/>
    </row>
    <row r="11" spans="1:12" ht="14.25">
      <c r="B11" s="504" t="s">
        <v>529</v>
      </c>
      <c r="F11" t="s">
        <v>14</v>
      </c>
      <c r="H11" s="1885">
        <v>255.06868</v>
      </c>
      <c r="I11" s="1885">
        <v>262.01640500000002</v>
      </c>
      <c r="J11" s="1885">
        <v>274.19156400000003</v>
      </c>
      <c r="K11" s="505"/>
      <c r="L11" s="505"/>
    </row>
    <row r="12" spans="1:12" ht="14.25">
      <c r="B12" s="504" t="s">
        <v>524</v>
      </c>
      <c r="F12" t="s">
        <v>14</v>
      </c>
      <c r="H12" s="1885">
        <v>-1.912898</v>
      </c>
      <c r="I12" s="1885">
        <v>-3.5919140000000001</v>
      </c>
      <c r="J12" s="1885">
        <v>-3.6379950000000001</v>
      </c>
      <c r="K12" s="505"/>
      <c r="L12" s="505"/>
    </row>
    <row r="13" spans="1:12" ht="14.25">
      <c r="B13" s="504" t="s">
        <v>525</v>
      </c>
      <c r="F13" t="s">
        <v>14</v>
      </c>
      <c r="H13" s="1885">
        <v>4.5676199999999998</v>
      </c>
      <c r="I13" s="1885">
        <v>8.8523080000000007</v>
      </c>
      <c r="J13" s="1885">
        <v>7.1725950000000003</v>
      </c>
      <c r="K13" s="505"/>
      <c r="L13" s="505"/>
    </row>
    <row r="14" spans="1:12" ht="14.25">
      <c r="B14" s="504" t="s">
        <v>526</v>
      </c>
      <c r="F14" t="s">
        <v>14</v>
      </c>
      <c r="H14" s="1885">
        <v>-8.2132999999999998E-2</v>
      </c>
      <c r="I14" s="1885">
        <v>-11.672268000000001</v>
      </c>
      <c r="J14" s="1885">
        <v>-1.294306</v>
      </c>
      <c r="K14" s="505"/>
      <c r="L14" s="505"/>
    </row>
    <row r="15" spans="1:12" ht="14.25">
      <c r="B15" s="504"/>
      <c r="H15" s="1886"/>
      <c r="I15" s="1886"/>
      <c r="J15" s="1886"/>
      <c r="K15" s="506"/>
      <c r="L15" s="506"/>
    </row>
    <row r="16" spans="1:12" ht="14.25">
      <c r="B16" s="504" t="s">
        <v>527</v>
      </c>
      <c r="F16" t="s">
        <v>14</v>
      </c>
      <c r="H16" s="1887">
        <v>257.80553500000002</v>
      </c>
      <c r="I16" s="1887">
        <v>278.94906700000001</v>
      </c>
      <c r="J16" s="1887">
        <v>279.02046999999999</v>
      </c>
      <c r="K16" s="507"/>
      <c r="L16" s="507"/>
    </row>
    <row r="17" spans="1:12" ht="14.25">
      <c r="B17" s="504"/>
      <c r="H17" s="1888"/>
      <c r="I17" s="1888"/>
      <c r="J17" s="1888"/>
      <c r="K17" s="508"/>
      <c r="L17" s="508"/>
    </row>
    <row r="18" spans="1:12" ht="14.25">
      <c r="B18" s="504" t="s">
        <v>528</v>
      </c>
      <c r="F18" t="s">
        <v>14</v>
      </c>
      <c r="H18" s="1885">
        <v>246.67</v>
      </c>
      <c r="I18" s="1885">
        <v>277.74</v>
      </c>
      <c r="J18" s="1885">
        <v>278.05</v>
      </c>
      <c r="K18" s="505"/>
      <c r="L18" s="505"/>
    </row>
    <row r="19" spans="1:12" ht="14.25">
      <c r="B19" s="504" t="s">
        <v>379</v>
      </c>
      <c r="F19" t="s">
        <v>14</v>
      </c>
      <c r="H19" s="1885">
        <v>2.5299999999999998</v>
      </c>
      <c r="I19" s="1885">
        <v>-2.64</v>
      </c>
      <c r="J19" s="1885">
        <v>-4.83</v>
      </c>
      <c r="K19" s="505"/>
      <c r="L19" s="505"/>
    </row>
    <row r="20" spans="1:12" ht="14.25">
      <c r="B20" s="504"/>
      <c r="H20" s="1886"/>
      <c r="I20" s="1886"/>
      <c r="J20" s="1886"/>
      <c r="K20" s="506"/>
      <c r="L20" s="506"/>
    </row>
    <row r="21" spans="1:12" ht="14.25">
      <c r="B21" s="504" t="s">
        <v>380</v>
      </c>
      <c r="F21" t="s">
        <v>14</v>
      </c>
      <c r="H21" s="1889">
        <v>-11.135535000000001</v>
      </c>
      <c r="I21" s="1889">
        <v>-1.2090669999999999</v>
      </c>
      <c r="J21" s="1889">
        <v>-0.97047000000000005</v>
      </c>
      <c r="K21" s="509"/>
      <c r="L21" s="509"/>
    </row>
    <row r="22" spans="1:12" ht="14.25">
      <c r="H22" s="1888"/>
      <c r="I22" s="1888"/>
      <c r="J22" s="1888"/>
      <c r="K22" s="508"/>
      <c r="L22" s="508"/>
    </row>
    <row r="23" spans="1:12" ht="14.25">
      <c r="H23" s="1888"/>
      <c r="I23" s="1888"/>
      <c r="J23" s="1888"/>
      <c r="K23" s="508"/>
      <c r="L23" s="508"/>
    </row>
    <row r="24" spans="1:12" ht="15">
      <c r="A24" s="333" t="s">
        <v>381</v>
      </c>
      <c r="H24" s="1888"/>
      <c r="I24" s="1888"/>
      <c r="J24" s="1888"/>
      <c r="K24" s="508"/>
      <c r="L24" s="508"/>
    </row>
    <row r="25" spans="1:12" ht="14.25">
      <c r="H25" s="1888"/>
      <c r="I25" s="1888"/>
      <c r="J25" s="1888"/>
      <c r="K25" s="508"/>
      <c r="L25" s="508"/>
    </row>
    <row r="26" spans="1:12" ht="14.25">
      <c r="B26" s="504" t="s">
        <v>382</v>
      </c>
      <c r="F26" t="s">
        <v>14</v>
      </c>
      <c r="H26" s="1885">
        <v>0</v>
      </c>
      <c r="I26" s="1885">
        <v>2.5645000000000001E-2</v>
      </c>
      <c r="J26" s="1885">
        <v>6.1178000000000003E-2</v>
      </c>
      <c r="K26" s="505"/>
      <c r="L26" s="505"/>
    </row>
    <row r="27" spans="1:12" ht="14.25">
      <c r="B27" s="504" t="s">
        <v>383</v>
      </c>
      <c r="F27" t="s">
        <v>14</v>
      </c>
      <c r="H27" s="1885">
        <v>0</v>
      </c>
      <c r="I27" s="1885">
        <v>0</v>
      </c>
      <c r="J27" s="1885">
        <v>0</v>
      </c>
      <c r="K27" s="505"/>
      <c r="L27" s="505"/>
    </row>
    <row r="28" spans="1:12" ht="14.25">
      <c r="B28" s="504" t="s">
        <v>384</v>
      </c>
      <c r="F28" t="s">
        <v>14</v>
      </c>
      <c r="H28" s="1885">
        <v>0</v>
      </c>
      <c r="I28" s="1885">
        <v>0</v>
      </c>
      <c r="J28" s="1885">
        <v>4.6620000000000003E-3</v>
      </c>
      <c r="K28" s="505"/>
      <c r="L28" s="505"/>
    </row>
    <row r="29" spans="1:12" ht="14.25">
      <c r="B29" s="504"/>
      <c r="H29" s="1886"/>
      <c r="I29" s="1886"/>
      <c r="J29" s="1886"/>
      <c r="K29" s="506"/>
      <c r="L29" s="506"/>
    </row>
    <row r="30" spans="1:12" ht="14.25">
      <c r="B30" s="335" t="s">
        <v>381</v>
      </c>
      <c r="F30" t="s">
        <v>14</v>
      </c>
      <c r="H30" s="1887">
        <v>0</v>
      </c>
      <c r="I30" s="1887">
        <v>2.5645000000000001E-2</v>
      </c>
      <c r="J30" s="1887">
        <v>5.6515999999999997E-2</v>
      </c>
      <c r="K30" s="507"/>
      <c r="L30" s="507"/>
    </row>
    <row r="31" spans="1:12" ht="14.25">
      <c r="B31" s="504"/>
      <c r="H31" s="1888"/>
      <c r="I31" s="1888"/>
      <c r="J31" s="1888"/>
      <c r="K31" s="508"/>
      <c r="L31" s="508"/>
    </row>
    <row r="32" spans="1:12" ht="14.25">
      <c r="B32" s="504" t="s">
        <v>346</v>
      </c>
      <c r="F32" t="s">
        <v>14</v>
      </c>
      <c r="H32" s="1885">
        <v>0</v>
      </c>
      <c r="I32" s="1885">
        <v>0.03</v>
      </c>
      <c r="J32" s="1885">
        <v>7.0000000000000007E-2</v>
      </c>
      <c r="K32" s="505"/>
      <c r="L32" s="505"/>
    </row>
    <row r="33" spans="1:12" ht="14.25">
      <c r="B33" s="504"/>
      <c r="H33" s="1888"/>
      <c r="I33" s="1888"/>
      <c r="J33" s="1888"/>
      <c r="K33" s="508"/>
      <c r="L33" s="508"/>
    </row>
    <row r="34" spans="1:12" ht="14.25">
      <c r="B34" s="504" t="s">
        <v>380</v>
      </c>
      <c r="F34" t="s">
        <v>14</v>
      </c>
      <c r="H34" s="1889">
        <v>0</v>
      </c>
      <c r="I34" s="1889">
        <v>4.3550000000000004E-3</v>
      </c>
      <c r="J34" s="1889">
        <v>1.3483999999999999E-2</v>
      </c>
      <c r="K34" s="509"/>
      <c r="L34" s="509"/>
    </row>
    <row r="35" spans="1:12" ht="14.25">
      <c r="H35" s="1888"/>
      <c r="I35" s="1888"/>
      <c r="J35" s="1888"/>
      <c r="K35" s="508"/>
      <c r="L35" s="508"/>
    </row>
    <row r="36" spans="1:12" ht="14.25">
      <c r="H36" s="1888"/>
      <c r="I36" s="1888"/>
      <c r="J36" s="1888"/>
      <c r="K36" s="508"/>
      <c r="L36" s="508"/>
    </row>
    <row r="37" spans="1:12" ht="15">
      <c r="A37" s="333" t="s">
        <v>347</v>
      </c>
      <c r="H37" s="1890"/>
      <c r="I37" s="1890"/>
      <c r="J37" s="1890"/>
      <c r="K37" s="511"/>
      <c r="L37" s="511"/>
    </row>
    <row r="38" spans="1:12" ht="14.25">
      <c r="B38" s="335" t="s">
        <v>328</v>
      </c>
      <c r="F38" t="s">
        <v>14</v>
      </c>
      <c r="H38" s="1885">
        <v>6.5</v>
      </c>
      <c r="I38" s="1885">
        <v>8.2200000000000006</v>
      </c>
      <c r="J38" s="1885">
        <v>7.78</v>
      </c>
      <c r="K38" s="505"/>
      <c r="L38" s="505"/>
    </row>
    <row r="39" spans="1:12" ht="14.25">
      <c r="B39" s="504" t="s">
        <v>378</v>
      </c>
      <c r="F39" t="s">
        <v>14</v>
      </c>
      <c r="H39" s="1885">
        <v>4.735894</v>
      </c>
      <c r="I39" s="1885">
        <v>3.994996</v>
      </c>
      <c r="J39" s="1891">
        <v>0</v>
      </c>
      <c r="K39" s="512"/>
      <c r="L39" s="512"/>
    </row>
    <row r="40" spans="1:12" ht="14.25">
      <c r="C40" s="504"/>
      <c r="H40" s="1888"/>
      <c r="I40" s="1888"/>
      <c r="J40" s="1888"/>
      <c r="K40" s="508"/>
      <c r="L40" s="508"/>
    </row>
    <row r="41" spans="1:12" ht="14.25">
      <c r="H41" s="1892">
        <v>11.235894</v>
      </c>
      <c r="I41" s="1892">
        <v>12.214995999999999</v>
      </c>
      <c r="J41" s="1892">
        <v>7.78</v>
      </c>
      <c r="K41" s="513"/>
      <c r="L41" s="513"/>
    </row>
    <row r="42" spans="1:12" ht="14.25">
      <c r="H42" s="1890"/>
      <c r="I42" s="1890"/>
      <c r="J42" s="1890"/>
      <c r="K42" s="511"/>
      <c r="L42" s="511"/>
    </row>
    <row r="43" spans="1:12" ht="14.25">
      <c r="H43" s="1890"/>
      <c r="I43" s="1890"/>
      <c r="J43" s="1890"/>
      <c r="K43" s="511"/>
      <c r="L43" s="511"/>
    </row>
    <row r="44" spans="1:12" ht="15">
      <c r="A44" s="333" t="s">
        <v>370</v>
      </c>
      <c r="H44" s="1890"/>
      <c r="I44" s="1890"/>
      <c r="J44" s="1890"/>
      <c r="K44" s="511"/>
      <c r="L44" s="511"/>
    </row>
    <row r="45" spans="1:12" ht="15">
      <c r="A45" s="333"/>
      <c r="B45" s="504" t="s">
        <v>371</v>
      </c>
      <c r="F45" t="s">
        <v>14</v>
      </c>
      <c r="H45" s="1885">
        <v>20.66</v>
      </c>
      <c r="I45" s="1885">
        <v>51.69</v>
      </c>
      <c r="J45" s="1885">
        <v>74.23</v>
      </c>
      <c r="K45" s="505"/>
      <c r="L45" s="505"/>
    </row>
    <row r="46" spans="1:12" ht="14.25">
      <c r="B46" s="504" t="s">
        <v>372</v>
      </c>
      <c r="F46" t="s">
        <v>14</v>
      </c>
      <c r="H46" s="1893">
        <v>6.63</v>
      </c>
      <c r="I46" s="1893">
        <v>7.24</v>
      </c>
      <c r="J46" s="1893">
        <v>7.96</v>
      </c>
      <c r="K46" s="514"/>
      <c r="L46" s="514"/>
    </row>
    <row r="47" spans="1:12" ht="14.25">
      <c r="B47" s="335" t="s">
        <v>918</v>
      </c>
      <c r="F47" t="s">
        <v>14</v>
      </c>
      <c r="H47" s="1893">
        <v>0</v>
      </c>
      <c r="I47" s="1893">
        <v>0.4</v>
      </c>
      <c r="J47" s="1893">
        <v>0.65</v>
      </c>
      <c r="K47" s="514"/>
      <c r="L47" s="514"/>
    </row>
    <row r="48" spans="1:12" ht="14.25">
      <c r="H48" s="1890"/>
      <c r="I48" s="1890"/>
      <c r="J48" s="1890"/>
      <c r="K48" s="511"/>
      <c r="L48" s="511"/>
    </row>
    <row r="49" spans="2:13" ht="14.25">
      <c r="H49" s="1889">
        <v>27.29</v>
      </c>
      <c r="I49" s="1889">
        <v>59.33</v>
      </c>
      <c r="J49" s="1889">
        <v>82.84</v>
      </c>
      <c r="K49" s="509"/>
      <c r="L49" s="509"/>
    </row>
    <row r="50" spans="2:13" ht="14.25">
      <c r="H50" s="504"/>
      <c r="I50" s="504"/>
      <c r="J50" s="504"/>
      <c r="K50" s="504"/>
      <c r="L50" s="504"/>
    </row>
    <row r="51" spans="2:13" ht="14.25">
      <c r="H51" s="515"/>
      <c r="I51" s="515"/>
      <c r="J51" s="515"/>
      <c r="K51" s="515"/>
      <c r="L51" s="515"/>
    </row>
    <row r="52" spans="2:13" ht="14.25">
      <c r="H52" s="504"/>
      <c r="I52" s="504"/>
      <c r="J52" s="504"/>
      <c r="K52" s="504"/>
      <c r="L52" s="504"/>
    </row>
    <row r="54" spans="2:13" ht="15">
      <c r="B54" s="1417" t="s">
        <v>957</v>
      </c>
      <c r="C54" s="1426" t="s">
        <v>958</v>
      </c>
      <c r="D54" s="1426"/>
      <c r="E54" s="1426"/>
      <c r="F54" s="1418"/>
      <c r="G54" s="1418"/>
      <c r="H54" s="1418"/>
      <c r="I54" s="1418"/>
      <c r="J54" s="1418"/>
      <c r="K54" s="1418"/>
      <c r="L54" s="1418"/>
      <c r="M54" s="1418"/>
    </row>
    <row r="55" spans="2:13" ht="30">
      <c r="B55" s="1417" t="s">
        <v>959</v>
      </c>
      <c r="C55" s="1432" t="s">
        <v>960</v>
      </c>
      <c r="D55" s="1427"/>
      <c r="E55" s="1427"/>
      <c r="F55" s="1427"/>
      <c r="G55" s="1427"/>
      <c r="H55" s="1427"/>
      <c r="I55" s="1427"/>
      <c r="J55" s="1427"/>
      <c r="K55" s="1427"/>
      <c r="L55" s="1427"/>
      <c r="M55" s="1427"/>
    </row>
    <row r="56" spans="2:13" ht="15">
      <c r="B56" s="1426" t="s">
        <v>529</v>
      </c>
      <c r="C56" s="1426"/>
      <c r="D56" s="1426"/>
      <c r="E56" s="1426"/>
      <c r="F56" s="1418"/>
      <c r="G56" s="1418"/>
      <c r="H56" s="1418"/>
      <c r="I56" s="1418"/>
      <c r="J56" s="1418"/>
      <c r="K56" s="1418"/>
      <c r="L56" s="1418"/>
      <c r="M56" s="1418"/>
    </row>
    <row r="57" spans="2:13" ht="15.75">
      <c r="B57" s="1419" t="s">
        <v>961</v>
      </c>
      <c r="C57" s="1418"/>
      <c r="D57" s="1419" t="s">
        <v>986</v>
      </c>
      <c r="E57" s="1419"/>
      <c r="F57" s="1419"/>
      <c r="G57" s="1419"/>
      <c r="H57" s="1418"/>
      <c r="I57" s="1418"/>
      <c r="J57" s="1418"/>
      <c r="K57" s="1418"/>
      <c r="L57" s="1418"/>
      <c r="M57" s="1418"/>
    </row>
    <row r="58" spans="2:13">
      <c r="B58" s="1418"/>
      <c r="C58" s="1418"/>
      <c r="D58" s="1418"/>
      <c r="E58" s="1418"/>
      <c r="F58" s="1418"/>
      <c r="G58" s="1418"/>
      <c r="H58" s="1418"/>
      <c r="I58" s="1418"/>
      <c r="J58" s="1421" t="s">
        <v>962</v>
      </c>
      <c r="K58" s="1421"/>
      <c r="L58" s="1418"/>
      <c r="M58" s="1418"/>
    </row>
    <row r="59" spans="2:13" ht="14.25">
      <c r="B59" s="1418"/>
      <c r="C59" s="1418"/>
      <c r="D59" s="1418"/>
      <c r="E59" s="1418"/>
      <c r="F59" s="1418"/>
      <c r="G59" s="1418"/>
      <c r="H59" s="1418"/>
      <c r="I59" s="1418"/>
      <c r="J59" s="1420" t="s">
        <v>29</v>
      </c>
      <c r="K59" s="1418"/>
      <c r="L59" s="1418"/>
      <c r="M59" s="1418"/>
    </row>
    <row r="60" spans="2:13" ht="15">
      <c r="B60" s="1421" t="s">
        <v>963</v>
      </c>
      <c r="C60" s="1421" t="s">
        <v>964</v>
      </c>
      <c r="D60" s="1421"/>
      <c r="E60" s="1421"/>
      <c r="F60" s="1421"/>
      <c r="G60" s="1421"/>
      <c r="H60" s="1418"/>
      <c r="I60" s="1418"/>
      <c r="J60" s="1418"/>
      <c r="K60" s="1426" t="s">
        <v>965</v>
      </c>
      <c r="L60" s="1426"/>
      <c r="M60" s="1426"/>
    </row>
    <row r="61" spans="2:13" ht="15.75">
      <c r="B61" s="1419" t="s">
        <v>987</v>
      </c>
      <c r="C61" s="1419" t="s">
        <v>966</v>
      </c>
      <c r="D61" s="1419"/>
      <c r="E61" s="1419"/>
      <c r="F61" s="1419" t="s">
        <v>14</v>
      </c>
      <c r="G61" s="1418"/>
      <c r="H61" s="1418"/>
      <c r="I61" s="1418"/>
      <c r="J61" s="1422">
        <v>258.33984700000002</v>
      </c>
      <c r="K61" s="1419" t="s">
        <v>967</v>
      </c>
      <c r="L61" s="1418"/>
      <c r="M61" s="1418"/>
    </row>
    <row r="62" spans="2:13" ht="15.75">
      <c r="B62" s="1419" t="s">
        <v>988</v>
      </c>
      <c r="C62" s="1419" t="s">
        <v>968</v>
      </c>
      <c r="D62" s="1419"/>
      <c r="E62" s="1418"/>
      <c r="F62" s="1418"/>
      <c r="G62" s="1418"/>
      <c r="H62" s="1418"/>
      <c r="I62" s="1418"/>
      <c r="J62" s="1422">
        <v>1.06396</v>
      </c>
      <c r="K62" s="1419" t="s">
        <v>969</v>
      </c>
      <c r="L62" s="1418"/>
      <c r="M62" s="1418"/>
    </row>
    <row r="63" spans="2:13" ht="15.75">
      <c r="B63" s="1419" t="s">
        <v>989</v>
      </c>
      <c r="C63" s="1419" t="s">
        <v>970</v>
      </c>
      <c r="D63" s="1419"/>
      <c r="E63" s="1418"/>
      <c r="F63" s="1419" t="s">
        <v>14</v>
      </c>
      <c r="G63" s="1418"/>
      <c r="H63" s="1418"/>
      <c r="I63" s="1418"/>
      <c r="J63" s="1422">
        <v>3.6507879999999999</v>
      </c>
      <c r="K63" s="1419" t="s">
        <v>971</v>
      </c>
      <c r="L63" s="1418"/>
      <c r="M63" s="1418"/>
    </row>
    <row r="64" spans="2:13" ht="13.5" thickBot="1">
      <c r="B64" s="1418"/>
      <c r="C64" s="1418"/>
      <c r="D64" s="1418"/>
      <c r="E64" s="1418"/>
      <c r="F64" s="1418"/>
      <c r="G64" s="1418"/>
      <c r="H64" s="1418"/>
      <c r="I64" s="1418"/>
      <c r="J64" s="1418"/>
      <c r="K64" s="1418"/>
      <c r="L64" s="1418"/>
      <c r="M64" s="1418"/>
    </row>
    <row r="65" spans="2:13" ht="19.5" thickBot="1">
      <c r="B65" s="1423" t="s">
        <v>990</v>
      </c>
      <c r="C65" s="1424"/>
      <c r="D65" s="1424"/>
      <c r="E65" s="1424"/>
      <c r="F65" s="1424"/>
      <c r="G65" s="1424"/>
      <c r="H65" s="1424"/>
      <c r="I65" s="1424"/>
      <c r="J65" s="1425">
        <f>((J11+J63)/J62)-J61</f>
        <v>2.8000003626827947</v>
      </c>
      <c r="K65" s="1418"/>
      <c r="L65" s="1418"/>
      <c r="M65" s="1418"/>
    </row>
    <row r="66" spans="2:13">
      <c r="B66" s="1418"/>
      <c r="C66" s="1418"/>
      <c r="D66" s="1418"/>
      <c r="E66" s="1418"/>
      <c r="F66" s="1418"/>
      <c r="G66" s="1418"/>
      <c r="H66" s="1418"/>
      <c r="I66" s="1418"/>
      <c r="J66" s="1418"/>
      <c r="K66" s="1418"/>
      <c r="L66" s="1418"/>
      <c r="M66" s="1418"/>
    </row>
  </sheetData>
  <phoneticPr fontId="0" type="noConversion"/>
  <hyperlinks>
    <hyperlink ref="J1" location="Inputs!A1" display="Index"/>
  </hyperlinks>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enableFormatConditionsCalculation="0">
    <tabColor rgb="FFFF0000"/>
  </sheetPr>
  <dimension ref="A1:O164"/>
  <sheetViews>
    <sheetView showGridLines="0" topLeftCell="A112" zoomScale="80" zoomScaleNormal="75" zoomScalePageLayoutView="75" workbookViewId="0">
      <selection activeCell="E145" sqref="E145:E154"/>
    </sheetView>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6" customWidth="1"/>
    <col min="12" max="12" width="21.85546875" style="36" customWidth="1"/>
    <col min="13" max="14" width="9.140625" style="36" customWidth="1"/>
    <col min="15" max="15" width="20.42578125" style="36" customWidth="1"/>
    <col min="16" max="16" width="20.42578125" customWidth="1"/>
    <col min="17" max="17" width="21.85546875" customWidth="1"/>
  </cols>
  <sheetData>
    <row r="1" spans="1:15" s="1" customFormat="1">
      <c r="A1" s="8" t="s">
        <v>460</v>
      </c>
      <c r="F1" s="253" t="s">
        <v>216</v>
      </c>
    </row>
    <row r="2" spans="1:15">
      <c r="J2"/>
      <c r="K2"/>
      <c r="L2"/>
      <c r="M2"/>
      <c r="N2"/>
      <c r="O2"/>
    </row>
    <row r="3" spans="1:15" s="1000" customFormat="1" ht="26.25" customHeight="1">
      <c r="F3" s="2200" t="s">
        <v>373</v>
      </c>
      <c r="G3" s="2201"/>
      <c r="H3" s="2202"/>
    </row>
    <row r="4" spans="1:15" s="1000" customFormat="1" ht="27.75" customHeight="1">
      <c r="F4" s="2203" t="s">
        <v>219</v>
      </c>
      <c r="G4" s="2204"/>
      <c r="H4" s="2205"/>
    </row>
    <row r="5" spans="1:15">
      <c r="F5" s="9"/>
      <c r="G5" s="10" t="s">
        <v>14</v>
      </c>
      <c r="H5" s="27" t="s">
        <v>405</v>
      </c>
      <c r="J5"/>
      <c r="K5"/>
      <c r="L5"/>
      <c r="M5"/>
      <c r="N5"/>
      <c r="O5"/>
    </row>
    <row r="6" spans="1:15">
      <c r="F6" s="4" t="s">
        <v>240</v>
      </c>
      <c r="G6" s="56">
        <f>SUM(I20:I39)</f>
        <v>7640546.6618143665</v>
      </c>
      <c r="H6" s="1028">
        <f>G6/$G$11</f>
        <v>0.46287226986341778</v>
      </c>
      <c r="J6"/>
      <c r="K6"/>
      <c r="L6"/>
      <c r="M6"/>
      <c r="N6"/>
      <c r="O6"/>
    </row>
    <row r="7" spans="1:15">
      <c r="F7" s="4" t="s">
        <v>374</v>
      </c>
      <c r="G7" s="57">
        <f>SUM(I62:I63)+SUM(I69:I70)+SUM(I75:I78)</f>
        <v>591807.99240345811</v>
      </c>
      <c r="H7" s="1029">
        <f>G7/$G$11</f>
        <v>3.585234419627923E-2</v>
      </c>
      <c r="J7"/>
      <c r="K7"/>
      <c r="L7"/>
      <c r="M7"/>
      <c r="N7"/>
      <c r="O7"/>
    </row>
    <row r="8" spans="1:15">
      <c r="F8" s="4" t="s">
        <v>239</v>
      </c>
      <c r="G8" s="57">
        <f>SUM(I42:I56)+SUM(I59:I61)+SUM(I64:I68)+SUM(I71:I72)+SUM(I158:I163)+SUM(I153:I154)</f>
        <v>2201766.9582331693</v>
      </c>
      <c r="H8" s="1029">
        <f>G8/$G$11</f>
        <v>0.13338533416215667</v>
      </c>
      <c r="J8"/>
      <c r="K8"/>
      <c r="L8"/>
      <c r="M8"/>
      <c r="N8"/>
      <c r="O8"/>
    </row>
    <row r="9" spans="1:15">
      <c r="F9" s="4" t="s">
        <v>245</v>
      </c>
      <c r="G9" s="57">
        <f>'Calc-Drivers'!E32*(SUM(I81:I120)+SUM(I149:I150))</f>
        <v>1417910.7637599683</v>
      </c>
      <c r="H9" s="1029">
        <f>G9/$G$11</f>
        <v>8.589850998037063E-2</v>
      </c>
      <c r="I9" s="18"/>
      <c r="J9"/>
      <c r="K9"/>
      <c r="L9"/>
      <c r="M9"/>
      <c r="N9"/>
      <c r="O9"/>
    </row>
    <row r="10" spans="1:15">
      <c r="F10" s="5" t="s">
        <v>497</v>
      </c>
      <c r="G10" s="58">
        <f>'Calc-Drivers'!E32*SUM(I121:I146)</f>
        <v>4654782.0503022159</v>
      </c>
      <c r="H10" s="1030">
        <f>G10/$G$11</f>
        <v>0.28199154179777552</v>
      </c>
      <c r="I10" s="18" t="s">
        <v>619</v>
      </c>
      <c r="J10"/>
      <c r="K10"/>
      <c r="L10"/>
      <c r="M10"/>
      <c r="N10"/>
      <c r="O10"/>
    </row>
    <row r="11" spans="1:15">
      <c r="F11" s="55" t="s">
        <v>246</v>
      </c>
      <c r="G11" s="59">
        <f>SUM(G6:G10)</f>
        <v>16506814.42651318</v>
      </c>
      <c r="H11" s="60">
        <f>SUM(H6:H10)</f>
        <v>0.99999999999999989</v>
      </c>
      <c r="I11" t="str">
        <f>IF(G11=$I$164,"OK", "error")</f>
        <v>error</v>
      </c>
      <c r="J11"/>
      <c r="K11"/>
      <c r="L11"/>
      <c r="M11"/>
      <c r="N11"/>
      <c r="O11"/>
    </row>
    <row r="12" spans="1:15">
      <c r="J12"/>
      <c r="K12"/>
      <c r="L12"/>
      <c r="M12"/>
      <c r="N12"/>
      <c r="O12"/>
    </row>
    <row r="13" spans="1:15">
      <c r="J13"/>
      <c r="K13"/>
      <c r="L13"/>
      <c r="M13"/>
      <c r="N13"/>
      <c r="O13"/>
    </row>
    <row r="14" spans="1:15" s="1" customFormat="1" ht="12" customHeight="1">
      <c r="A14" s="8" t="s">
        <v>712</v>
      </c>
    </row>
    <row r="16" spans="1:15" s="19" customFormat="1" ht="25.5">
      <c r="A16" s="29"/>
      <c r="B16" s="1121"/>
      <c r="C16" s="1122" t="s">
        <v>641</v>
      </c>
      <c r="D16" s="1123" t="s">
        <v>31</v>
      </c>
      <c r="E16" s="1124" t="s">
        <v>876</v>
      </c>
      <c r="F16" s="1124"/>
      <c r="G16" s="1124" t="s">
        <v>713</v>
      </c>
      <c r="H16" s="1124" t="s">
        <v>703</v>
      </c>
      <c r="I16" s="1124" t="s">
        <v>459</v>
      </c>
      <c r="J16" s="37"/>
      <c r="K16" s="32"/>
      <c r="L16" s="32"/>
      <c r="M16" s="32"/>
      <c r="N16" s="38"/>
      <c r="O16" s="39"/>
    </row>
    <row r="17" spans="1:15" ht="54.75" customHeight="1">
      <c r="A17" s="3"/>
      <c r="B17" s="14"/>
      <c r="C17" s="20"/>
      <c r="D17" s="3"/>
      <c r="E17" s="1125" t="s">
        <v>585</v>
      </c>
      <c r="F17" s="1125" t="s">
        <v>217</v>
      </c>
      <c r="G17" s="1125" t="s">
        <v>446</v>
      </c>
      <c r="H17" s="1125" t="s">
        <v>913</v>
      </c>
      <c r="I17" s="1126" t="s">
        <v>883</v>
      </c>
      <c r="J17" s="32"/>
      <c r="K17" s="32"/>
      <c r="L17" s="32"/>
      <c r="M17" s="32"/>
      <c r="N17" s="32"/>
      <c r="O17" s="40"/>
    </row>
    <row r="18" spans="1:15">
      <c r="A18" s="3" t="s">
        <v>465</v>
      </c>
      <c r="B18" s="14"/>
      <c r="C18" s="20"/>
      <c r="D18" s="3"/>
      <c r="E18" s="3"/>
      <c r="F18" s="20"/>
      <c r="G18" s="20"/>
      <c r="H18" s="20"/>
      <c r="I18" s="20"/>
      <c r="J18" s="41"/>
      <c r="K18" s="33"/>
      <c r="L18" s="33"/>
      <c r="M18" s="34"/>
      <c r="N18" s="42"/>
      <c r="O18" s="43"/>
    </row>
    <row r="19" spans="1:15">
      <c r="A19" s="26"/>
      <c r="B19" s="21" t="s">
        <v>225</v>
      </c>
      <c r="C19" s="22"/>
      <c r="D19" s="26"/>
      <c r="E19" s="26"/>
      <c r="F19" s="22"/>
      <c r="G19" s="22"/>
      <c r="H19" s="22"/>
      <c r="I19" s="22"/>
      <c r="J19" s="41"/>
      <c r="K19" s="34"/>
      <c r="L19" s="35"/>
      <c r="M19" s="34"/>
      <c r="N19" s="41"/>
      <c r="O19" s="44"/>
    </row>
    <row r="20" spans="1:15">
      <c r="A20" s="26"/>
      <c r="B20" s="21"/>
      <c r="C20" s="22" t="s">
        <v>466</v>
      </c>
      <c r="D20" s="26" t="s">
        <v>177</v>
      </c>
      <c r="E20" s="4">
        <f>IF(ISNUMBER('FBPQ C2'!J12),'FBPQ C2'!J12,IF(ISNUMBER('FBPQ C2'!I12),'FBPQ C2'!I12,""))</f>
        <v>41.700246577433042</v>
      </c>
      <c r="F20" s="30" t="s">
        <v>218</v>
      </c>
      <c r="G20" s="30">
        <f t="shared" ref="G20:G51" si="0">IF(ISNUMBER(E20),E20,IF(H20&gt;0,F20," "))</f>
        <v>41.700246577433042</v>
      </c>
      <c r="H20" s="22">
        <f>IF(ISBLANK('FBPQ T4'!E12)," ",'FBPQ T4'!AE12)</f>
        <v>5998</v>
      </c>
      <c r="I20" s="22">
        <f>IF(ISERROR(G20*H20)," ",G20*H20)</f>
        <v>250118.07897144338</v>
      </c>
      <c r="J20" s="34"/>
      <c r="K20" s="34"/>
      <c r="L20" s="34"/>
      <c r="M20" s="34"/>
      <c r="N20" s="45"/>
      <c r="O20" s="44"/>
    </row>
    <row r="21" spans="1:15">
      <c r="A21" s="26"/>
      <c r="B21" s="21"/>
      <c r="C21" s="22" t="s">
        <v>467</v>
      </c>
      <c r="D21" s="26" t="s">
        <v>744</v>
      </c>
      <c r="E21" s="4">
        <f>IF(ISNUMBER('FBPQ C2'!J13),'FBPQ C2'!J13,IF(ISNUMBER('FBPQ C2'!I13),'FBPQ C2'!I13,""))</f>
        <v>0.50853959240772006</v>
      </c>
      <c r="F21" s="30" t="s">
        <v>218</v>
      </c>
      <c r="G21" s="30">
        <f t="shared" si="0"/>
        <v>0.50853959240772006</v>
      </c>
      <c r="H21" s="22">
        <f>IF(ISBLANK('FBPQ T4'!E13)," ",'FBPQ T4'!AE13)</f>
        <v>236300</v>
      </c>
      <c r="I21" s="22">
        <f t="shared" ref="I21:I84" si="1">IF(ISERROR(G21*H21)," ",G21*H21)</f>
        <v>120167.90568594425</v>
      </c>
      <c r="J21" s="34"/>
      <c r="K21" s="34"/>
      <c r="L21" s="34"/>
      <c r="M21" s="34"/>
      <c r="N21" s="45"/>
      <c r="O21" s="46"/>
    </row>
    <row r="22" spans="1:15">
      <c r="A22" s="26"/>
      <c r="B22" s="21"/>
      <c r="C22" s="22"/>
      <c r="D22" s="26"/>
      <c r="E22" s="4" t="str">
        <f>IF(ISNUMBER('FBPQ C2'!J14),'FBPQ C2'!J14,IF(ISNUMBER('FBPQ C2'!I14),'FBPQ C2'!I14,""))</f>
        <v/>
      </c>
      <c r="F22" s="30"/>
      <c r="G22" s="30">
        <f t="shared" si="0"/>
        <v>0</v>
      </c>
      <c r="H22" s="22" t="str">
        <f>IF(ISBLANK('FBPQ T4'!E14)," ",'FBPQ T4'!AE14)</f>
        <v xml:space="preserve"> </v>
      </c>
      <c r="I22" s="22" t="str">
        <f t="shared" si="1"/>
        <v xml:space="preserve"> </v>
      </c>
      <c r="J22" s="34"/>
      <c r="K22" s="34"/>
      <c r="L22" s="34"/>
      <c r="M22" s="34"/>
      <c r="N22" s="45"/>
      <c r="O22" s="46"/>
    </row>
    <row r="23" spans="1:15">
      <c r="A23" s="26"/>
      <c r="B23" s="21" t="s">
        <v>745</v>
      </c>
      <c r="C23" s="22"/>
      <c r="D23" s="26"/>
      <c r="E23" s="4" t="str">
        <f>IF(ISNUMBER('FBPQ C2'!J15),'FBPQ C2'!J15,IF(ISNUMBER('FBPQ C2'!I15),'FBPQ C2'!I15,""))</f>
        <v/>
      </c>
      <c r="F23" s="30"/>
      <c r="G23" s="30">
        <f t="shared" si="0"/>
        <v>0</v>
      </c>
      <c r="H23" s="22" t="str">
        <f>IF(ISBLANK('FBPQ T4'!E15)," ",'FBPQ T4'!AE15)</f>
        <v xml:space="preserve"> </v>
      </c>
      <c r="I23" s="22" t="str">
        <f t="shared" si="1"/>
        <v xml:space="preserve"> </v>
      </c>
      <c r="J23" s="34"/>
      <c r="K23" s="34"/>
      <c r="L23" s="35"/>
      <c r="M23" s="34"/>
      <c r="N23" s="45"/>
      <c r="O23" s="44"/>
    </row>
    <row r="24" spans="1:15">
      <c r="A24" s="26"/>
      <c r="B24" s="21"/>
      <c r="C24" s="22" t="s">
        <v>746</v>
      </c>
      <c r="D24" s="26" t="s">
        <v>744</v>
      </c>
      <c r="E24" s="4">
        <f>IF(ISNUMBER('FBPQ C2'!J16),'FBPQ C2'!J16,IF(ISNUMBER('FBPQ C2'!I16),'FBPQ C2'!I16,""))</f>
        <v>0</v>
      </c>
      <c r="F24" s="30" t="s">
        <v>218</v>
      </c>
      <c r="G24" s="30">
        <f t="shared" si="0"/>
        <v>0</v>
      </c>
      <c r="H24" s="22">
        <f>IF(ISBLANK('FBPQ T4'!E16)," ",'FBPQ T4'!AE16)</f>
        <v>194497</v>
      </c>
      <c r="I24" s="22">
        <f t="shared" si="1"/>
        <v>0</v>
      </c>
      <c r="J24" s="34"/>
      <c r="K24" s="34"/>
      <c r="L24" s="34"/>
      <c r="M24" s="34"/>
      <c r="N24" s="45"/>
      <c r="O24" s="46"/>
    </row>
    <row r="25" spans="1:15">
      <c r="A25" s="26"/>
      <c r="B25" s="21"/>
      <c r="C25" s="22"/>
      <c r="D25" s="26"/>
      <c r="E25" s="4" t="str">
        <f>IF(ISNUMBER('FBPQ C2'!J17),'FBPQ C2'!J17,IF(ISNUMBER('FBPQ C2'!I17),'FBPQ C2'!I17,""))</f>
        <v/>
      </c>
      <c r="F25" s="30"/>
      <c r="G25" s="30">
        <f t="shared" si="0"/>
        <v>0</v>
      </c>
      <c r="H25" s="22" t="str">
        <f>IF(ISBLANK('FBPQ T4'!E17)," ",'FBPQ T4'!AE17)</f>
        <v xml:space="preserve"> </v>
      </c>
      <c r="I25" s="22" t="str">
        <f t="shared" si="1"/>
        <v xml:space="preserve"> </v>
      </c>
      <c r="J25" s="34"/>
      <c r="K25" s="34"/>
      <c r="L25" s="34"/>
      <c r="M25" s="34"/>
      <c r="N25" s="45"/>
      <c r="O25" s="46"/>
    </row>
    <row r="26" spans="1:15">
      <c r="A26" s="26"/>
      <c r="B26" s="21" t="s">
        <v>878</v>
      </c>
      <c r="C26" s="22"/>
      <c r="D26" s="26"/>
      <c r="E26" s="4" t="str">
        <f>IF(ISNUMBER('FBPQ C2'!J18),'FBPQ C2'!J18,IF(ISNUMBER('FBPQ C2'!I18),'FBPQ C2'!I18,""))</f>
        <v/>
      </c>
      <c r="F26" s="30"/>
      <c r="G26" s="30">
        <f t="shared" si="0"/>
        <v>0</v>
      </c>
      <c r="H26" s="22" t="str">
        <f>IF(ISBLANK('FBPQ T4'!E18)," ",'FBPQ T4'!AE18)</f>
        <v xml:space="preserve"> </v>
      </c>
      <c r="I26" s="22" t="str">
        <f t="shared" si="1"/>
        <v xml:space="preserve"> </v>
      </c>
      <c r="J26" s="34"/>
      <c r="K26" s="34"/>
      <c r="L26" s="35"/>
      <c r="M26" s="34"/>
      <c r="N26" s="45"/>
      <c r="O26" s="44"/>
    </row>
    <row r="27" spans="1:15">
      <c r="A27" s="26"/>
      <c r="B27" s="21"/>
      <c r="C27" s="22" t="s">
        <v>773</v>
      </c>
      <c r="D27" s="26" t="s">
        <v>177</v>
      </c>
      <c r="E27" s="4">
        <f>IF(ISNUMBER('FBPQ C2'!J19),'FBPQ C2'!J19,IF(ISNUMBER('FBPQ C2'!I19),'FBPQ C2'!I19,""))</f>
        <v>127.13489810193002</v>
      </c>
      <c r="F27" s="30" t="s">
        <v>218</v>
      </c>
      <c r="G27" s="30">
        <f t="shared" si="0"/>
        <v>127.13489810193002</v>
      </c>
      <c r="H27" s="22">
        <f>IF(ISBLANK('FBPQ T4'!E19)," ",'FBPQ T4'!AE19)</f>
        <v>3903</v>
      </c>
      <c r="I27" s="22">
        <f t="shared" si="1"/>
        <v>496207.50729183288</v>
      </c>
      <c r="J27" s="34"/>
      <c r="K27" s="34"/>
      <c r="L27" s="35"/>
      <c r="M27" s="34"/>
      <c r="N27" s="45"/>
      <c r="O27" s="44"/>
    </row>
    <row r="28" spans="1:15">
      <c r="A28" s="26"/>
      <c r="B28" s="21"/>
      <c r="C28" s="22" t="s">
        <v>634</v>
      </c>
      <c r="D28" s="26" t="s">
        <v>177</v>
      </c>
      <c r="E28" s="4">
        <f>IF(ISNUMBER('FBPQ C2'!J20),'FBPQ C2'!J20,IF(ISNUMBER('FBPQ C2'!I20),'FBPQ C2'!I20,""))</f>
        <v>127.13489810193002</v>
      </c>
      <c r="F28" s="30" t="s">
        <v>218</v>
      </c>
      <c r="G28" s="30">
        <f t="shared" si="0"/>
        <v>127.13489810193002</v>
      </c>
      <c r="H28" s="22">
        <f>IF(ISBLANK('FBPQ T4'!E20)," ",'FBPQ T4'!AE20)</f>
        <v>5782.6999999999989</v>
      </c>
      <c r="I28" s="22">
        <f t="shared" si="1"/>
        <v>735182.97525403055</v>
      </c>
      <c r="J28" s="34"/>
      <c r="K28" s="34"/>
      <c r="L28" s="35"/>
      <c r="M28" s="34"/>
      <c r="N28" s="45"/>
      <c r="O28" s="44"/>
    </row>
    <row r="29" spans="1:15">
      <c r="A29" s="26"/>
      <c r="B29" s="21"/>
      <c r="C29" s="22" t="s">
        <v>635</v>
      </c>
      <c r="D29" s="26" t="s">
        <v>177</v>
      </c>
      <c r="E29" s="4">
        <f>IF(ISNUMBER('FBPQ C2'!J21),'FBPQ C2'!J21,IF(ISNUMBER('FBPQ C2'!I21),'FBPQ C2'!I21,""))</f>
        <v>127.13489810193002</v>
      </c>
      <c r="F29" s="30" t="s">
        <v>218</v>
      </c>
      <c r="G29" s="30">
        <f t="shared" si="0"/>
        <v>127.13489810193002</v>
      </c>
      <c r="H29" s="22">
        <f>IF(ISBLANK('FBPQ T4'!E21)," ",'FBPQ T4'!AE21)</f>
        <v>16215.5</v>
      </c>
      <c r="I29" s="22">
        <f t="shared" si="1"/>
        <v>2061555.9401718462</v>
      </c>
      <c r="J29" s="34"/>
      <c r="K29" s="34"/>
      <c r="L29" s="35"/>
      <c r="M29" s="34"/>
      <c r="N29" s="45"/>
      <c r="O29" s="44"/>
    </row>
    <row r="30" spans="1:15">
      <c r="A30" s="26"/>
      <c r="B30" s="21"/>
      <c r="C30" s="22" t="s">
        <v>636</v>
      </c>
      <c r="D30" s="26" t="s">
        <v>744</v>
      </c>
      <c r="E30" s="4">
        <f>IF(ISNUMBER('FBPQ C2'!J22),'FBPQ C2'!J22,IF(ISNUMBER('FBPQ C2'!I22),'FBPQ C2'!I22,""))</f>
        <v>1.7000732843986286</v>
      </c>
      <c r="F30" s="30" t="s">
        <v>218</v>
      </c>
      <c r="G30" s="30">
        <f t="shared" si="0"/>
        <v>1.7000732843986286</v>
      </c>
      <c r="H30" s="22">
        <f>IF(ISBLANK('FBPQ T4'!E22)," ",'FBPQ T4'!AE22)</f>
        <v>2225996</v>
      </c>
      <c r="I30" s="22">
        <f t="shared" si="1"/>
        <v>3784356.3307782095</v>
      </c>
      <c r="J30" s="34"/>
      <c r="K30" s="34"/>
      <c r="L30" s="35"/>
      <c r="M30" s="34"/>
      <c r="N30" s="45"/>
      <c r="O30" s="46"/>
    </row>
    <row r="31" spans="1:15">
      <c r="A31" s="26"/>
      <c r="B31" s="21"/>
      <c r="C31" s="22"/>
      <c r="D31" s="26"/>
      <c r="E31" s="4" t="str">
        <f>IF(ISNUMBER('FBPQ C2'!J23),'FBPQ C2'!J23,IF(ISNUMBER('FBPQ C2'!I23),'FBPQ C2'!I23,""))</f>
        <v/>
      </c>
      <c r="F31" s="30"/>
      <c r="G31" s="30">
        <f t="shared" si="0"/>
        <v>0</v>
      </c>
      <c r="H31" s="22" t="str">
        <f>IF(ISBLANK('FBPQ T4'!E23)," ",'FBPQ T4'!AE23)</f>
        <v xml:space="preserve"> </v>
      </c>
      <c r="I31" s="22" t="str">
        <f t="shared" si="1"/>
        <v xml:space="preserve"> </v>
      </c>
      <c r="J31" s="34"/>
      <c r="K31" s="34"/>
      <c r="L31" s="34"/>
      <c r="M31" s="34"/>
      <c r="N31" s="45"/>
      <c r="O31" s="46"/>
    </row>
    <row r="32" spans="1:15">
      <c r="A32" s="26"/>
      <c r="B32" s="21" t="s">
        <v>637</v>
      </c>
      <c r="C32" s="22"/>
      <c r="D32" s="26"/>
      <c r="E32" s="4" t="str">
        <f>IF(ISNUMBER('FBPQ C2'!J24),'FBPQ C2'!J24,IF(ISNUMBER('FBPQ C2'!I24),'FBPQ C2'!I24,""))</f>
        <v/>
      </c>
      <c r="F32" s="30"/>
      <c r="G32" s="30">
        <f t="shared" si="0"/>
        <v>0</v>
      </c>
      <c r="H32" s="22" t="str">
        <f>IF(ISBLANK('FBPQ T4'!E24)," ",'FBPQ T4'!AE24)</f>
        <v xml:space="preserve"> </v>
      </c>
      <c r="I32" s="22" t="str">
        <f t="shared" si="1"/>
        <v xml:space="preserve"> </v>
      </c>
      <c r="J32" s="34"/>
      <c r="K32"/>
      <c r="L32"/>
      <c r="M32"/>
      <c r="N32"/>
      <c r="O32"/>
    </row>
    <row r="33" spans="1:15">
      <c r="A33" s="26"/>
      <c r="B33" s="21"/>
      <c r="C33" s="22" t="s">
        <v>638</v>
      </c>
      <c r="D33" s="26" t="s">
        <v>744</v>
      </c>
      <c r="E33" s="4">
        <f>IF(ISNUMBER('FBPQ C2'!J25),'FBPQ C2'!J25,IF(ISNUMBER('FBPQ C2'!I25),'FBPQ C2'!I25,""))</f>
        <v>5.7210704145868512</v>
      </c>
      <c r="F33" s="30" t="s">
        <v>218</v>
      </c>
      <c r="G33" s="30">
        <f t="shared" si="0"/>
        <v>5.7210704145868512</v>
      </c>
      <c r="H33" s="22">
        <f>IF(ISBLANK('FBPQ T4'!E25)," ",'FBPQ T4'!AE25)</f>
        <v>5238</v>
      </c>
      <c r="I33" s="22">
        <f t="shared" si="1"/>
        <v>29966.966831605925</v>
      </c>
      <c r="J33" s="203"/>
      <c r="K33"/>
      <c r="L33"/>
      <c r="M33"/>
      <c r="N33"/>
      <c r="O33"/>
    </row>
    <row r="34" spans="1:15">
      <c r="A34" s="26"/>
      <c r="B34" s="21"/>
      <c r="C34" s="22" t="s">
        <v>639</v>
      </c>
      <c r="D34" s="26" t="s">
        <v>744</v>
      </c>
      <c r="E34" s="4">
        <f>IF(ISNUMBER('FBPQ C2'!J26),'FBPQ C2'!J26,IF(ISNUMBER('FBPQ C2'!I26),'FBPQ C2'!I26,""))</f>
        <v>5.7210704145868512</v>
      </c>
      <c r="F34" s="30" t="s">
        <v>218</v>
      </c>
      <c r="G34" s="30">
        <f t="shared" si="0"/>
        <v>5.7210704145868512</v>
      </c>
      <c r="H34" s="22">
        <f>IF(ISBLANK('FBPQ T4'!E26)," ",'FBPQ T4'!AE26)</f>
        <v>10420</v>
      </c>
      <c r="I34" s="22">
        <f t="shared" si="1"/>
        <v>59613.55371999499</v>
      </c>
      <c r="J34" s="34"/>
      <c r="K34"/>
      <c r="L34"/>
      <c r="M34"/>
      <c r="N34"/>
      <c r="O34"/>
    </row>
    <row r="35" spans="1:15">
      <c r="A35" s="26"/>
      <c r="B35" s="21"/>
      <c r="C35" s="22" t="s">
        <v>758</v>
      </c>
      <c r="D35" s="26" t="s">
        <v>744</v>
      </c>
      <c r="E35" s="4">
        <f>IF(ISNUMBER('FBPQ C2'!J27),'FBPQ C2'!J27,IF(ISNUMBER('FBPQ C2'!I27),'FBPQ C2'!I27,""))</f>
        <v>5.7210704145868512</v>
      </c>
      <c r="F35" s="30" t="s">
        <v>218</v>
      </c>
      <c r="G35" s="30">
        <f t="shared" si="0"/>
        <v>5.7210704145868512</v>
      </c>
      <c r="H35" s="22">
        <f>IF(ISBLANK('FBPQ T4'!E27)," ",'FBPQ T4'!AE27)</f>
        <v>0</v>
      </c>
      <c r="I35" s="22">
        <f t="shared" si="1"/>
        <v>0</v>
      </c>
      <c r="J35" s="34"/>
      <c r="K35"/>
      <c r="L35"/>
      <c r="M35"/>
      <c r="N35"/>
      <c r="O35"/>
    </row>
    <row r="36" spans="1:15">
      <c r="A36" s="26"/>
      <c r="B36" s="21"/>
      <c r="C36" s="22" t="s">
        <v>759</v>
      </c>
      <c r="D36" s="26" t="s">
        <v>744</v>
      </c>
      <c r="E36" s="4">
        <f>IF(ISNUMBER('FBPQ C2'!J28),'FBPQ C2'!J28,IF(ISNUMBER('FBPQ C2'!I28),'FBPQ C2'!I28,""))</f>
        <v>4.8311261278733406</v>
      </c>
      <c r="F36" s="30" t="s">
        <v>218</v>
      </c>
      <c r="G36" s="30">
        <f t="shared" si="0"/>
        <v>4.8311261278733406</v>
      </c>
      <c r="H36" s="22">
        <f>IF(ISBLANK('FBPQ T4'!E28)," ",'FBPQ T4'!AE28)</f>
        <v>21398.2</v>
      </c>
      <c r="I36" s="22">
        <f t="shared" si="1"/>
        <v>103377.40310945932</v>
      </c>
      <c r="J36" s="34"/>
      <c r="K36"/>
      <c r="L36"/>
      <c r="M36"/>
      <c r="N36"/>
      <c r="O36"/>
    </row>
    <row r="37" spans="1:15">
      <c r="A37" s="26"/>
      <c r="B37" s="21"/>
      <c r="C37" s="22" t="s">
        <v>41</v>
      </c>
      <c r="D37" s="26" t="s">
        <v>744</v>
      </c>
      <c r="E37" s="4" t="str">
        <f>IF(ISNUMBER('FBPQ C2'!J29),'FBPQ C2'!J29,IF(ISNUMBER('FBPQ C2'!I29),'FBPQ C2'!I29,""))</f>
        <v/>
      </c>
      <c r="F37" s="30" t="s">
        <v>218</v>
      </c>
      <c r="G37" s="30" t="str">
        <f t="shared" si="0"/>
        <v>DATA</v>
      </c>
      <c r="H37" s="22">
        <f>IF(ISBLANK('FBPQ T4'!E29)," ",'FBPQ T4'!AE29)</f>
        <v>34104</v>
      </c>
      <c r="I37" s="22" t="str">
        <f t="shared" si="1"/>
        <v xml:space="preserve"> </v>
      </c>
      <c r="J37" s="34"/>
      <c r="K37"/>
      <c r="L37"/>
      <c r="M37"/>
      <c r="N37"/>
      <c r="O37"/>
    </row>
    <row r="38" spans="1:15">
      <c r="A38" s="26"/>
      <c r="B38" s="21"/>
      <c r="C38" s="22" t="s">
        <v>42</v>
      </c>
      <c r="D38" s="26" t="s">
        <v>744</v>
      </c>
      <c r="E38" s="4" t="str">
        <f>IF(ISNUMBER('FBPQ C2'!J30),'FBPQ C2'!J30,IF(ISNUMBER('FBPQ C2'!I30),'FBPQ C2'!I30,""))</f>
        <v/>
      </c>
      <c r="F38" s="30" t="s">
        <v>218</v>
      </c>
      <c r="G38" s="30" t="str">
        <f t="shared" si="0"/>
        <v xml:space="preserve"> </v>
      </c>
      <c r="H38" s="22">
        <f>IF(ISBLANK('FBPQ T4'!E30)," ",'FBPQ T4'!AE30)</f>
        <v>0</v>
      </c>
      <c r="I38" s="22" t="str">
        <f t="shared" si="1"/>
        <v xml:space="preserve"> </v>
      </c>
      <c r="J38" s="34"/>
      <c r="K38"/>
      <c r="L38"/>
      <c r="M38"/>
      <c r="N38"/>
      <c r="O38"/>
    </row>
    <row r="39" spans="1:15">
      <c r="A39" s="26"/>
      <c r="B39" s="21"/>
      <c r="C39" s="22"/>
      <c r="D39" s="26"/>
      <c r="E39" s="4" t="str">
        <f>IF(ISNUMBER('FBPQ C2'!J31),'FBPQ C2'!J31,IF(ISNUMBER('FBPQ C2'!I31),'FBPQ C2'!I31,""))</f>
        <v/>
      </c>
      <c r="F39" s="30"/>
      <c r="G39" s="30">
        <f t="shared" si="0"/>
        <v>0</v>
      </c>
      <c r="H39" s="22" t="str">
        <f>IF(ISBLANK('FBPQ T4'!E31)," ",'FBPQ T4'!AE31)</f>
        <v xml:space="preserve"> </v>
      </c>
      <c r="I39" s="22" t="str">
        <f t="shared" si="1"/>
        <v xml:space="preserve"> </v>
      </c>
      <c r="J39" s="48"/>
      <c r="K39"/>
      <c r="L39"/>
      <c r="M39"/>
      <c r="N39"/>
      <c r="O39"/>
    </row>
    <row r="40" spans="1:15">
      <c r="A40" s="26" t="s">
        <v>43</v>
      </c>
      <c r="B40" s="21"/>
      <c r="C40" s="22"/>
      <c r="D40" s="26"/>
      <c r="E40" s="4" t="str">
        <f>IF(ISNUMBER('FBPQ C2'!J32),'FBPQ C2'!J32,IF(ISNUMBER('FBPQ C2'!I32),'FBPQ C2'!I32,""))</f>
        <v/>
      </c>
      <c r="F40" s="30"/>
      <c r="G40" s="30">
        <f t="shared" si="0"/>
        <v>0</v>
      </c>
      <c r="H40" s="22" t="str">
        <f>IF(ISBLANK('FBPQ T4'!E32)," ",'FBPQ T4'!AE32)</f>
        <v xml:space="preserve"> </v>
      </c>
      <c r="I40" s="22" t="str">
        <f t="shared" si="1"/>
        <v xml:space="preserve"> </v>
      </c>
      <c r="J40" s="34"/>
      <c r="K40"/>
      <c r="L40"/>
      <c r="M40"/>
      <c r="N40"/>
      <c r="O40"/>
    </row>
    <row r="41" spans="1:15">
      <c r="A41" s="26"/>
      <c r="B41" s="21" t="s">
        <v>225</v>
      </c>
      <c r="C41" s="22"/>
      <c r="D41" s="26"/>
      <c r="E41" s="4" t="str">
        <f>IF(ISNUMBER('FBPQ C2'!J33),'FBPQ C2'!J33,IF(ISNUMBER('FBPQ C2'!I33),'FBPQ C2'!I33,""))</f>
        <v/>
      </c>
      <c r="F41" s="30"/>
      <c r="G41" s="30">
        <f t="shared" si="0"/>
        <v>0</v>
      </c>
      <c r="H41" s="22" t="str">
        <f>IF(ISBLANK('FBPQ T4'!E33)," ",'FBPQ T4'!AE33)</f>
        <v xml:space="preserve"> </v>
      </c>
      <c r="I41" s="22" t="str">
        <f t="shared" si="1"/>
        <v xml:space="preserve"> </v>
      </c>
      <c r="J41" s="34"/>
      <c r="K41"/>
      <c r="L41"/>
      <c r="M41"/>
      <c r="N41"/>
      <c r="O41"/>
    </row>
    <row r="42" spans="1:15">
      <c r="A42" s="26"/>
      <c r="B42" s="21"/>
      <c r="C42" s="22" t="s">
        <v>44</v>
      </c>
      <c r="D42" s="26" t="s">
        <v>177</v>
      </c>
      <c r="E42" s="4">
        <f>IF(ISNUMBER('FBPQ C2'!J34),'FBPQ C2'!J34,IF(ISNUMBER('FBPQ C2'!I34),'FBPQ C2'!I34,""))</f>
        <v>43.098730456554271</v>
      </c>
      <c r="F42" s="30" t="s">
        <v>218</v>
      </c>
      <c r="G42" s="30">
        <f t="shared" si="0"/>
        <v>43.098730456554271</v>
      </c>
      <c r="H42" s="22">
        <f>IF(ISBLANK('FBPQ T4'!E34)," ",'FBPQ T4'!AE34)</f>
        <v>14429.7</v>
      </c>
      <c r="I42" s="22">
        <f t="shared" si="1"/>
        <v>621901.75086894119</v>
      </c>
      <c r="J42" s="34"/>
      <c r="K42"/>
      <c r="L42"/>
      <c r="M42"/>
      <c r="N42"/>
      <c r="O42"/>
    </row>
    <row r="43" spans="1:15">
      <c r="A43" s="26"/>
      <c r="B43" s="21"/>
      <c r="C43" s="22" t="s">
        <v>45</v>
      </c>
      <c r="D43" s="26" t="s">
        <v>177</v>
      </c>
      <c r="E43" s="4">
        <f>IF(ISNUMBER('FBPQ C2'!J35),'FBPQ C2'!J35,IF(ISNUMBER('FBPQ C2'!I35),'FBPQ C2'!I35,""))</f>
        <v>43.098730456554271</v>
      </c>
      <c r="F43" s="30" t="s">
        <v>218</v>
      </c>
      <c r="G43" s="30">
        <f t="shared" si="0"/>
        <v>43.098730456554271</v>
      </c>
      <c r="H43" s="22">
        <f>IF(ISBLANK('FBPQ T4'!E35)," ",'FBPQ T4'!AE35)</f>
        <v>0</v>
      </c>
      <c r="I43" s="22">
        <f t="shared" si="1"/>
        <v>0</v>
      </c>
      <c r="J43" s="34"/>
      <c r="K43"/>
      <c r="L43"/>
      <c r="M43"/>
      <c r="N43"/>
      <c r="O43"/>
    </row>
    <row r="44" spans="1:15">
      <c r="A44" s="26"/>
      <c r="B44" s="21"/>
      <c r="C44" s="22" t="s">
        <v>46</v>
      </c>
      <c r="D44" s="26" t="s">
        <v>177</v>
      </c>
      <c r="E44" s="4">
        <f>IF(ISNUMBER('FBPQ C2'!J36),'FBPQ C2'!J36,IF(ISNUMBER('FBPQ C2'!I36),'FBPQ C2'!I36,""))</f>
        <v>0</v>
      </c>
      <c r="F44" s="30" t="s">
        <v>218</v>
      </c>
      <c r="G44" s="30">
        <f t="shared" si="0"/>
        <v>0</v>
      </c>
      <c r="H44" s="22">
        <f>IF(ISBLANK('FBPQ T4'!E36)," ",'FBPQ T4'!AE36)</f>
        <v>0</v>
      </c>
      <c r="I44" s="22">
        <f t="shared" si="1"/>
        <v>0</v>
      </c>
      <c r="J44" s="34"/>
      <c r="K44" s="34"/>
      <c r="L44" s="34"/>
      <c r="M44" s="34"/>
      <c r="N44" s="45"/>
      <c r="O44" s="44"/>
    </row>
    <row r="45" spans="1:15">
      <c r="A45" s="26"/>
      <c r="B45" s="21"/>
      <c r="C45" s="22" t="s">
        <v>649</v>
      </c>
      <c r="D45" s="26" t="s">
        <v>177</v>
      </c>
      <c r="E45" s="4">
        <f>IF(ISNUMBER('FBPQ C2'!J37),'FBPQ C2'!J37,IF(ISNUMBER('FBPQ C2'!I37),'FBPQ C2'!I37,""))</f>
        <v>0</v>
      </c>
      <c r="F45" s="30" t="s">
        <v>218</v>
      </c>
      <c r="G45" s="30">
        <f t="shared" si="0"/>
        <v>0</v>
      </c>
      <c r="H45" s="22">
        <f>IF(ISBLANK('FBPQ T4'!E37)," ",'FBPQ T4'!AE37)</f>
        <v>0</v>
      </c>
      <c r="I45" s="22">
        <f t="shared" si="1"/>
        <v>0</v>
      </c>
      <c r="J45" s="34"/>
      <c r="K45" s="34"/>
      <c r="L45" s="34"/>
      <c r="M45" s="34"/>
      <c r="N45" s="45"/>
      <c r="O45" s="46"/>
    </row>
    <row r="46" spans="1:15">
      <c r="A46" s="26"/>
      <c r="B46" s="21"/>
      <c r="C46" s="22"/>
      <c r="D46" s="26"/>
      <c r="E46" s="4" t="str">
        <f>IF(ISNUMBER('FBPQ C2'!J38),'FBPQ C2'!J38,IF(ISNUMBER('FBPQ C2'!I38),'FBPQ C2'!I38,""))</f>
        <v/>
      </c>
      <c r="F46" s="30"/>
      <c r="G46" s="30">
        <f t="shared" si="0"/>
        <v>0</v>
      </c>
      <c r="H46" s="22" t="str">
        <f>IF(ISBLANK('FBPQ T4'!E38)," ",'FBPQ T4'!AE38)</f>
        <v xml:space="preserve"> </v>
      </c>
      <c r="I46" s="22" t="str">
        <f t="shared" si="1"/>
        <v xml:space="preserve"> </v>
      </c>
      <c r="J46" s="34"/>
      <c r="K46" s="34"/>
      <c r="L46" s="34"/>
      <c r="M46" s="34"/>
      <c r="N46" s="45"/>
      <c r="O46" s="46"/>
    </row>
    <row r="47" spans="1:15">
      <c r="A47" s="26"/>
      <c r="B47" s="21" t="s">
        <v>745</v>
      </c>
      <c r="C47" s="22"/>
      <c r="D47" s="26"/>
      <c r="E47" s="4" t="str">
        <f>IF(ISNUMBER('FBPQ C2'!J39),'FBPQ C2'!J39,IF(ISNUMBER('FBPQ C2'!I39),'FBPQ C2'!I39,""))</f>
        <v/>
      </c>
      <c r="F47" s="30"/>
      <c r="G47" s="30">
        <f t="shared" si="0"/>
        <v>0</v>
      </c>
      <c r="H47" s="22" t="str">
        <f>IF(ISBLANK('FBPQ T4'!E39)," ",'FBPQ T4'!AE39)</f>
        <v xml:space="preserve"> </v>
      </c>
      <c r="I47" s="22" t="str">
        <f t="shared" si="1"/>
        <v xml:space="preserve"> </v>
      </c>
      <c r="J47" s="34"/>
      <c r="K47" s="34"/>
      <c r="L47" s="35"/>
      <c r="M47" s="34"/>
      <c r="N47" s="45"/>
      <c r="O47" s="44"/>
    </row>
    <row r="48" spans="1:15">
      <c r="A48" s="26"/>
      <c r="B48" s="21"/>
      <c r="C48" s="22" t="s">
        <v>767</v>
      </c>
      <c r="D48" s="26" t="s">
        <v>744</v>
      </c>
      <c r="E48" s="4">
        <f>IF(ISNUMBER('FBPQ C2'!J40),'FBPQ C2'!J40,IF(ISNUMBER('FBPQ C2'!I40),'FBPQ C2'!I40,""))</f>
        <v>0</v>
      </c>
      <c r="F48" s="30" t="s">
        <v>218</v>
      </c>
      <c r="G48" s="30">
        <f t="shared" si="0"/>
        <v>0</v>
      </c>
      <c r="H48" s="22">
        <f>IF(ISBLANK('FBPQ T4'!E40)," ",'FBPQ T4'!AE40)</f>
        <v>207731</v>
      </c>
      <c r="I48" s="22">
        <f t="shared" si="1"/>
        <v>0</v>
      </c>
      <c r="J48" s="34"/>
      <c r="K48" s="34"/>
      <c r="L48" s="50"/>
      <c r="M48" s="34"/>
      <c r="N48" s="45"/>
      <c r="O48" s="44"/>
    </row>
    <row r="49" spans="1:15">
      <c r="A49" s="26"/>
      <c r="B49" s="21"/>
      <c r="C49" s="22" t="s">
        <v>768</v>
      </c>
      <c r="D49" s="26" t="s">
        <v>744</v>
      </c>
      <c r="E49" s="4">
        <f>IF(ISNUMBER('FBPQ C2'!J41),'FBPQ C2'!J41,IF(ISNUMBER('FBPQ C2'!I41),'FBPQ C2'!I41,""))</f>
        <v>0</v>
      </c>
      <c r="F49" s="30" t="s">
        <v>218</v>
      </c>
      <c r="G49" s="30">
        <f t="shared" si="0"/>
        <v>0</v>
      </c>
      <c r="H49" s="22">
        <f>IF(ISBLANK('FBPQ T4'!E41)," ",'FBPQ T4'!AE41)</f>
        <v>0</v>
      </c>
      <c r="I49" s="22">
        <f t="shared" si="1"/>
        <v>0</v>
      </c>
      <c r="J49" s="34"/>
      <c r="K49" s="34"/>
      <c r="L49" s="35"/>
      <c r="M49" s="34"/>
      <c r="N49" s="45"/>
      <c r="O49" s="46"/>
    </row>
    <row r="50" spans="1:15">
      <c r="A50" s="26"/>
      <c r="B50" s="21"/>
      <c r="C50" s="22"/>
      <c r="D50" s="26"/>
      <c r="E50" s="4" t="str">
        <f>IF(ISNUMBER('FBPQ C2'!J42),'FBPQ C2'!J42,IF(ISNUMBER('FBPQ C2'!I42),'FBPQ C2'!I42,""))</f>
        <v/>
      </c>
      <c r="F50" s="30" t="s">
        <v>218</v>
      </c>
      <c r="G50" s="30" t="str">
        <f t="shared" si="0"/>
        <v>DATA</v>
      </c>
      <c r="H50" s="22" t="str">
        <f>IF(ISBLANK('FBPQ T4'!E42)," ",'FBPQ T4'!AE42)</f>
        <v xml:space="preserve"> </v>
      </c>
      <c r="I50" s="22" t="str">
        <f t="shared" si="1"/>
        <v xml:space="preserve"> </v>
      </c>
      <c r="J50" s="34"/>
      <c r="K50" s="34"/>
      <c r="L50" s="34"/>
      <c r="M50" s="34"/>
      <c r="N50" s="45"/>
      <c r="O50" s="46"/>
    </row>
    <row r="51" spans="1:15">
      <c r="A51" s="26"/>
      <c r="B51" s="21" t="s">
        <v>769</v>
      </c>
      <c r="C51" s="22"/>
      <c r="D51" s="26"/>
      <c r="E51" s="4" t="str">
        <f>IF(ISNUMBER('FBPQ C2'!J43),'FBPQ C2'!J43,IF(ISNUMBER('FBPQ C2'!I43),'FBPQ C2'!I43,""))</f>
        <v/>
      </c>
      <c r="F51" s="30"/>
      <c r="G51" s="30">
        <f t="shared" si="0"/>
        <v>0</v>
      </c>
      <c r="H51" s="22" t="str">
        <f>IF(ISBLANK('FBPQ T4'!E43)," ",'FBPQ T4'!AE43)</f>
        <v xml:space="preserve"> </v>
      </c>
      <c r="I51" s="22" t="str">
        <f t="shared" si="1"/>
        <v xml:space="preserve"> </v>
      </c>
      <c r="J51" s="34"/>
      <c r="K51" s="34"/>
      <c r="L51" s="35"/>
      <c r="M51" s="34"/>
      <c r="N51" s="45"/>
      <c r="O51" s="44"/>
    </row>
    <row r="52" spans="1:15">
      <c r="A52" s="26"/>
      <c r="B52" s="21"/>
      <c r="C52" s="22" t="s">
        <v>770</v>
      </c>
      <c r="D52" s="26" t="s">
        <v>177</v>
      </c>
      <c r="E52" s="4">
        <f>IF(ISNUMBER('FBPQ C2'!J44),'FBPQ C2'!J44,IF(ISNUMBER('FBPQ C2'!I44),'FBPQ C2'!I44,""))</f>
        <v>84.544707237783456</v>
      </c>
      <c r="F52" s="30" t="s">
        <v>218</v>
      </c>
      <c r="G52" s="30">
        <f t="shared" ref="G52:G83" si="2">IF(ISNUMBER(E52),E52,IF(H52&gt;0,F52," "))</f>
        <v>84.544707237783456</v>
      </c>
      <c r="H52" s="22">
        <f>IF(ISBLANK('FBPQ T4'!E44)," ",'FBPQ T4'!AE44)</f>
        <v>12294.099999999999</v>
      </c>
      <c r="I52" s="22">
        <f t="shared" si="1"/>
        <v>1039401.0852520334</v>
      </c>
      <c r="J52" s="34"/>
      <c r="K52" s="34"/>
      <c r="L52" s="35"/>
      <c r="M52" s="34"/>
      <c r="N52" s="45"/>
      <c r="O52" s="44"/>
    </row>
    <row r="53" spans="1:15">
      <c r="A53" s="26"/>
      <c r="B53" s="21"/>
      <c r="C53" s="22" t="s">
        <v>771</v>
      </c>
      <c r="D53" s="26" t="s">
        <v>177</v>
      </c>
      <c r="E53" s="4">
        <f>IF(ISNUMBER('FBPQ C2'!J45),'FBPQ C2'!J45,IF(ISNUMBER('FBPQ C2'!I45),'FBPQ C2'!I45,""))</f>
        <v>0</v>
      </c>
      <c r="F53" s="30" t="s">
        <v>218</v>
      </c>
      <c r="G53" s="30">
        <f t="shared" si="2"/>
        <v>0</v>
      </c>
      <c r="H53" s="22">
        <f>IF(ISBLANK('FBPQ T4'!E45)," ",'FBPQ T4'!AE45)</f>
        <v>0</v>
      </c>
      <c r="I53" s="22">
        <f t="shared" si="1"/>
        <v>0</v>
      </c>
      <c r="J53" s="34"/>
      <c r="K53" s="34"/>
      <c r="L53" s="35"/>
      <c r="M53" s="34"/>
      <c r="N53" s="45"/>
      <c r="O53" s="46"/>
    </row>
    <row r="54" spans="1:15">
      <c r="A54" s="26"/>
      <c r="B54" s="21"/>
      <c r="C54" s="22"/>
      <c r="D54" s="26"/>
      <c r="E54" s="4" t="str">
        <f>IF(ISNUMBER('FBPQ C2'!J46),'FBPQ C2'!J46,IF(ISNUMBER('FBPQ C2'!I46),'FBPQ C2'!I46,""))</f>
        <v/>
      </c>
      <c r="F54" s="30"/>
      <c r="G54" s="30">
        <f t="shared" si="2"/>
        <v>0</v>
      </c>
      <c r="H54" s="22" t="str">
        <f>IF(ISBLANK('FBPQ T4'!E46)," ",'FBPQ T4'!AE46)</f>
        <v xml:space="preserve"> </v>
      </c>
      <c r="I54" s="22" t="str">
        <f t="shared" si="1"/>
        <v xml:space="preserve"> </v>
      </c>
      <c r="J54" s="34"/>
      <c r="K54" s="34"/>
      <c r="L54" s="35"/>
      <c r="M54" s="34"/>
      <c r="N54" s="45"/>
      <c r="O54" s="46"/>
    </row>
    <row r="55" spans="1:15">
      <c r="A55" s="26"/>
      <c r="B55" s="21" t="s">
        <v>68</v>
      </c>
      <c r="C55" s="22"/>
      <c r="D55" s="26"/>
      <c r="E55" s="4" t="str">
        <f>IF(ISNUMBER('FBPQ C2'!J47),'FBPQ C2'!J47,IF(ISNUMBER('FBPQ C2'!I47),'FBPQ C2'!I47,""))</f>
        <v/>
      </c>
      <c r="F55" s="30"/>
      <c r="G55" s="30">
        <f t="shared" si="2"/>
        <v>0</v>
      </c>
      <c r="H55" s="22" t="str">
        <f>IF(ISBLANK('FBPQ T4'!E47)," ",'FBPQ T4'!AE47)</f>
        <v xml:space="preserve"> </v>
      </c>
      <c r="I55" s="22" t="str">
        <f t="shared" si="1"/>
        <v xml:space="preserve"> </v>
      </c>
      <c r="J55" s="34"/>
      <c r="K55" s="34"/>
      <c r="L55" s="35"/>
      <c r="M55" s="34"/>
      <c r="N55" s="45"/>
      <c r="O55" s="44"/>
    </row>
    <row r="56" spans="1:15">
      <c r="A56" s="26"/>
      <c r="B56" s="21"/>
      <c r="C56" s="22" t="s">
        <v>69</v>
      </c>
      <c r="D56" s="26" t="s">
        <v>177</v>
      </c>
      <c r="E56" s="4">
        <f>IF(ISNUMBER('FBPQ C2'!J48),'FBPQ C2'!J48,IF(ISNUMBER('FBPQ C2'!I48),'FBPQ C2'!I48,""))</f>
        <v>0</v>
      </c>
      <c r="F56" s="30" t="s">
        <v>218</v>
      </c>
      <c r="G56" s="30">
        <f t="shared" si="2"/>
        <v>0</v>
      </c>
      <c r="H56" s="22">
        <f>IF(ISBLANK('FBPQ T4'!E48)," ",'FBPQ T4'!AE48)</f>
        <v>0</v>
      </c>
      <c r="I56" s="22">
        <f t="shared" si="1"/>
        <v>0</v>
      </c>
      <c r="J56" s="34"/>
      <c r="K56" s="34"/>
      <c r="L56" s="35"/>
      <c r="M56" s="34"/>
      <c r="N56" s="45"/>
      <c r="O56" s="46"/>
    </row>
    <row r="57" spans="1:15">
      <c r="A57" s="26"/>
      <c r="B57" s="21"/>
      <c r="C57" s="22"/>
      <c r="D57" s="26"/>
      <c r="E57" s="4" t="str">
        <f>IF(ISNUMBER('FBPQ C2'!J49),'FBPQ C2'!J49,IF(ISNUMBER('FBPQ C2'!I49),'FBPQ C2'!I49,""))</f>
        <v/>
      </c>
      <c r="F57" s="30" t="s">
        <v>218</v>
      </c>
      <c r="G57" s="30" t="str">
        <f t="shared" si="2"/>
        <v>DATA</v>
      </c>
      <c r="H57" s="22" t="str">
        <f>IF(ISBLANK('FBPQ T4'!E49)," ",'FBPQ T4'!AE49)</f>
        <v xml:space="preserve"> </v>
      </c>
      <c r="I57" s="22" t="str">
        <f t="shared" si="1"/>
        <v xml:space="preserve"> </v>
      </c>
      <c r="J57" s="34"/>
      <c r="K57" s="34"/>
      <c r="L57" s="35"/>
      <c r="M57" s="34"/>
      <c r="N57" s="45"/>
      <c r="O57" s="46"/>
    </row>
    <row r="58" spans="1:15">
      <c r="A58" s="26"/>
      <c r="B58" s="21" t="s">
        <v>637</v>
      </c>
      <c r="C58" s="22"/>
      <c r="D58" s="26"/>
      <c r="E58" s="4" t="str">
        <f>IF(ISNUMBER('FBPQ C2'!J50),'FBPQ C2'!J50,IF(ISNUMBER('FBPQ C2'!I50),'FBPQ C2'!I50,""))</f>
        <v/>
      </c>
      <c r="F58" s="30"/>
      <c r="G58" s="30">
        <f t="shared" si="2"/>
        <v>0</v>
      </c>
      <c r="H58" s="22" t="str">
        <f>IF(ISBLANK('FBPQ T4'!E50)," ",'FBPQ T4'!AE50)</f>
        <v xml:space="preserve"> </v>
      </c>
      <c r="I58" s="22" t="str">
        <f t="shared" si="1"/>
        <v xml:space="preserve"> </v>
      </c>
      <c r="J58" s="34"/>
      <c r="K58" s="34"/>
      <c r="L58" s="35"/>
      <c r="M58" s="34"/>
      <c r="N58" s="45"/>
      <c r="O58" s="44"/>
    </row>
    <row r="59" spans="1:15">
      <c r="A59" s="26"/>
      <c r="B59" s="21"/>
      <c r="C59" s="22" t="s">
        <v>70</v>
      </c>
      <c r="D59" s="26" t="s">
        <v>744</v>
      </c>
      <c r="E59" s="4">
        <f>IF(ISNUMBER('FBPQ C2'!J51),'FBPQ C2'!J51,IF(ISNUMBER('FBPQ C2'!I51),'FBPQ C2'!I51,""))</f>
        <v>13.984838791212301</v>
      </c>
      <c r="F59" s="30" t="s">
        <v>218</v>
      </c>
      <c r="G59" s="30">
        <f t="shared" si="2"/>
        <v>13.984838791212301</v>
      </c>
      <c r="H59" s="22">
        <f>IF(ISBLANK('FBPQ T4'!E51)," ",'FBPQ T4'!AE51)</f>
        <v>1779</v>
      </c>
      <c r="I59" s="22">
        <f t="shared" si="1"/>
        <v>24879.028209566684</v>
      </c>
      <c r="J59" s="34"/>
      <c r="K59" s="34"/>
      <c r="L59" s="35"/>
      <c r="M59" s="34"/>
      <c r="N59" s="45"/>
      <c r="O59" s="44"/>
    </row>
    <row r="60" spans="1:15">
      <c r="A60" s="26"/>
      <c r="B60" s="21"/>
      <c r="C60" s="22" t="s">
        <v>80</v>
      </c>
      <c r="D60" s="26" t="s">
        <v>744</v>
      </c>
      <c r="E60" s="4">
        <f>IF(ISNUMBER('FBPQ C2'!J52),'FBPQ C2'!J52,IF(ISNUMBER('FBPQ C2'!I52),'FBPQ C2'!I52,""))</f>
        <v>30.893780238768993</v>
      </c>
      <c r="F60" s="30" t="s">
        <v>218</v>
      </c>
      <c r="G60" s="30">
        <f t="shared" si="2"/>
        <v>30.893780238768993</v>
      </c>
      <c r="H60" s="22">
        <f>IF(ISBLANK('FBPQ T4'!E52)," ",'FBPQ T4'!AE52)</f>
        <v>9875</v>
      </c>
      <c r="I60" s="22">
        <f t="shared" si="1"/>
        <v>305076.07985784381</v>
      </c>
      <c r="J60" s="34"/>
      <c r="K60" s="34"/>
      <c r="L60" s="35"/>
      <c r="M60" s="34"/>
      <c r="N60" s="45"/>
      <c r="O60" s="44"/>
    </row>
    <row r="61" spans="1:15">
      <c r="A61" s="26"/>
      <c r="B61" s="21"/>
      <c r="C61" s="22" t="s">
        <v>81</v>
      </c>
      <c r="D61" s="26" t="s">
        <v>744</v>
      </c>
      <c r="E61" s="4">
        <f>IF(ISNUMBER('FBPQ C2'!J53),'FBPQ C2'!J53,IF(ISNUMBER('FBPQ C2'!I53),'FBPQ C2'!I53,""))</f>
        <v>1.6527536753250902</v>
      </c>
      <c r="F61" s="30" t="s">
        <v>218</v>
      </c>
      <c r="G61" s="30">
        <f t="shared" si="2"/>
        <v>1.6527536753250902</v>
      </c>
      <c r="H61" s="22">
        <f>IF(ISBLANK('FBPQ T4'!E53)," ",'FBPQ T4'!AE53)</f>
        <v>935</v>
      </c>
      <c r="I61" s="22">
        <f t="shared" si="1"/>
        <v>1545.3246864289592</v>
      </c>
      <c r="J61" s="34"/>
      <c r="K61" s="34"/>
      <c r="L61" s="35"/>
      <c r="M61" s="34"/>
      <c r="N61" s="45"/>
      <c r="O61" s="44"/>
    </row>
    <row r="62" spans="1:15">
      <c r="A62" s="26"/>
      <c r="B62" s="21"/>
      <c r="C62" s="22" t="s">
        <v>82</v>
      </c>
      <c r="D62" s="26" t="s">
        <v>744</v>
      </c>
      <c r="E62" s="4">
        <f>IF(ISNUMBER('FBPQ C2'!J54),'FBPQ C2'!J54,IF(ISNUMBER('FBPQ C2'!I54),'FBPQ C2'!I54,""))</f>
        <v>5.2125308221791302</v>
      </c>
      <c r="F62" s="30" t="s">
        <v>218</v>
      </c>
      <c r="G62" s="30">
        <f t="shared" si="2"/>
        <v>5.2125308221791302</v>
      </c>
      <c r="H62" s="22">
        <f>IF(ISBLANK('FBPQ T4'!E54)," ",'FBPQ T4'!AE54)</f>
        <v>8754</v>
      </c>
      <c r="I62" s="22">
        <f t="shared" si="1"/>
        <v>45630.494817356106</v>
      </c>
      <c r="J62" s="34"/>
      <c r="K62" s="34"/>
      <c r="L62" s="35"/>
      <c r="M62" s="34"/>
      <c r="N62" s="45"/>
      <c r="O62" s="44"/>
    </row>
    <row r="63" spans="1:15">
      <c r="A63" s="26"/>
      <c r="B63" s="21"/>
      <c r="C63" s="22" t="s">
        <v>782</v>
      </c>
      <c r="D63" s="26" t="s">
        <v>744</v>
      </c>
      <c r="E63" s="4">
        <f>IF(ISNUMBER('FBPQ C2'!J55),'FBPQ C2'!J55,IF(ISNUMBER('FBPQ C2'!I55),'FBPQ C2'!I55,""))</f>
        <v>16.400401855148971</v>
      </c>
      <c r="F63" s="30" t="s">
        <v>218</v>
      </c>
      <c r="G63" s="30">
        <f t="shared" si="2"/>
        <v>16.400401855148971</v>
      </c>
      <c r="H63" s="22">
        <f>IF(ISBLANK('FBPQ T4'!E55)," ",'FBPQ T4'!AE55)</f>
        <v>13991</v>
      </c>
      <c r="I63" s="22">
        <f t="shared" si="1"/>
        <v>229458.02235538926</v>
      </c>
      <c r="J63" s="34"/>
      <c r="K63" s="34"/>
      <c r="L63" s="35"/>
      <c r="M63" s="34"/>
      <c r="N63" s="45"/>
      <c r="O63" s="47"/>
    </row>
    <row r="64" spans="1:15">
      <c r="A64" s="26"/>
      <c r="B64" s="21"/>
      <c r="C64" s="22" t="s">
        <v>783</v>
      </c>
      <c r="D64" s="26" t="s">
        <v>744</v>
      </c>
      <c r="E64" s="1894">
        <f>E61</f>
        <v>1.6527536753250902</v>
      </c>
      <c r="F64" s="30" t="s">
        <v>218</v>
      </c>
      <c r="G64" s="30">
        <f t="shared" si="2"/>
        <v>1.6527536753250902</v>
      </c>
      <c r="H64" s="22">
        <f>IF(ISBLANK('FBPQ T4'!E56)," ",'FBPQ T4'!AE56)</f>
        <v>11321</v>
      </c>
      <c r="I64" s="22">
        <f t="shared" si="1"/>
        <v>18710.824358355345</v>
      </c>
      <c r="J64" s="34"/>
      <c r="K64" s="34"/>
      <c r="L64" s="35"/>
      <c r="M64" s="34"/>
      <c r="N64" s="45"/>
      <c r="O64" s="47"/>
    </row>
    <row r="65" spans="1:15">
      <c r="A65" s="26"/>
      <c r="B65" s="21"/>
      <c r="C65" s="22" t="s">
        <v>72</v>
      </c>
      <c r="D65" s="26" t="s">
        <v>744</v>
      </c>
      <c r="E65" s="4" t="str">
        <f>IF(ISNUMBER('FBPQ C2'!J57),'FBPQ C2'!J57,IF(ISNUMBER('FBPQ C2'!I57),'FBPQ C2'!I57,""))</f>
        <v/>
      </c>
      <c r="F65" s="30" t="s">
        <v>218</v>
      </c>
      <c r="G65" s="30" t="str">
        <f t="shared" si="2"/>
        <v xml:space="preserve"> </v>
      </c>
      <c r="H65" s="22">
        <f>IF(ISBLANK('FBPQ T4'!E57)," ",'FBPQ T4'!AE57)</f>
        <v>0</v>
      </c>
      <c r="I65" s="22" t="str">
        <f t="shared" si="1"/>
        <v xml:space="preserve"> </v>
      </c>
      <c r="J65" s="34"/>
      <c r="K65" s="34"/>
      <c r="L65" s="35"/>
      <c r="M65" s="34"/>
      <c r="N65" s="45"/>
      <c r="O65" s="44"/>
    </row>
    <row r="66" spans="1:15">
      <c r="A66" s="26"/>
      <c r="B66" s="21"/>
      <c r="C66" s="22" t="s">
        <v>662</v>
      </c>
      <c r="D66" s="26" t="s">
        <v>744</v>
      </c>
      <c r="E66" s="4">
        <f>IF(ISNUMBER('FBPQ C2'!J58),'FBPQ C2'!J58,IF(ISNUMBER('FBPQ C2'!I58),'FBPQ C2'!I58,""))</f>
        <v>0</v>
      </c>
      <c r="F66" s="30" t="s">
        <v>218</v>
      </c>
      <c r="G66" s="30">
        <f t="shared" si="2"/>
        <v>0</v>
      </c>
      <c r="H66" s="22">
        <f>IF(ISBLANK('FBPQ T4'!E58)," ",'FBPQ T4'!AE58)</f>
        <v>0</v>
      </c>
      <c r="I66" s="22">
        <f t="shared" si="1"/>
        <v>0</v>
      </c>
      <c r="J66" s="34"/>
      <c r="K66" s="34"/>
      <c r="L66" s="34"/>
      <c r="M66" s="34"/>
      <c r="N66" s="45"/>
      <c r="O66" s="44"/>
    </row>
    <row r="67" spans="1:15">
      <c r="A67" s="26"/>
      <c r="B67" s="21"/>
      <c r="C67" s="22" t="s">
        <v>501</v>
      </c>
      <c r="D67" s="26" t="s">
        <v>744</v>
      </c>
      <c r="E67" s="4">
        <f>IF(ISNUMBER('FBPQ C2'!J59),'FBPQ C2'!J59,IF(ISNUMBER('FBPQ C2'!I59),'FBPQ C2'!I59,""))</f>
        <v>0</v>
      </c>
      <c r="F67" s="30" t="s">
        <v>218</v>
      </c>
      <c r="G67" s="30">
        <f t="shared" si="2"/>
        <v>0</v>
      </c>
      <c r="H67" s="22">
        <f>IF(ISBLANK('FBPQ T4'!E59)," ",'FBPQ T4'!AE59)</f>
        <v>0</v>
      </c>
      <c r="I67" s="22">
        <f t="shared" si="1"/>
        <v>0</v>
      </c>
      <c r="J67" s="34"/>
      <c r="K67" s="34"/>
      <c r="L67" s="34"/>
      <c r="M67" s="34"/>
      <c r="N67" s="45"/>
      <c r="O67" s="44"/>
    </row>
    <row r="68" spans="1:15">
      <c r="A68" s="26"/>
      <c r="B68" s="21"/>
      <c r="C68" s="22" t="s">
        <v>502</v>
      </c>
      <c r="D68" s="26" t="s">
        <v>744</v>
      </c>
      <c r="E68" s="4">
        <f>IF(ISNUMBER('FBPQ C2'!J60),'FBPQ C2'!J60,IF(ISNUMBER('FBPQ C2'!I60),'FBPQ C2'!I60,""))</f>
        <v>0</v>
      </c>
      <c r="F68" s="30" t="s">
        <v>218</v>
      </c>
      <c r="G68" s="30">
        <f t="shared" si="2"/>
        <v>0</v>
      </c>
      <c r="H68" s="22">
        <f>IF(ISBLANK('FBPQ T4'!E60)," ",'FBPQ T4'!AE60)</f>
        <v>0</v>
      </c>
      <c r="I68" s="22">
        <f t="shared" si="1"/>
        <v>0</v>
      </c>
      <c r="J68" s="34"/>
      <c r="K68" s="34"/>
      <c r="L68" s="35"/>
      <c r="M68" s="34"/>
      <c r="N68" s="45"/>
      <c r="O68" s="44"/>
    </row>
    <row r="69" spans="1:15">
      <c r="A69" s="26"/>
      <c r="B69" s="21"/>
      <c r="C69" s="22" t="s">
        <v>503</v>
      </c>
      <c r="D69" s="26" t="s">
        <v>744</v>
      </c>
      <c r="E69" s="4">
        <f>IF(ISNUMBER('FBPQ C2'!J61),'FBPQ C2'!J61,IF(ISNUMBER('FBPQ C2'!I61),'FBPQ C2'!I61,""))</f>
        <v>0</v>
      </c>
      <c r="F69" s="30" t="s">
        <v>218</v>
      </c>
      <c r="G69" s="30">
        <f t="shared" si="2"/>
        <v>0</v>
      </c>
      <c r="H69" s="22">
        <f>IF(ISBLANK('FBPQ T4'!E61)," ",'FBPQ T4'!AE61)</f>
        <v>0</v>
      </c>
      <c r="I69" s="22">
        <f t="shared" si="1"/>
        <v>0</v>
      </c>
      <c r="J69" s="34"/>
      <c r="K69" s="34"/>
      <c r="L69" s="35"/>
      <c r="M69" s="34"/>
      <c r="N69" s="45"/>
      <c r="O69" s="44"/>
    </row>
    <row r="70" spans="1:15">
      <c r="A70" s="26"/>
      <c r="B70" s="21"/>
      <c r="C70" s="22" t="s">
        <v>506</v>
      </c>
      <c r="D70" s="26" t="s">
        <v>744</v>
      </c>
      <c r="E70" s="4">
        <f>IF(ISNUMBER('FBPQ C2'!J62),'FBPQ C2'!J62,IF(ISNUMBER('FBPQ C2'!I62),'FBPQ C2'!I62,""))</f>
        <v>0</v>
      </c>
      <c r="F70" s="30" t="s">
        <v>218</v>
      </c>
      <c r="G70" s="30">
        <f t="shared" si="2"/>
        <v>0</v>
      </c>
      <c r="H70" s="22">
        <f>IF(ISBLANK('FBPQ T4'!E62)," ",'FBPQ T4'!AE62)</f>
        <v>0</v>
      </c>
      <c r="I70" s="22">
        <f t="shared" si="1"/>
        <v>0</v>
      </c>
      <c r="J70" s="34"/>
      <c r="K70" s="34"/>
      <c r="L70" s="35"/>
      <c r="M70" s="34"/>
      <c r="N70" s="45"/>
      <c r="O70" s="47"/>
    </row>
    <row r="71" spans="1:15">
      <c r="A71" s="26"/>
      <c r="B71" s="21"/>
      <c r="C71" s="22" t="s">
        <v>665</v>
      </c>
      <c r="D71" s="26" t="s">
        <v>744</v>
      </c>
      <c r="E71" s="4" t="str">
        <f>IF(ISNUMBER('FBPQ C2'!J63),'FBPQ C2'!J63,IF(ISNUMBER('FBPQ C2'!I63),'FBPQ C2'!I63,""))</f>
        <v/>
      </c>
      <c r="F71" s="30" t="s">
        <v>218</v>
      </c>
      <c r="G71" s="30" t="str">
        <f t="shared" si="2"/>
        <v xml:space="preserve"> </v>
      </c>
      <c r="H71" s="22">
        <f>IF(ISBLANK('FBPQ T4'!E63)," ",'FBPQ T4'!AE63)</f>
        <v>0</v>
      </c>
      <c r="I71" s="22" t="str">
        <f t="shared" si="1"/>
        <v xml:space="preserve"> </v>
      </c>
      <c r="J71" s="34"/>
      <c r="K71" s="34"/>
      <c r="L71" s="35"/>
      <c r="M71" s="34"/>
      <c r="N71" s="45"/>
      <c r="O71" s="47"/>
    </row>
    <row r="72" spans="1:15">
      <c r="A72" s="26"/>
      <c r="B72" s="21"/>
      <c r="C72" s="22" t="s">
        <v>511</v>
      </c>
      <c r="D72" s="26" t="s">
        <v>744</v>
      </c>
      <c r="E72" s="4" t="str">
        <f>IF(ISNUMBER('FBPQ C2'!J64),'FBPQ C2'!J64,IF(ISNUMBER('FBPQ C2'!I64),'FBPQ C2'!I64,""))</f>
        <v/>
      </c>
      <c r="F72" s="30" t="s">
        <v>218</v>
      </c>
      <c r="G72" s="30" t="str">
        <f t="shared" si="2"/>
        <v xml:space="preserve"> </v>
      </c>
      <c r="H72" s="22">
        <f>IF(ISBLANK('FBPQ T4'!E64)," ",'FBPQ T4'!AE64)</f>
        <v>0</v>
      </c>
      <c r="I72" s="22" t="str">
        <f t="shared" si="1"/>
        <v xml:space="preserve"> </v>
      </c>
      <c r="J72" s="34"/>
      <c r="K72" s="34"/>
      <c r="L72" s="35"/>
      <c r="M72" s="34"/>
      <c r="N72" s="45"/>
      <c r="O72" s="46"/>
    </row>
    <row r="73" spans="1:15">
      <c r="A73" s="26"/>
      <c r="B73" s="21"/>
      <c r="C73" s="22"/>
      <c r="D73" s="26"/>
      <c r="E73" s="4" t="str">
        <f>IF(ISNUMBER('FBPQ C2'!J65),'FBPQ C2'!J65,IF(ISNUMBER('FBPQ C2'!I65),'FBPQ C2'!I65,""))</f>
        <v/>
      </c>
      <c r="F73" s="30"/>
      <c r="G73" s="30">
        <f t="shared" si="2"/>
        <v>0</v>
      </c>
      <c r="H73" s="22" t="str">
        <f>IF(ISBLANK('FBPQ T4'!E65)," ",'FBPQ T4'!AE65)</f>
        <v xml:space="preserve"> </v>
      </c>
      <c r="I73" s="22" t="str">
        <f t="shared" si="1"/>
        <v xml:space="preserve"> </v>
      </c>
      <c r="J73" s="34"/>
      <c r="K73" s="34"/>
      <c r="L73" s="35"/>
      <c r="M73" s="34"/>
      <c r="N73" s="45"/>
      <c r="O73" s="46"/>
    </row>
    <row r="74" spans="1:15">
      <c r="A74" s="26"/>
      <c r="B74" s="21" t="s">
        <v>512</v>
      </c>
      <c r="C74" s="22"/>
      <c r="D74" s="26"/>
      <c r="E74" s="4" t="str">
        <f>IF(ISNUMBER('FBPQ C2'!J66),'FBPQ C2'!J66,IF(ISNUMBER('FBPQ C2'!I66),'FBPQ C2'!I66,""))</f>
        <v/>
      </c>
      <c r="F74" s="30"/>
      <c r="G74" s="30">
        <f t="shared" si="2"/>
        <v>0</v>
      </c>
      <c r="H74" s="22" t="str">
        <f>IF(ISBLANK('FBPQ T4'!E66)," ",'FBPQ T4'!AE66)</f>
        <v xml:space="preserve"> </v>
      </c>
      <c r="I74" s="22" t="str">
        <f t="shared" si="1"/>
        <v xml:space="preserve"> </v>
      </c>
      <c r="J74" s="34"/>
      <c r="K74" s="34"/>
      <c r="L74" s="35"/>
      <c r="M74" s="34"/>
      <c r="N74" s="45"/>
      <c r="O74" s="44"/>
    </row>
    <row r="75" spans="1:15">
      <c r="A75" s="26"/>
      <c r="B75" s="21"/>
      <c r="C75" s="22" t="s">
        <v>513</v>
      </c>
      <c r="D75" s="26" t="s">
        <v>744</v>
      </c>
      <c r="E75" s="4">
        <f>IF(ISNUMBER('FBPQ C2'!J67),'FBPQ C2'!J67,IF(ISNUMBER('FBPQ C2'!I67),'FBPQ C2'!I67,""))</f>
        <v>3.68691204495597</v>
      </c>
      <c r="F75" s="30" t="s">
        <v>218</v>
      </c>
      <c r="G75" s="30">
        <f t="shared" si="2"/>
        <v>3.68691204495597</v>
      </c>
      <c r="H75" s="22">
        <f>IF(ISBLANK('FBPQ T4'!E67)," ",'FBPQ T4'!AE67)</f>
        <v>34852</v>
      </c>
      <c r="I75" s="22">
        <f t="shared" si="1"/>
        <v>128496.25859080546</v>
      </c>
      <c r="J75" s="34"/>
      <c r="K75" s="34"/>
      <c r="L75" s="35"/>
      <c r="M75" s="34"/>
      <c r="N75" s="45"/>
      <c r="O75" s="44"/>
    </row>
    <row r="76" spans="1:15">
      <c r="A76" s="26"/>
      <c r="B76" s="21"/>
      <c r="C76" s="22" t="s">
        <v>514</v>
      </c>
      <c r="D76" s="26" t="s">
        <v>744</v>
      </c>
      <c r="E76" s="4">
        <f>IF(ISNUMBER('FBPQ C2'!J68),'FBPQ C2'!J68,IF(ISNUMBER('FBPQ C2'!I68),'FBPQ C2'!I68,""))</f>
        <v>11.950680421581421</v>
      </c>
      <c r="F76" s="30" t="s">
        <v>218</v>
      </c>
      <c r="G76" s="30">
        <f t="shared" si="2"/>
        <v>11.950680421581421</v>
      </c>
      <c r="H76" s="22">
        <f>IF(ISBLANK('FBPQ T4'!E68)," ",'FBPQ T4'!AE68)</f>
        <v>15750</v>
      </c>
      <c r="I76" s="22">
        <f t="shared" si="1"/>
        <v>188223.21663990736</v>
      </c>
      <c r="J76" s="34"/>
      <c r="K76" s="34"/>
      <c r="L76" s="35"/>
      <c r="M76" s="34"/>
      <c r="N76" s="45"/>
      <c r="O76" s="44"/>
    </row>
    <row r="77" spans="1:15">
      <c r="A77" s="26"/>
      <c r="B77" s="21"/>
      <c r="C77" s="22" t="s">
        <v>515</v>
      </c>
      <c r="D77" s="26" t="s">
        <v>744</v>
      </c>
      <c r="E77" s="4">
        <f>IF(ISNUMBER('FBPQ C2'!J69),'FBPQ C2'!J69,IF(ISNUMBER('FBPQ C2'!I69),'FBPQ C2'!I69,""))</f>
        <v>0</v>
      </c>
      <c r="F77" s="30" t="s">
        <v>218</v>
      </c>
      <c r="G77" s="30">
        <f t="shared" si="2"/>
        <v>0</v>
      </c>
      <c r="H77" s="22">
        <f>IF(ISBLANK('FBPQ T4'!E69)," ",'FBPQ T4'!AE69)</f>
        <v>0</v>
      </c>
      <c r="I77" s="22">
        <f t="shared" si="1"/>
        <v>0</v>
      </c>
      <c r="J77" s="34"/>
      <c r="K77" s="34"/>
      <c r="L77" s="35"/>
      <c r="M77" s="34"/>
      <c r="N77" s="45"/>
      <c r="O77" s="44"/>
    </row>
    <row r="78" spans="1:15">
      <c r="A78" s="26"/>
      <c r="B78" s="21"/>
      <c r="C78" s="22" t="s">
        <v>516</v>
      </c>
      <c r="D78" s="26" t="s">
        <v>744</v>
      </c>
      <c r="E78" s="4">
        <f>IF(ISNUMBER('FBPQ C2'!J70),'FBPQ C2'!J70,IF(ISNUMBER('FBPQ C2'!I70),'FBPQ C2'!I70,""))</f>
        <v>0</v>
      </c>
      <c r="F78" s="30" t="s">
        <v>218</v>
      </c>
      <c r="G78" s="30">
        <f t="shared" si="2"/>
        <v>0</v>
      </c>
      <c r="H78" s="22">
        <f>IF(ISBLANK('FBPQ T4'!E70)," ",'FBPQ T4'!AE70)</f>
        <v>0</v>
      </c>
      <c r="I78" s="22">
        <f t="shared" si="1"/>
        <v>0</v>
      </c>
      <c r="J78" s="34"/>
      <c r="K78" s="34"/>
      <c r="L78" s="35"/>
      <c r="M78" s="34"/>
      <c r="N78" s="45"/>
      <c r="O78" s="46"/>
    </row>
    <row r="79" spans="1:15">
      <c r="A79" s="26"/>
      <c r="B79" s="21"/>
      <c r="C79" s="22"/>
      <c r="D79" s="26"/>
      <c r="E79" s="4" t="str">
        <f>IF(ISNUMBER('FBPQ C2'!J71),'FBPQ C2'!J71,IF(ISNUMBER('FBPQ C2'!I71),'FBPQ C2'!I71,""))</f>
        <v/>
      </c>
      <c r="F79" s="30"/>
      <c r="G79" s="30">
        <f t="shared" si="2"/>
        <v>0</v>
      </c>
      <c r="H79" s="22" t="str">
        <f>IF(ISBLANK('FBPQ T4'!E71)," ",'FBPQ T4'!AE71)</f>
        <v xml:space="preserve"> </v>
      </c>
      <c r="I79" s="22" t="str">
        <f t="shared" si="1"/>
        <v xml:space="preserve"> </v>
      </c>
      <c r="J79" s="48"/>
      <c r="K79" s="48"/>
      <c r="L79" s="48"/>
      <c r="M79" s="48"/>
      <c r="N79" s="49"/>
      <c r="O79" s="46"/>
    </row>
    <row r="80" spans="1:15">
      <c r="A80" s="26" t="s">
        <v>530</v>
      </c>
      <c r="B80" s="21"/>
      <c r="C80" s="22"/>
      <c r="D80" s="26"/>
      <c r="E80" s="4" t="str">
        <f>IF(ISNUMBER('FBPQ C2'!J72),'FBPQ C2'!J72,IF(ISNUMBER('FBPQ C2'!I72),'FBPQ C2'!I72,""))</f>
        <v/>
      </c>
      <c r="F80" s="30"/>
      <c r="G80" s="30">
        <f t="shared" si="2"/>
        <v>0</v>
      </c>
      <c r="H80" s="22" t="str">
        <f>IF(ISBLANK('FBPQ T4'!E72)," ",'FBPQ T4'!AE72)</f>
        <v xml:space="preserve"> </v>
      </c>
      <c r="I80" s="22" t="str">
        <f t="shared" si="1"/>
        <v xml:space="preserve"> </v>
      </c>
      <c r="J80" s="34"/>
      <c r="K80" s="33"/>
      <c r="L80" s="33"/>
      <c r="M80" s="50"/>
      <c r="N80" s="45"/>
      <c r="O80" s="46"/>
    </row>
    <row r="81" spans="1:15">
      <c r="A81" s="26"/>
      <c r="B81" s="21" t="s">
        <v>225</v>
      </c>
      <c r="C81" s="22"/>
      <c r="D81" s="26"/>
      <c r="E81" s="4" t="str">
        <f>IF(ISNUMBER('FBPQ C2'!J73),'FBPQ C2'!J73,IF(ISNUMBER('FBPQ C2'!I73),'FBPQ C2'!I73,""))</f>
        <v/>
      </c>
      <c r="F81" s="30"/>
      <c r="G81" s="30">
        <f t="shared" si="2"/>
        <v>0</v>
      </c>
      <c r="H81" s="22" t="str">
        <f>IF(ISBLANK('FBPQ T4'!E73)," ",'FBPQ T4'!AE73)</f>
        <v xml:space="preserve"> </v>
      </c>
      <c r="I81" s="22" t="str">
        <f t="shared" si="1"/>
        <v xml:space="preserve"> </v>
      </c>
      <c r="J81" s="34"/>
      <c r="K81" s="34"/>
      <c r="L81" s="35"/>
      <c r="M81" s="34"/>
      <c r="N81" s="45"/>
      <c r="O81" s="44"/>
    </row>
    <row r="82" spans="1:15">
      <c r="A82" s="26"/>
      <c r="B82" s="21"/>
      <c r="C82" s="22" t="s">
        <v>531</v>
      </c>
      <c r="D82" s="26" t="s">
        <v>177</v>
      </c>
      <c r="E82" s="4">
        <f>IF(ISNUMBER('FBPQ C2'!J74),'FBPQ C2'!J74,IF(ISNUMBER('FBPQ C2'!I74),'FBPQ C2'!I74,""))</f>
        <v>98.402411130893839</v>
      </c>
      <c r="F82" s="30" t="s">
        <v>218</v>
      </c>
      <c r="G82" s="30">
        <f t="shared" si="2"/>
        <v>98.402411130893839</v>
      </c>
      <c r="H82" s="22">
        <f>IF(ISBLANK('FBPQ T4'!E74)," ",'FBPQ T4'!AE74)</f>
        <v>1029.0000000000002</v>
      </c>
      <c r="I82" s="22">
        <f t="shared" si="1"/>
        <v>101256.08105368978</v>
      </c>
      <c r="J82" s="34"/>
      <c r="K82" s="34"/>
      <c r="L82" s="34"/>
      <c r="M82" s="34"/>
      <c r="N82" s="45"/>
      <c r="O82" s="44"/>
    </row>
    <row r="83" spans="1:15">
      <c r="A83" s="26"/>
      <c r="B83" s="21"/>
      <c r="C83" s="22" t="s">
        <v>532</v>
      </c>
      <c r="D83" s="26" t="s">
        <v>177</v>
      </c>
      <c r="E83" s="4">
        <f>IF(ISNUMBER('FBPQ C2'!J75),'FBPQ C2'!J75,IF(ISNUMBER('FBPQ C2'!I75),'FBPQ C2'!I75,""))</f>
        <v>156.75732935967969</v>
      </c>
      <c r="F83" s="30" t="s">
        <v>218</v>
      </c>
      <c r="G83" s="30">
        <f t="shared" si="2"/>
        <v>156.75732935967969</v>
      </c>
      <c r="H83" s="22">
        <f>IF(ISBLANK('FBPQ T4'!E75)," ",'FBPQ T4'!AE75)</f>
        <v>0</v>
      </c>
      <c r="I83" s="22">
        <f t="shared" si="1"/>
        <v>0</v>
      </c>
      <c r="J83" s="34"/>
      <c r="K83" s="34"/>
      <c r="L83" s="35"/>
      <c r="M83" s="34"/>
      <c r="N83" s="45"/>
      <c r="O83" s="44"/>
    </row>
    <row r="84" spans="1:15">
      <c r="A84" s="26"/>
      <c r="B84" s="21"/>
      <c r="C84" s="22" t="s">
        <v>533</v>
      </c>
      <c r="D84" s="26" t="s">
        <v>177</v>
      </c>
      <c r="E84" s="4">
        <f>IF(ISNUMBER('FBPQ C2'!J76),'FBPQ C2'!J76,IF(ISNUMBER('FBPQ C2'!I76),'FBPQ C2'!I76,""))</f>
        <v>185.61695122881781</v>
      </c>
      <c r="F84" s="30" t="s">
        <v>218</v>
      </c>
      <c r="G84" s="30">
        <f t="shared" ref="G84:G115" si="3">IF(ISNUMBER(E84),E84,IF(H84&gt;0,F84," "))</f>
        <v>185.61695122881781</v>
      </c>
      <c r="H84" s="22">
        <f>IF(ISBLANK('FBPQ T4'!E76)," ",'FBPQ T4'!AE76)</f>
        <v>793</v>
      </c>
      <c r="I84" s="22">
        <f t="shared" si="1"/>
        <v>147194.24232445253</v>
      </c>
      <c r="J84" s="34"/>
      <c r="K84" s="34"/>
      <c r="L84" s="35"/>
      <c r="M84" s="34"/>
      <c r="N84" s="45"/>
      <c r="O84" s="44"/>
    </row>
    <row r="85" spans="1:15">
      <c r="A85" s="26"/>
      <c r="B85" s="21"/>
      <c r="C85" s="22" t="s">
        <v>534</v>
      </c>
      <c r="D85" s="26" t="s">
        <v>177</v>
      </c>
      <c r="E85" s="4">
        <f>IF(ISNUMBER('FBPQ C2'!J77),'FBPQ C2'!J77,IF(ISNUMBER('FBPQ C2'!I77),'FBPQ C2'!I77,""))</f>
        <v>185.61695122881781</v>
      </c>
      <c r="F85" s="30" t="s">
        <v>218</v>
      </c>
      <c r="G85" s="30">
        <f t="shared" si="3"/>
        <v>185.61695122881781</v>
      </c>
      <c r="H85" s="22">
        <f>IF(ISBLANK('FBPQ T4'!E77)," ",'FBPQ T4'!AE77)</f>
        <v>0</v>
      </c>
      <c r="I85" s="22">
        <f t="shared" ref="I85:I148" si="4">IF(ISERROR(G85*H85)," ",G85*H85)</f>
        <v>0</v>
      </c>
      <c r="J85" s="34"/>
      <c r="K85" s="34"/>
      <c r="L85" s="35"/>
      <c r="M85" s="34"/>
      <c r="N85" s="45"/>
      <c r="O85" s="46"/>
    </row>
    <row r="86" spans="1:15">
      <c r="A86" s="26"/>
      <c r="B86" s="21"/>
      <c r="C86" s="22"/>
      <c r="D86" s="26"/>
      <c r="E86" s="4" t="str">
        <f>IF(ISNUMBER('FBPQ C2'!J78),'FBPQ C2'!J78,IF(ISNUMBER('FBPQ C2'!I78),'FBPQ C2'!I78,""))</f>
        <v/>
      </c>
      <c r="F86" s="30"/>
      <c r="G86" s="30">
        <f t="shared" si="3"/>
        <v>0</v>
      </c>
      <c r="H86" s="22" t="str">
        <f>IF(ISBLANK('FBPQ T4'!E78)," ",'FBPQ T4'!AE78)</f>
        <v xml:space="preserve"> </v>
      </c>
      <c r="I86" s="22" t="str">
        <f t="shared" si="4"/>
        <v xml:space="preserve"> </v>
      </c>
      <c r="J86" s="34"/>
      <c r="K86" s="34"/>
      <c r="L86" s="35"/>
      <c r="M86" s="34"/>
      <c r="N86" s="45"/>
      <c r="O86" s="46"/>
    </row>
    <row r="87" spans="1:15">
      <c r="A87" s="26"/>
      <c r="B87" s="21" t="s">
        <v>745</v>
      </c>
      <c r="C87" s="22"/>
      <c r="D87" s="26"/>
      <c r="E87" s="4" t="str">
        <f>IF(ISNUMBER('FBPQ C2'!J79),'FBPQ C2'!J79,IF(ISNUMBER('FBPQ C2'!I79),'FBPQ C2'!I79,""))</f>
        <v/>
      </c>
      <c r="F87" s="30"/>
      <c r="G87" s="30">
        <f t="shared" si="3"/>
        <v>0</v>
      </c>
      <c r="H87" s="22" t="str">
        <f>IF(ISBLANK('FBPQ T4'!E79)," ",'FBPQ T4'!AE79)</f>
        <v xml:space="preserve"> </v>
      </c>
      <c r="I87" s="22" t="str">
        <f t="shared" si="4"/>
        <v xml:space="preserve"> </v>
      </c>
      <c r="J87" s="34"/>
      <c r="K87" s="34"/>
      <c r="L87" s="35"/>
      <c r="M87" s="34"/>
      <c r="N87" s="45"/>
      <c r="O87" s="44"/>
    </row>
    <row r="88" spans="1:15">
      <c r="A88" s="26"/>
      <c r="B88" s="21"/>
      <c r="C88" s="22" t="s">
        <v>535</v>
      </c>
      <c r="D88" s="26" t="s">
        <v>744</v>
      </c>
      <c r="E88" s="4">
        <f>IF(ISNUMBER('FBPQ C2'!J80),'FBPQ C2'!J80,IF(ISNUMBER('FBPQ C2'!I80),'FBPQ C2'!I80,""))</f>
        <v>0</v>
      </c>
      <c r="F88" s="30" t="s">
        <v>218</v>
      </c>
      <c r="G88" s="30">
        <f t="shared" si="3"/>
        <v>0</v>
      </c>
      <c r="H88" s="22">
        <f>IF(ISBLANK('FBPQ T4'!E80)," ",'FBPQ T4'!AE80)</f>
        <v>7311.4</v>
      </c>
      <c r="I88" s="22">
        <f t="shared" si="4"/>
        <v>0</v>
      </c>
      <c r="J88" s="34"/>
      <c r="K88" s="34"/>
      <c r="L88" s="34"/>
      <c r="M88" s="34"/>
      <c r="N88" s="45"/>
      <c r="O88" s="44"/>
    </row>
    <row r="89" spans="1:15">
      <c r="A89" s="26"/>
      <c r="B89" s="21"/>
      <c r="C89" s="22" t="s">
        <v>536</v>
      </c>
      <c r="D89" s="26" t="s">
        <v>744</v>
      </c>
      <c r="E89" s="4">
        <f>IF(ISNUMBER('FBPQ C2'!J81),'FBPQ C2'!J81,IF(ISNUMBER('FBPQ C2'!I81),'FBPQ C2'!I81,""))</f>
        <v>0</v>
      </c>
      <c r="F89" s="30" t="s">
        <v>218</v>
      </c>
      <c r="G89" s="30">
        <f t="shared" si="3"/>
        <v>0</v>
      </c>
      <c r="H89" s="22">
        <f>IF(ISBLANK('FBPQ T4'!E81)," ",'FBPQ T4'!AE81)</f>
        <v>725</v>
      </c>
      <c r="I89" s="22">
        <f t="shared" si="4"/>
        <v>0</v>
      </c>
      <c r="J89" s="34"/>
      <c r="K89" s="34"/>
      <c r="L89" s="34"/>
      <c r="M89" s="34"/>
      <c r="N89" s="45"/>
      <c r="O89" s="44"/>
    </row>
    <row r="90" spans="1:15">
      <c r="A90" s="26"/>
      <c r="B90" s="21"/>
      <c r="C90" s="22" t="s">
        <v>537</v>
      </c>
      <c r="D90" s="26" t="s">
        <v>744</v>
      </c>
      <c r="E90" s="4">
        <f>IF(ISNUMBER('FBPQ C2'!J82),'FBPQ C2'!J82,IF(ISNUMBER('FBPQ C2'!I82),'FBPQ C2'!I82,""))</f>
        <v>0</v>
      </c>
      <c r="F90" s="30" t="s">
        <v>218</v>
      </c>
      <c r="G90" s="30">
        <f t="shared" si="3"/>
        <v>0</v>
      </c>
      <c r="H90" s="22">
        <f>IF(ISBLANK('FBPQ T4'!E82)," ",'FBPQ T4'!AE82)</f>
        <v>8891</v>
      </c>
      <c r="I90" s="22">
        <f t="shared" si="4"/>
        <v>0</v>
      </c>
      <c r="J90" s="34"/>
      <c r="K90" s="34"/>
      <c r="L90" s="35"/>
      <c r="M90" s="34"/>
      <c r="N90" s="45"/>
      <c r="O90" s="44"/>
    </row>
    <row r="91" spans="1:15">
      <c r="A91" s="26"/>
      <c r="B91" s="21"/>
      <c r="C91" s="22" t="s">
        <v>538</v>
      </c>
      <c r="D91" s="26" t="s">
        <v>744</v>
      </c>
      <c r="E91" s="4">
        <f>IF(ISNUMBER('FBPQ C2'!J83),'FBPQ C2'!J83,IF(ISNUMBER('FBPQ C2'!I83),'FBPQ C2'!I83,""))</f>
        <v>0</v>
      </c>
      <c r="F91" s="30" t="s">
        <v>218</v>
      </c>
      <c r="G91" s="30">
        <f t="shared" si="3"/>
        <v>0</v>
      </c>
      <c r="H91" s="22">
        <f>IF(ISBLANK('FBPQ T4'!E83)," ",'FBPQ T4'!AE83)</f>
        <v>669</v>
      </c>
      <c r="I91" s="22">
        <f t="shared" si="4"/>
        <v>0</v>
      </c>
      <c r="J91" s="34"/>
      <c r="K91" s="34"/>
      <c r="L91" s="35"/>
      <c r="M91" s="34"/>
      <c r="N91" s="45"/>
      <c r="O91" s="46"/>
    </row>
    <row r="92" spans="1:15">
      <c r="A92" s="26"/>
      <c r="B92" s="21"/>
      <c r="C92" s="22"/>
      <c r="D92" s="26"/>
      <c r="E92" s="4" t="str">
        <f>IF(ISNUMBER('FBPQ C2'!J84),'FBPQ C2'!J84,IF(ISNUMBER('FBPQ C2'!I84),'FBPQ C2'!I84,""))</f>
        <v/>
      </c>
      <c r="F92" s="30"/>
      <c r="G92" s="30">
        <f t="shared" si="3"/>
        <v>0</v>
      </c>
      <c r="H92" s="22" t="str">
        <f>IF(ISBLANK('FBPQ T4'!E84)," ",'FBPQ T4'!AE84)</f>
        <v xml:space="preserve"> </v>
      </c>
      <c r="I92" s="22" t="str">
        <f t="shared" si="4"/>
        <v xml:space="preserve"> </v>
      </c>
      <c r="J92" s="34"/>
      <c r="K92" s="34"/>
      <c r="L92" s="34"/>
      <c r="M92" s="34"/>
      <c r="N92" s="45"/>
      <c r="O92" s="46"/>
    </row>
    <row r="93" spans="1:15">
      <c r="A93" s="26"/>
      <c r="B93" s="21" t="s">
        <v>769</v>
      </c>
      <c r="C93" s="22"/>
      <c r="D93" s="26"/>
      <c r="E93" s="4" t="str">
        <f>IF(ISNUMBER('FBPQ C2'!J85),'FBPQ C2'!J85,IF(ISNUMBER('FBPQ C2'!I85),'FBPQ C2'!I85,""))</f>
        <v/>
      </c>
      <c r="F93" s="30"/>
      <c r="G93" s="30">
        <f t="shared" si="3"/>
        <v>0</v>
      </c>
      <c r="H93" s="22" t="str">
        <f>IF(ISBLANK('FBPQ T4'!E85)," ",'FBPQ T4'!AE85)</f>
        <v xml:space="preserve"> </v>
      </c>
      <c r="I93" s="22" t="str">
        <f t="shared" si="4"/>
        <v xml:space="preserve"> </v>
      </c>
      <c r="J93" s="41"/>
      <c r="K93" s="34"/>
      <c r="L93" s="35"/>
      <c r="M93" s="34"/>
      <c r="N93" s="45"/>
      <c r="O93" s="44"/>
    </row>
    <row r="94" spans="1:15">
      <c r="A94" s="26"/>
      <c r="B94" s="21"/>
      <c r="C94" s="22" t="s">
        <v>417</v>
      </c>
      <c r="D94" s="26" t="s">
        <v>177</v>
      </c>
      <c r="E94" s="4">
        <f>IF(ISNUMBER('FBPQ C2'!J86),'FBPQ C2'!J86,IF(ISNUMBER('FBPQ C2'!I86),'FBPQ C2'!I86,""))</f>
        <v>257.06676396210247</v>
      </c>
      <c r="F94" s="30" t="s">
        <v>218</v>
      </c>
      <c r="G94" s="30">
        <f t="shared" si="3"/>
        <v>257.06676396210247</v>
      </c>
      <c r="H94" s="22">
        <f>IF(ISBLANK('FBPQ T4'!E86)," ",'FBPQ T4'!AE86)</f>
        <v>221.5</v>
      </c>
      <c r="I94" s="22">
        <f t="shared" si="4"/>
        <v>56940.288217605696</v>
      </c>
      <c r="J94" s="41"/>
      <c r="K94" s="34"/>
      <c r="L94" s="35"/>
      <c r="M94" s="34"/>
      <c r="N94" s="45"/>
      <c r="O94" s="44"/>
    </row>
    <row r="95" spans="1:15">
      <c r="A95" s="26"/>
      <c r="B95" s="21"/>
      <c r="C95" s="22" t="s">
        <v>418</v>
      </c>
      <c r="D95" s="26" t="s">
        <v>177</v>
      </c>
      <c r="E95" s="4">
        <f>IF(ISNUMBER('FBPQ C2'!J87),'FBPQ C2'!J87,IF(ISNUMBER('FBPQ C2'!I87),'FBPQ C2'!I87,""))</f>
        <v>257.06676396210247</v>
      </c>
      <c r="F95" s="30" t="s">
        <v>218</v>
      </c>
      <c r="G95" s="30">
        <f t="shared" si="3"/>
        <v>257.06676396210247</v>
      </c>
      <c r="H95" s="22">
        <f>IF(ISBLANK('FBPQ T4'!E87)," ",'FBPQ T4'!AE87)</f>
        <v>122</v>
      </c>
      <c r="I95" s="22">
        <f t="shared" si="4"/>
        <v>31362.145203376502</v>
      </c>
      <c r="J95" s="41"/>
      <c r="K95" s="34"/>
      <c r="L95" s="35"/>
      <c r="M95" s="34"/>
      <c r="N95" s="45"/>
      <c r="O95" s="44"/>
    </row>
    <row r="96" spans="1:15">
      <c r="A96" s="26"/>
      <c r="B96" s="21"/>
      <c r="C96" s="22" t="s">
        <v>419</v>
      </c>
      <c r="D96" s="26" t="s">
        <v>177</v>
      </c>
      <c r="E96" s="1894">
        <f>E95</f>
        <v>257.06676396210247</v>
      </c>
      <c r="F96" s="30" t="s">
        <v>218</v>
      </c>
      <c r="G96" s="30">
        <f t="shared" si="3"/>
        <v>257.06676396210247</v>
      </c>
      <c r="H96" s="22">
        <f>IF(ISBLANK('FBPQ T4'!E88)," ",'FBPQ T4'!AE88)</f>
        <v>9</v>
      </c>
      <c r="I96" s="22">
        <f t="shared" si="4"/>
        <v>2313.6008756589222</v>
      </c>
      <c r="J96" s="41"/>
      <c r="K96" s="34"/>
      <c r="L96" s="35"/>
      <c r="M96" s="34"/>
      <c r="N96" s="45"/>
      <c r="O96" s="44"/>
    </row>
    <row r="97" spans="1:15">
      <c r="A97" s="26"/>
      <c r="B97" s="21"/>
      <c r="C97" s="22" t="s">
        <v>543</v>
      </c>
      <c r="D97" s="26" t="s">
        <v>177</v>
      </c>
      <c r="E97" s="4">
        <f>IF(ISNUMBER('FBPQ C2'!J89),'FBPQ C2'!J89,IF(ISNUMBER('FBPQ C2'!I89),'FBPQ C2'!I89,""))</f>
        <v>1206.5101829873158</v>
      </c>
      <c r="F97" s="30" t="s">
        <v>218</v>
      </c>
      <c r="G97" s="30">
        <f t="shared" si="3"/>
        <v>1206.5101829873158</v>
      </c>
      <c r="H97" s="22">
        <f>IF(ISBLANK('FBPQ T4'!E89)," ",'FBPQ T4'!AE89)</f>
        <v>8</v>
      </c>
      <c r="I97" s="22">
        <f t="shared" si="4"/>
        <v>9652.0814638985266</v>
      </c>
      <c r="J97" s="41"/>
      <c r="K97" s="34"/>
      <c r="L97" s="35"/>
      <c r="M97" s="34"/>
      <c r="N97" s="45"/>
      <c r="O97" s="44"/>
    </row>
    <row r="98" spans="1:15">
      <c r="A98" s="26"/>
      <c r="B98" s="21"/>
      <c r="C98" s="22" t="s">
        <v>429</v>
      </c>
      <c r="D98" s="26" t="s">
        <v>177</v>
      </c>
      <c r="E98" s="4">
        <f>IF(ISNUMBER('FBPQ C2'!J90),'FBPQ C2'!J90,IF(ISNUMBER('FBPQ C2'!I90),'FBPQ C2'!I90,""))</f>
        <v>1206.5101829873158</v>
      </c>
      <c r="F98" s="30" t="s">
        <v>218</v>
      </c>
      <c r="G98" s="30">
        <f t="shared" si="3"/>
        <v>1206.5101829873158</v>
      </c>
      <c r="H98" s="22">
        <f>IF(ISBLANK('FBPQ T4'!E90)," ",'FBPQ T4'!AE90)</f>
        <v>8</v>
      </c>
      <c r="I98" s="22">
        <f t="shared" si="4"/>
        <v>9652.0814638985266</v>
      </c>
      <c r="J98" s="41"/>
      <c r="K98" s="34"/>
      <c r="L98" s="35"/>
      <c r="M98" s="34"/>
      <c r="N98" s="45"/>
      <c r="O98" s="44"/>
    </row>
    <row r="99" spans="1:15">
      <c r="A99" s="26"/>
      <c r="B99" s="21"/>
      <c r="C99" s="22" t="s">
        <v>430</v>
      </c>
      <c r="D99" s="26" t="s">
        <v>177</v>
      </c>
      <c r="E99" s="4">
        <f>IF(ISNUMBER('FBPQ C2'!J91),'FBPQ C2'!J91,IF(ISNUMBER('FBPQ C2'!I91),'FBPQ C2'!I91,""))</f>
        <v>0</v>
      </c>
      <c r="F99" s="30" t="s">
        <v>218</v>
      </c>
      <c r="G99" s="30">
        <f t="shared" si="3"/>
        <v>0</v>
      </c>
      <c r="H99" s="22">
        <f>IF(ISBLANK('FBPQ T4'!E91)," ",'FBPQ T4'!AE91)</f>
        <v>0</v>
      </c>
      <c r="I99" s="22">
        <f t="shared" si="4"/>
        <v>0</v>
      </c>
      <c r="J99" s="41"/>
      <c r="K99" s="34"/>
      <c r="L99" s="35"/>
      <c r="M99" s="34"/>
      <c r="N99" s="45"/>
      <c r="O99" s="46"/>
    </row>
    <row r="100" spans="1:15">
      <c r="A100" s="26"/>
      <c r="B100" s="21"/>
      <c r="C100" s="22"/>
      <c r="D100" s="26"/>
      <c r="E100" s="4" t="str">
        <f>IF(ISNUMBER('FBPQ C2'!J92),'FBPQ C2'!J92,IF(ISNUMBER('FBPQ C2'!I92),'FBPQ C2'!I92,""))</f>
        <v/>
      </c>
      <c r="F100" s="30"/>
      <c r="G100" s="30">
        <f t="shared" si="3"/>
        <v>0</v>
      </c>
      <c r="H100" s="22" t="str">
        <f>IF(ISBLANK('FBPQ T4'!E92)," ",'FBPQ T4'!AE92)</f>
        <v xml:space="preserve"> </v>
      </c>
      <c r="I100" s="22" t="str">
        <f t="shared" si="4"/>
        <v xml:space="preserve"> </v>
      </c>
      <c r="J100" s="41"/>
      <c r="K100" s="34"/>
      <c r="L100" s="34"/>
      <c r="M100" s="34"/>
      <c r="N100" s="45"/>
      <c r="O100" s="46"/>
    </row>
    <row r="101" spans="1:15">
      <c r="A101" s="26"/>
      <c r="B101" s="21" t="s">
        <v>68</v>
      </c>
      <c r="C101" s="22"/>
      <c r="D101" s="26"/>
      <c r="E101" s="4" t="str">
        <f>IF(ISNUMBER('FBPQ C2'!J93),'FBPQ C2'!J93,IF(ISNUMBER('FBPQ C2'!I93),'FBPQ C2'!I93,""))</f>
        <v/>
      </c>
      <c r="F101" s="30"/>
      <c r="G101" s="30">
        <f t="shared" si="3"/>
        <v>0</v>
      </c>
      <c r="H101" s="22" t="str">
        <f>IF(ISBLANK('FBPQ T4'!E93)," ",'FBPQ T4'!AE93)</f>
        <v xml:space="preserve"> </v>
      </c>
      <c r="I101" s="22" t="str">
        <f t="shared" si="4"/>
        <v xml:space="preserve"> </v>
      </c>
      <c r="J101" s="41"/>
      <c r="K101" s="34"/>
      <c r="L101" s="35"/>
      <c r="M101" s="34"/>
      <c r="N101" s="45"/>
      <c r="O101" s="44"/>
    </row>
    <row r="102" spans="1:15">
      <c r="A102" s="26"/>
      <c r="B102" s="21"/>
      <c r="C102" s="22" t="s">
        <v>389</v>
      </c>
      <c r="D102" s="26" t="s">
        <v>177</v>
      </c>
      <c r="E102" s="4">
        <f>IF(ISNUMBER('FBPQ C2'!J94),'FBPQ C2'!J94,IF(ISNUMBER('FBPQ C2'!I94),'FBPQ C2'!I94,""))</f>
        <v>0</v>
      </c>
      <c r="F102" s="30" t="s">
        <v>218</v>
      </c>
      <c r="G102" s="30">
        <f t="shared" si="3"/>
        <v>0</v>
      </c>
      <c r="H102" s="22">
        <f>IF(ISBLANK('FBPQ T4'!E94)," ",'FBPQ T4'!AE94)</f>
        <v>0</v>
      </c>
      <c r="I102" s="22">
        <f t="shared" si="4"/>
        <v>0</v>
      </c>
      <c r="J102" s="41"/>
      <c r="K102" s="34"/>
      <c r="L102" s="34"/>
      <c r="M102" s="34"/>
      <c r="N102" s="45"/>
      <c r="O102" s="46"/>
    </row>
    <row r="103" spans="1:15">
      <c r="A103" s="26"/>
      <c r="B103" s="21"/>
      <c r="C103" s="22"/>
      <c r="D103" s="26"/>
      <c r="E103" s="4" t="str">
        <f>IF(ISNUMBER('FBPQ C2'!J95),'FBPQ C2'!J95,IF(ISNUMBER('FBPQ C2'!I95),'FBPQ C2'!I95,""))</f>
        <v/>
      </c>
      <c r="F103" s="30"/>
      <c r="G103" s="30">
        <f t="shared" si="3"/>
        <v>0</v>
      </c>
      <c r="H103" s="22" t="str">
        <f>IF(ISBLANK('FBPQ T4'!E95)," ",'FBPQ T4'!AE95)</f>
        <v xml:space="preserve"> </v>
      </c>
      <c r="I103" s="22" t="str">
        <f t="shared" si="4"/>
        <v xml:space="preserve"> </v>
      </c>
      <c r="J103" s="41"/>
      <c r="K103" s="34"/>
      <c r="L103" s="35"/>
      <c r="M103" s="34"/>
      <c r="N103" s="45"/>
      <c r="O103" s="46"/>
    </row>
    <row r="104" spans="1:15">
      <c r="A104" s="26"/>
      <c r="B104" s="21" t="s">
        <v>637</v>
      </c>
      <c r="C104" s="22"/>
      <c r="D104" s="26"/>
      <c r="E104" s="4" t="str">
        <f>IF(ISNUMBER('FBPQ C2'!J96),'FBPQ C2'!J96,IF(ISNUMBER('FBPQ C2'!I96),'FBPQ C2'!I96,""))</f>
        <v/>
      </c>
      <c r="F104" s="30"/>
      <c r="G104" s="30">
        <f t="shared" si="3"/>
        <v>0</v>
      </c>
      <c r="H104" s="22" t="str">
        <f>IF(ISBLANK('FBPQ T4'!E96)," ",'FBPQ T4'!AE96)</f>
        <v xml:space="preserve"> </v>
      </c>
      <c r="I104" s="22" t="str">
        <f t="shared" si="4"/>
        <v xml:space="preserve"> </v>
      </c>
      <c r="J104" s="41"/>
      <c r="K104" s="34"/>
      <c r="L104" s="35"/>
      <c r="M104" s="34"/>
      <c r="N104" s="45"/>
      <c r="O104" s="44"/>
    </row>
    <row r="105" spans="1:15">
      <c r="A105" s="26"/>
      <c r="B105" s="21"/>
      <c r="C105" s="22" t="s">
        <v>390</v>
      </c>
      <c r="D105" s="26" t="s">
        <v>744</v>
      </c>
      <c r="E105" s="4">
        <f>IF(ISNUMBER('FBPQ C2'!J97),'FBPQ C2'!J97,IF(ISNUMBER('FBPQ C2'!I97),'FBPQ C2'!I97,""))</f>
        <v>184.98127673830817</v>
      </c>
      <c r="F105" s="30" t="s">
        <v>218</v>
      </c>
      <c r="G105" s="30">
        <f t="shared" si="3"/>
        <v>184.98127673830817</v>
      </c>
      <c r="H105" s="22">
        <f>IF(ISBLANK('FBPQ T4'!E97)," ",'FBPQ T4'!AE97)</f>
        <v>88</v>
      </c>
      <c r="I105" s="22">
        <f t="shared" si="4"/>
        <v>16278.352352971118</v>
      </c>
      <c r="J105" s="41"/>
      <c r="K105" s="34"/>
      <c r="L105" s="35"/>
      <c r="M105" s="50"/>
      <c r="N105" s="45"/>
      <c r="O105" s="44"/>
    </row>
    <row r="106" spans="1:15">
      <c r="A106" s="26"/>
      <c r="B106" s="21"/>
      <c r="C106" s="22" t="s">
        <v>391</v>
      </c>
      <c r="D106" s="26" t="s">
        <v>744</v>
      </c>
      <c r="E106" s="4">
        <f>IF(ISNUMBER('FBPQ C2'!J98),'FBPQ C2'!J98,IF(ISNUMBER('FBPQ C2'!I98),'FBPQ C2'!I98,""))</f>
        <v>184.98127673830817</v>
      </c>
      <c r="F106" s="30" t="s">
        <v>218</v>
      </c>
      <c r="G106" s="30">
        <f t="shared" si="3"/>
        <v>184.98127673830817</v>
      </c>
      <c r="H106" s="22">
        <f>IF(ISBLANK('FBPQ T4'!E98)," ",'FBPQ T4'!AE98)</f>
        <v>305</v>
      </c>
      <c r="I106" s="22">
        <f t="shared" si="4"/>
        <v>56419.28940518399</v>
      </c>
      <c r="J106" s="41"/>
      <c r="K106" s="34"/>
      <c r="L106" s="35"/>
      <c r="M106" s="50"/>
      <c r="N106" s="45"/>
      <c r="O106" s="44"/>
    </row>
    <row r="107" spans="1:15">
      <c r="A107" s="26"/>
      <c r="B107" s="21"/>
      <c r="C107" s="22" t="s">
        <v>392</v>
      </c>
      <c r="D107" s="26" t="s">
        <v>744</v>
      </c>
      <c r="E107" s="4">
        <f>IF(ISNUMBER('FBPQ C2'!J99),'FBPQ C2'!J99,IF(ISNUMBER('FBPQ C2'!I99),'FBPQ C2'!I99,""))</f>
        <v>0</v>
      </c>
      <c r="F107" s="30" t="s">
        <v>218</v>
      </c>
      <c r="G107" s="30">
        <f t="shared" si="3"/>
        <v>0</v>
      </c>
      <c r="H107" s="22">
        <f>IF(ISBLANK('FBPQ T4'!E99)," ",'FBPQ T4'!AE99)</f>
        <v>0</v>
      </c>
      <c r="I107" s="22">
        <f t="shared" si="4"/>
        <v>0</v>
      </c>
      <c r="J107" s="41"/>
      <c r="K107" s="34"/>
      <c r="L107" s="35"/>
      <c r="M107" s="50"/>
      <c r="N107" s="45"/>
      <c r="O107" s="44"/>
    </row>
    <row r="108" spans="1:15">
      <c r="A108" s="26"/>
      <c r="B108" s="21"/>
      <c r="C108" s="22" t="s">
        <v>393</v>
      </c>
      <c r="D108" s="26" t="s">
        <v>744</v>
      </c>
      <c r="E108" s="4">
        <f>IF(ISNUMBER('FBPQ C2'!J100),'FBPQ C2'!J100,IF(ISNUMBER('FBPQ C2'!I100),'FBPQ C2'!I100,""))</f>
        <v>0</v>
      </c>
      <c r="F108" s="30" t="s">
        <v>218</v>
      </c>
      <c r="G108" s="30">
        <f t="shared" si="3"/>
        <v>0</v>
      </c>
      <c r="H108" s="22">
        <f>IF(ISBLANK('FBPQ T4'!E100)," ",'FBPQ T4'!AE100)</f>
        <v>0</v>
      </c>
      <c r="I108" s="22">
        <f t="shared" si="4"/>
        <v>0</v>
      </c>
      <c r="J108" s="41"/>
      <c r="K108" s="34"/>
      <c r="L108" s="35"/>
      <c r="M108" s="50"/>
      <c r="N108" s="45"/>
      <c r="O108" s="44"/>
    </row>
    <row r="109" spans="1:15">
      <c r="A109" s="26"/>
      <c r="B109" s="21"/>
      <c r="C109" s="22" t="s">
        <v>394</v>
      </c>
      <c r="D109" s="26" t="s">
        <v>744</v>
      </c>
      <c r="E109" s="4">
        <f>IF(ISNUMBER('FBPQ C2'!J101),'FBPQ C2'!J101,IF(ISNUMBER('FBPQ C2'!I101),'FBPQ C2'!I101,""))</f>
        <v>588.50744331383407</v>
      </c>
      <c r="F109" s="30" t="s">
        <v>218</v>
      </c>
      <c r="G109" s="30">
        <f t="shared" si="3"/>
        <v>588.50744331383407</v>
      </c>
      <c r="H109" s="22">
        <f>IF(ISBLANK('FBPQ T4'!E101)," ",'FBPQ T4'!AE101)</f>
        <v>0</v>
      </c>
      <c r="I109" s="22">
        <f t="shared" si="4"/>
        <v>0</v>
      </c>
      <c r="J109" s="41"/>
      <c r="K109" s="34"/>
      <c r="L109" s="35"/>
      <c r="M109" s="50"/>
      <c r="N109" s="45"/>
      <c r="O109" s="47"/>
    </row>
    <row r="110" spans="1:15">
      <c r="A110" s="26"/>
      <c r="B110" s="21"/>
      <c r="C110" s="22" t="s">
        <v>395</v>
      </c>
      <c r="D110" s="26" t="s">
        <v>744</v>
      </c>
      <c r="E110" s="1894">
        <f>E106</f>
        <v>184.98127673830817</v>
      </c>
      <c r="F110" s="30" t="s">
        <v>218</v>
      </c>
      <c r="G110" s="30">
        <f t="shared" si="3"/>
        <v>184.98127673830817</v>
      </c>
      <c r="H110" s="22">
        <f>IF(ISBLANK('FBPQ T4'!E102)," ",'FBPQ T4'!AE102)</f>
        <v>1444</v>
      </c>
      <c r="I110" s="22">
        <f t="shared" si="4"/>
        <v>267112.96361011697</v>
      </c>
      <c r="J110" s="41"/>
      <c r="K110" s="34"/>
      <c r="L110" s="35"/>
      <c r="M110" s="50"/>
      <c r="N110" s="45"/>
      <c r="O110" s="44"/>
    </row>
    <row r="111" spans="1:15">
      <c r="A111" s="26"/>
      <c r="B111" s="21"/>
      <c r="C111" s="22" t="s">
        <v>396</v>
      </c>
      <c r="D111" s="26" t="s">
        <v>744</v>
      </c>
      <c r="E111" s="4">
        <f>IF(ISNUMBER('FBPQ C2'!J103),'FBPQ C2'!J103,IF(ISNUMBER('FBPQ C2'!I103),'FBPQ C2'!I103,""))</f>
        <v>697.84345568149388</v>
      </c>
      <c r="F111" s="30" t="s">
        <v>218</v>
      </c>
      <c r="G111" s="30">
        <f t="shared" si="3"/>
        <v>697.84345568149388</v>
      </c>
      <c r="H111" s="22">
        <f>IF(ISBLANK('FBPQ T4'!E103)," ",'FBPQ T4'!AE103)</f>
        <v>77</v>
      </c>
      <c r="I111" s="22">
        <f t="shared" si="4"/>
        <v>53733.946087475029</v>
      </c>
      <c r="J111" s="41"/>
      <c r="K111" s="34"/>
      <c r="L111" s="35"/>
      <c r="M111" s="50"/>
      <c r="N111" s="45"/>
      <c r="O111" s="47"/>
    </row>
    <row r="112" spans="1:15">
      <c r="A112" s="26"/>
      <c r="B112" s="21"/>
      <c r="C112" s="22" t="s">
        <v>397</v>
      </c>
      <c r="D112" s="26" t="s">
        <v>744</v>
      </c>
      <c r="E112" s="1894">
        <f>E111</f>
        <v>697.84345568149388</v>
      </c>
      <c r="F112" s="30" t="s">
        <v>218</v>
      </c>
      <c r="G112" s="30">
        <f t="shared" si="3"/>
        <v>697.84345568149388</v>
      </c>
      <c r="H112" s="22">
        <f>IF(ISBLANK('FBPQ T4'!E104)," ",'FBPQ T4'!AE104)</f>
        <v>575</v>
      </c>
      <c r="I112" s="22">
        <f t="shared" si="4"/>
        <v>401259.987016859</v>
      </c>
      <c r="J112" s="41"/>
      <c r="K112" s="34"/>
      <c r="L112" s="35"/>
      <c r="M112" s="50"/>
      <c r="N112" s="45"/>
      <c r="O112" s="46"/>
    </row>
    <row r="113" spans="1:15">
      <c r="A113" s="26"/>
      <c r="B113" s="21"/>
      <c r="C113" s="22"/>
      <c r="D113" s="26"/>
      <c r="E113" s="4" t="str">
        <f>IF(ISNUMBER('FBPQ C2'!J105),'FBPQ C2'!J105,IF(ISNUMBER('FBPQ C2'!I105),'FBPQ C2'!I105,""))</f>
        <v/>
      </c>
      <c r="F113" s="30"/>
      <c r="G113" s="30">
        <f t="shared" si="3"/>
        <v>0</v>
      </c>
      <c r="H113" s="22" t="str">
        <f>IF(ISBLANK('FBPQ T4'!E105)," ",'FBPQ T4'!AE105)</f>
        <v xml:space="preserve"> </v>
      </c>
      <c r="I113" s="22" t="str">
        <f t="shared" si="4"/>
        <v xml:space="preserve"> </v>
      </c>
      <c r="J113" s="41"/>
      <c r="K113" s="34"/>
      <c r="L113" s="35"/>
      <c r="M113" s="34"/>
      <c r="N113" s="45"/>
      <c r="O113" s="46"/>
    </row>
    <row r="114" spans="1:15">
      <c r="A114" s="26"/>
      <c r="B114" s="21" t="s">
        <v>512</v>
      </c>
      <c r="C114" s="22"/>
      <c r="D114" s="26"/>
      <c r="E114" s="4" t="str">
        <f>IF(ISNUMBER('FBPQ C2'!J106),'FBPQ C2'!J106,IF(ISNUMBER('FBPQ C2'!I106),'FBPQ C2'!I106,""))</f>
        <v/>
      </c>
      <c r="F114" s="30"/>
      <c r="G114" s="30">
        <f t="shared" si="3"/>
        <v>0</v>
      </c>
      <c r="H114" s="22" t="str">
        <f>IF(ISBLANK('FBPQ T4'!E106)," ",'FBPQ T4'!AE106)</f>
        <v xml:space="preserve"> </v>
      </c>
      <c r="I114" s="22" t="str">
        <f t="shared" si="4"/>
        <v xml:space="preserve"> </v>
      </c>
      <c r="J114" s="41"/>
      <c r="K114" s="34"/>
      <c r="L114" s="35"/>
      <c r="M114" s="34"/>
      <c r="N114" s="45"/>
      <c r="O114" s="44"/>
    </row>
    <row r="115" spans="1:15">
      <c r="A115" s="26"/>
      <c r="B115" s="21"/>
      <c r="C115" s="22" t="s">
        <v>398</v>
      </c>
      <c r="D115" s="26" t="s">
        <v>744</v>
      </c>
      <c r="E115" s="4">
        <f>IF(ISNUMBER('FBPQ C2'!J107),'FBPQ C2'!J107,IF(ISNUMBER('FBPQ C2'!I107),'FBPQ C2'!I107,""))</f>
        <v>532.56808814898477</v>
      </c>
      <c r="F115" s="30" t="s">
        <v>218</v>
      </c>
      <c r="G115" s="30">
        <f t="shared" si="3"/>
        <v>532.56808814898477</v>
      </c>
      <c r="H115" s="22">
        <f>IF(ISBLANK('FBPQ T4'!E107)," ",'FBPQ T4'!AE107)</f>
        <v>3</v>
      </c>
      <c r="I115" s="22">
        <f t="shared" si="4"/>
        <v>1597.7042644469543</v>
      </c>
      <c r="J115" s="41"/>
      <c r="K115" s="34"/>
      <c r="L115" s="34"/>
      <c r="M115" s="50"/>
      <c r="N115" s="45"/>
      <c r="O115" s="44"/>
    </row>
    <row r="116" spans="1:15">
      <c r="A116" s="26"/>
      <c r="B116" s="21"/>
      <c r="C116" s="22" t="s">
        <v>399</v>
      </c>
      <c r="D116" s="26" t="s">
        <v>744</v>
      </c>
      <c r="E116" s="4">
        <f>IF(ISNUMBER('FBPQ C2'!J108),'FBPQ C2'!J108,IF(ISNUMBER('FBPQ C2'!I108),'FBPQ C2'!I108,""))</f>
        <v>571.97990656058312</v>
      </c>
      <c r="F116" s="30" t="s">
        <v>218</v>
      </c>
      <c r="G116" s="30">
        <f t="shared" ref="G116:G147" si="5">IF(ISNUMBER(E116),E116,IF(H116&gt;0,F116," "))</f>
        <v>571.97990656058312</v>
      </c>
      <c r="H116" s="22">
        <f>IF(ISBLANK('FBPQ T4'!E108)," ",'FBPQ T4'!AE108)</f>
        <v>203</v>
      </c>
      <c r="I116" s="22">
        <f t="shared" si="4"/>
        <v>116111.92103179837</v>
      </c>
      <c r="J116" s="41"/>
      <c r="K116" s="34"/>
      <c r="L116" s="34"/>
      <c r="M116" s="50"/>
      <c r="N116" s="45"/>
      <c r="O116" s="47"/>
    </row>
    <row r="117" spans="1:15">
      <c r="A117" s="26"/>
      <c r="B117" s="21"/>
      <c r="C117" s="22" t="s">
        <v>400</v>
      </c>
      <c r="D117" s="26" t="s">
        <v>744</v>
      </c>
      <c r="E117" s="1894">
        <f>E76</f>
        <v>11.950680421581421</v>
      </c>
      <c r="F117" s="30" t="s">
        <v>218</v>
      </c>
      <c r="G117" s="30">
        <f t="shared" si="5"/>
        <v>11.950680421581421</v>
      </c>
      <c r="H117" s="22">
        <f>IF(ISBLANK('FBPQ T4'!E109)," ",'FBPQ T4'!AE109)</f>
        <v>193</v>
      </c>
      <c r="I117" s="22">
        <f t="shared" si="4"/>
        <v>2306.4813213652142</v>
      </c>
      <c r="J117" s="41"/>
      <c r="K117" s="34"/>
      <c r="L117" s="34"/>
      <c r="M117" s="34"/>
      <c r="N117" s="45"/>
      <c r="O117" s="44"/>
    </row>
    <row r="118" spans="1:15">
      <c r="A118" s="26"/>
      <c r="B118" s="21"/>
      <c r="C118" s="22" t="s">
        <v>595</v>
      </c>
      <c r="D118" s="26" t="s">
        <v>744</v>
      </c>
      <c r="E118" s="4">
        <f>IF(ISNUMBER('FBPQ C2'!J110),'FBPQ C2'!J110,IF(ISNUMBER('FBPQ C2'!I110),'FBPQ C2'!I110,""))</f>
        <v>2234.9043737338279</v>
      </c>
      <c r="F118" s="30" t="s">
        <v>218</v>
      </c>
      <c r="G118" s="30">
        <f t="shared" si="5"/>
        <v>2234.9043737338279</v>
      </c>
      <c r="H118" s="22">
        <f>IF(ISBLANK('FBPQ T4'!E110)," ",'FBPQ T4'!AE110)</f>
        <v>82</v>
      </c>
      <c r="I118" s="22">
        <f t="shared" si="4"/>
        <v>183262.15864617389</v>
      </c>
      <c r="J118" s="41"/>
      <c r="K118" s="34"/>
      <c r="L118" s="34"/>
      <c r="M118" s="50"/>
      <c r="N118" s="45"/>
      <c r="O118" s="47"/>
    </row>
    <row r="119" spans="1:15">
      <c r="A119" s="26"/>
      <c r="B119" s="21"/>
      <c r="C119" s="22" t="s">
        <v>596</v>
      </c>
      <c r="D119" s="26" t="s">
        <v>744</v>
      </c>
      <c r="E119" s="1894">
        <f>E76</f>
        <v>11.950680421581421</v>
      </c>
      <c r="F119" s="30" t="s">
        <v>218</v>
      </c>
      <c r="G119" s="30">
        <f t="shared" si="5"/>
        <v>11.950680421581421</v>
      </c>
      <c r="H119" s="22">
        <f>IF(ISBLANK('FBPQ T4'!E111)," ",'FBPQ T4'!AE111)</f>
        <v>46</v>
      </c>
      <c r="I119" s="22">
        <f t="shared" si="4"/>
        <v>549.73129939274531</v>
      </c>
      <c r="J119" s="41"/>
      <c r="K119" s="34"/>
      <c r="L119" s="35"/>
      <c r="M119" s="34"/>
      <c r="N119" s="45"/>
      <c r="O119" s="46"/>
    </row>
    <row r="120" spans="1:15">
      <c r="A120" s="26"/>
      <c r="B120" s="21"/>
      <c r="C120" s="22"/>
      <c r="D120" s="26"/>
      <c r="E120" s="4" t="str">
        <f>IF(ISNUMBER('FBPQ C2'!J112),'FBPQ C2'!J112,IF(ISNUMBER('FBPQ C2'!I112),'FBPQ C2'!I112,""))</f>
        <v/>
      </c>
      <c r="F120" s="30"/>
      <c r="G120" s="30">
        <f t="shared" si="5"/>
        <v>0</v>
      </c>
      <c r="H120" s="22" t="str">
        <f>IF(ISBLANK('FBPQ T4'!E112)," ",'FBPQ T4'!AE112)</f>
        <v xml:space="preserve"> </v>
      </c>
      <c r="I120" s="22" t="str">
        <f t="shared" si="4"/>
        <v xml:space="preserve"> </v>
      </c>
      <c r="J120" s="48"/>
      <c r="K120" s="48"/>
      <c r="L120" s="48"/>
      <c r="M120" s="48"/>
      <c r="N120" s="49"/>
      <c r="O120" s="46"/>
    </row>
    <row r="121" spans="1:15">
      <c r="A121" s="26" t="s">
        <v>597</v>
      </c>
      <c r="B121" s="21"/>
      <c r="C121" s="22"/>
      <c r="D121" s="26"/>
      <c r="E121" s="4" t="str">
        <f>IF(ISNUMBER('FBPQ C2'!J113),'FBPQ C2'!J113,IF(ISNUMBER('FBPQ C2'!I113),'FBPQ C2'!I113,""))</f>
        <v/>
      </c>
      <c r="F121" s="30"/>
      <c r="G121" s="30">
        <f t="shared" si="5"/>
        <v>0</v>
      </c>
      <c r="H121" s="22" t="str">
        <f>IF(ISBLANK('FBPQ T4'!E113)," ",'FBPQ T4'!AE113)</f>
        <v xml:space="preserve"> </v>
      </c>
      <c r="I121" s="22" t="str">
        <f t="shared" si="4"/>
        <v xml:space="preserve"> </v>
      </c>
      <c r="J121" s="34"/>
      <c r="K121" s="33"/>
      <c r="L121" s="33"/>
      <c r="M121" s="50"/>
      <c r="N121" s="45"/>
      <c r="O121" s="46"/>
    </row>
    <row r="122" spans="1:15">
      <c r="A122" s="26"/>
      <c r="B122" s="21" t="s">
        <v>225</v>
      </c>
      <c r="C122" s="22"/>
      <c r="D122" s="26"/>
      <c r="E122" s="4" t="str">
        <f>IF(ISNUMBER('FBPQ C2'!J114),'FBPQ C2'!J114,IF(ISNUMBER('FBPQ C2'!I114),'FBPQ C2'!I114,""))</f>
        <v/>
      </c>
      <c r="F122" s="30"/>
      <c r="G122" s="30">
        <f t="shared" si="5"/>
        <v>0</v>
      </c>
      <c r="H122" s="22" t="str">
        <f>IF(ISBLANK('FBPQ T4'!E114)," ",'FBPQ T4'!AE114)</f>
        <v xml:space="preserve"> </v>
      </c>
      <c r="I122" s="22" t="str">
        <f t="shared" si="4"/>
        <v xml:space="preserve"> </v>
      </c>
      <c r="J122" s="41"/>
      <c r="K122" s="34"/>
      <c r="L122" s="35"/>
      <c r="M122" s="34"/>
      <c r="N122" s="45"/>
      <c r="O122" s="44"/>
    </row>
    <row r="123" spans="1:15">
      <c r="A123" s="26"/>
      <c r="B123" s="21"/>
      <c r="C123" s="22" t="s">
        <v>598</v>
      </c>
      <c r="D123" s="26" t="s">
        <v>177</v>
      </c>
      <c r="E123" s="4">
        <f>IF(ISNUMBER('FBPQ C2'!J115),'FBPQ C2'!J115,IF(ISNUMBER('FBPQ C2'!I115),'FBPQ C2'!I115,""))</f>
        <v>714.87953202715244</v>
      </c>
      <c r="F123" s="30" t="s">
        <v>218</v>
      </c>
      <c r="G123" s="30">
        <f t="shared" si="5"/>
        <v>714.87953202715244</v>
      </c>
      <c r="H123" s="22">
        <f>IF(ISBLANK('FBPQ T4'!E115)," ",'FBPQ T4'!AE115)</f>
        <v>0</v>
      </c>
      <c r="I123" s="22">
        <f t="shared" si="4"/>
        <v>0</v>
      </c>
      <c r="J123" s="41"/>
      <c r="K123" s="34"/>
      <c r="L123" s="35"/>
      <c r="M123" s="34"/>
      <c r="N123" s="45"/>
      <c r="O123" s="44"/>
    </row>
    <row r="124" spans="1:15">
      <c r="A124" s="26"/>
      <c r="B124" s="21"/>
      <c r="C124" s="22" t="s">
        <v>599</v>
      </c>
      <c r="D124" s="26" t="s">
        <v>177</v>
      </c>
      <c r="E124" s="4">
        <f>IF(ISNUMBER('FBPQ C2'!J116),'FBPQ C2'!J116,IF(ISNUMBER('FBPQ C2'!I116),'FBPQ C2'!I116,""))</f>
        <v>1228.5045203589498</v>
      </c>
      <c r="F124" s="30" t="s">
        <v>218</v>
      </c>
      <c r="G124" s="30">
        <f t="shared" si="5"/>
        <v>1228.5045203589498</v>
      </c>
      <c r="H124" s="22">
        <f>IF(ISBLANK('FBPQ T4'!E116)," ",'FBPQ T4'!AE116)</f>
        <v>1368</v>
      </c>
      <c r="I124" s="22">
        <f t="shared" si="4"/>
        <v>1680594.1838510432</v>
      </c>
      <c r="J124" s="41"/>
      <c r="K124" s="34"/>
      <c r="L124" s="35"/>
      <c r="M124" s="34"/>
      <c r="N124" s="45"/>
      <c r="O124" s="46"/>
    </row>
    <row r="125" spans="1:15">
      <c r="A125" s="26"/>
      <c r="B125" s="21"/>
      <c r="C125" s="22"/>
      <c r="D125" s="26"/>
      <c r="E125" s="4" t="str">
        <f>IF(ISNUMBER('FBPQ C2'!J117),'FBPQ C2'!J117,IF(ISNUMBER('FBPQ C2'!I117),'FBPQ C2'!I117,""))</f>
        <v/>
      </c>
      <c r="F125" s="30"/>
      <c r="G125" s="30">
        <f t="shared" si="5"/>
        <v>0</v>
      </c>
      <c r="H125" s="22" t="str">
        <f>IF(ISBLANK('FBPQ T4'!E117)," ",'FBPQ T4'!AE117)</f>
        <v xml:space="preserve"> </v>
      </c>
      <c r="I125" s="22" t="str">
        <f t="shared" si="4"/>
        <v xml:space="preserve"> </v>
      </c>
      <c r="J125" s="41"/>
      <c r="K125" s="34"/>
      <c r="L125" s="35"/>
      <c r="M125" s="50"/>
      <c r="N125" s="45"/>
      <c r="O125" s="46"/>
    </row>
    <row r="126" spans="1:15">
      <c r="A126" s="26"/>
      <c r="B126" s="21" t="s">
        <v>745</v>
      </c>
      <c r="C126" s="22"/>
      <c r="D126" s="26"/>
      <c r="E126" s="4" t="str">
        <f>IF(ISNUMBER('FBPQ C2'!J118),'FBPQ C2'!J118,IF(ISNUMBER('FBPQ C2'!I118),'FBPQ C2'!I118,""))</f>
        <v/>
      </c>
      <c r="F126" s="30"/>
      <c r="G126" s="30">
        <f t="shared" si="5"/>
        <v>0</v>
      </c>
      <c r="H126" s="22" t="str">
        <f>IF(ISBLANK('FBPQ T4'!E118)," ",'FBPQ T4'!AE118)</f>
        <v xml:space="preserve"> </v>
      </c>
      <c r="I126" s="22" t="str">
        <f t="shared" si="4"/>
        <v xml:space="preserve"> </v>
      </c>
      <c r="J126" s="41"/>
      <c r="K126" s="34"/>
      <c r="L126" s="35"/>
      <c r="M126" s="34"/>
      <c r="N126" s="45"/>
      <c r="O126" s="44"/>
    </row>
    <row r="127" spans="1:15">
      <c r="A127" s="26"/>
      <c r="B127" s="21"/>
      <c r="C127" s="22" t="s">
        <v>600</v>
      </c>
      <c r="D127" s="26" t="s">
        <v>744</v>
      </c>
      <c r="E127" s="4">
        <f>IF(ISNUMBER('FBPQ C2'!J119),'FBPQ C2'!J119,IF(ISNUMBER('FBPQ C2'!I119),'FBPQ C2'!I119,""))</f>
        <v>0</v>
      </c>
      <c r="F127" s="30" t="s">
        <v>218</v>
      </c>
      <c r="G127" s="30">
        <f t="shared" si="5"/>
        <v>0</v>
      </c>
      <c r="H127" s="22">
        <f>IF(ISBLANK('FBPQ T4'!E119)," ",'FBPQ T4'!AE119)</f>
        <v>843</v>
      </c>
      <c r="I127" s="22">
        <f t="shared" si="4"/>
        <v>0</v>
      </c>
      <c r="J127" s="41"/>
      <c r="K127" s="34"/>
      <c r="L127" s="35"/>
      <c r="M127" s="34"/>
      <c r="N127" s="45"/>
      <c r="O127" s="44"/>
    </row>
    <row r="128" spans="1:15">
      <c r="A128" s="26"/>
      <c r="B128" s="21"/>
      <c r="C128" s="22" t="s">
        <v>601</v>
      </c>
      <c r="D128" s="26" t="s">
        <v>744</v>
      </c>
      <c r="E128" s="4">
        <f>IF(ISNUMBER('FBPQ C2'!J120),'FBPQ C2'!J120,IF(ISNUMBER('FBPQ C2'!I120),'FBPQ C2'!I120,""))</f>
        <v>0</v>
      </c>
      <c r="F128" s="30" t="s">
        <v>218</v>
      </c>
      <c r="G128" s="30">
        <f t="shared" si="5"/>
        <v>0</v>
      </c>
      <c r="H128" s="22">
        <f>IF(ISBLANK('FBPQ T4'!E120)," ",'FBPQ T4'!AE120)</f>
        <v>2776</v>
      </c>
      <c r="I128" s="22">
        <f t="shared" si="4"/>
        <v>0</v>
      </c>
      <c r="J128" s="41"/>
      <c r="K128" s="34"/>
      <c r="L128" s="35"/>
      <c r="M128" s="34"/>
      <c r="N128" s="45"/>
      <c r="O128" s="44"/>
    </row>
    <row r="129" spans="1:15">
      <c r="A129" s="26"/>
      <c r="B129" s="21"/>
      <c r="C129" s="22" t="s">
        <v>442</v>
      </c>
      <c r="D129" s="26" t="s">
        <v>744</v>
      </c>
      <c r="E129" s="4">
        <f>IF(ISNUMBER('FBPQ C2'!J121),'FBPQ C2'!J121,IF(ISNUMBER('FBPQ C2'!I121),'FBPQ C2'!I121,""))</f>
        <v>0</v>
      </c>
      <c r="F129" s="30" t="s">
        <v>218</v>
      </c>
      <c r="G129" s="30">
        <f t="shared" si="5"/>
        <v>0</v>
      </c>
      <c r="H129" s="22">
        <f>IF(ISBLANK('FBPQ T4'!E121)," ",'FBPQ T4'!AE121)</f>
        <v>4787</v>
      </c>
      <c r="I129" s="22">
        <f t="shared" si="4"/>
        <v>0</v>
      </c>
      <c r="J129" s="41"/>
      <c r="K129" s="34"/>
      <c r="L129" s="35"/>
      <c r="M129" s="50"/>
      <c r="N129" s="45"/>
      <c r="O129" s="46"/>
    </row>
    <row r="130" spans="1:15">
      <c r="A130" s="26"/>
      <c r="B130" s="21"/>
      <c r="C130" s="22"/>
      <c r="D130" s="26"/>
      <c r="E130" s="4" t="str">
        <f>IF(ISNUMBER('FBPQ C2'!J122),'FBPQ C2'!J122,IF(ISNUMBER('FBPQ C2'!I122),'FBPQ C2'!I122,""))</f>
        <v/>
      </c>
      <c r="F130" s="30"/>
      <c r="G130" s="30">
        <f t="shared" si="5"/>
        <v>0</v>
      </c>
      <c r="H130" s="22" t="str">
        <f>IF(ISBLANK('FBPQ T4'!E122)," ",'FBPQ T4'!AE122)</f>
        <v xml:space="preserve"> </v>
      </c>
      <c r="I130" s="22" t="str">
        <f t="shared" si="4"/>
        <v xml:space="preserve"> </v>
      </c>
      <c r="J130" s="41"/>
      <c r="K130" s="34"/>
      <c r="L130" s="34"/>
      <c r="M130" s="34"/>
      <c r="N130" s="45"/>
      <c r="O130" s="46"/>
    </row>
    <row r="131" spans="1:15">
      <c r="A131" s="26"/>
      <c r="B131" s="21" t="s">
        <v>769</v>
      </c>
      <c r="C131" s="22"/>
      <c r="D131" s="26"/>
      <c r="E131" s="4" t="str">
        <f>IF(ISNUMBER('FBPQ C2'!J123),'FBPQ C2'!J123,IF(ISNUMBER('FBPQ C2'!I123),'FBPQ C2'!I123,""))</f>
        <v/>
      </c>
      <c r="F131" s="30"/>
      <c r="G131" s="30">
        <f t="shared" si="5"/>
        <v>0</v>
      </c>
      <c r="H131" s="22" t="str">
        <f>IF(ISBLANK('FBPQ T4'!E123)," ",'FBPQ T4'!AE123)</f>
        <v xml:space="preserve"> </v>
      </c>
      <c r="I131" s="22" t="str">
        <f t="shared" si="4"/>
        <v xml:space="preserve"> </v>
      </c>
      <c r="J131" s="41"/>
      <c r="K131" s="34"/>
      <c r="L131" s="35"/>
      <c r="M131" s="34"/>
      <c r="N131" s="45"/>
      <c r="O131" s="44"/>
    </row>
    <row r="132" spans="1:15">
      <c r="A132" s="26"/>
      <c r="B132" s="21"/>
      <c r="C132" s="22" t="s">
        <v>710</v>
      </c>
      <c r="D132" s="26" t="s">
        <v>177</v>
      </c>
      <c r="E132" s="4">
        <f>IF(ISNUMBER('FBPQ C2'!J124),'FBPQ C2'!J124,IF(ISNUMBER('FBPQ C2'!I124),'FBPQ C2'!I124,""))</f>
        <v>1239.5652564938177</v>
      </c>
      <c r="F132" s="30" t="s">
        <v>218</v>
      </c>
      <c r="G132" s="30">
        <f t="shared" si="5"/>
        <v>1239.5652564938177</v>
      </c>
      <c r="H132" s="22">
        <f>IF(ISBLANK('FBPQ T4'!E124)," ",'FBPQ T4'!AE124)</f>
        <v>43</v>
      </c>
      <c r="I132" s="22">
        <f t="shared" si="4"/>
        <v>53301.306029234162</v>
      </c>
      <c r="J132" s="41"/>
      <c r="K132" s="34"/>
      <c r="L132" s="34"/>
      <c r="M132" s="34"/>
      <c r="N132" s="45"/>
      <c r="O132" s="44"/>
    </row>
    <row r="133" spans="1:15">
      <c r="A133" s="26"/>
      <c r="B133" s="21"/>
      <c r="C133" s="22" t="s">
        <v>709</v>
      </c>
      <c r="D133" s="26" t="s">
        <v>177</v>
      </c>
      <c r="E133" s="4">
        <f>IF(ISNUMBER('FBPQ C2'!J125),'FBPQ C2'!J125,IF(ISNUMBER('FBPQ C2'!I125),'FBPQ C2'!I125,""))</f>
        <v>1239.5652564938177</v>
      </c>
      <c r="F133" s="30" t="s">
        <v>218</v>
      </c>
      <c r="G133" s="30">
        <f t="shared" si="5"/>
        <v>1239.5652564938177</v>
      </c>
      <c r="H133" s="22">
        <f>IF(ISBLANK('FBPQ T4'!E125)," ",'FBPQ T4'!AE125)</f>
        <v>251</v>
      </c>
      <c r="I133" s="22">
        <f t="shared" si="4"/>
        <v>311130.87937994825</v>
      </c>
      <c r="J133" s="41"/>
      <c r="K133" s="34"/>
      <c r="L133" s="34"/>
      <c r="M133" s="34"/>
      <c r="N133" s="45"/>
      <c r="O133" s="44"/>
    </row>
    <row r="134" spans="1:15">
      <c r="A134" s="26"/>
      <c r="B134" s="21"/>
      <c r="C134" s="22" t="s">
        <v>673</v>
      </c>
      <c r="D134" s="26" t="s">
        <v>177</v>
      </c>
      <c r="E134" s="1894">
        <f>E133</f>
        <v>1239.5652564938177</v>
      </c>
      <c r="F134" s="30" t="s">
        <v>218</v>
      </c>
      <c r="G134" s="30">
        <f t="shared" si="5"/>
        <v>1239.5652564938177</v>
      </c>
      <c r="H134" s="22">
        <f>IF(ISBLANK('FBPQ T4'!E126)," ",'FBPQ T4'!AE126)</f>
        <v>16</v>
      </c>
      <c r="I134" s="22">
        <f t="shared" si="4"/>
        <v>19833.044103901084</v>
      </c>
      <c r="J134" s="41"/>
      <c r="K134" s="34"/>
      <c r="L134" s="34"/>
      <c r="M134" s="34"/>
      <c r="N134" s="45"/>
      <c r="O134" s="46"/>
    </row>
    <row r="135" spans="1:15">
      <c r="A135" s="26"/>
      <c r="B135" s="21"/>
      <c r="C135" s="22"/>
      <c r="D135" s="26"/>
      <c r="E135" s="4" t="str">
        <f>IF(ISNUMBER('FBPQ C2'!J127),'FBPQ C2'!J127,IF(ISNUMBER('FBPQ C2'!I127),'FBPQ C2'!I127,""))</f>
        <v/>
      </c>
      <c r="F135" s="30"/>
      <c r="G135" s="30">
        <f t="shared" si="5"/>
        <v>0</v>
      </c>
      <c r="H135" s="22" t="str">
        <f>IF(ISBLANK('FBPQ T4'!E127)," ",'FBPQ T4'!AE127)</f>
        <v xml:space="preserve"> </v>
      </c>
      <c r="I135" s="22" t="str">
        <f t="shared" si="4"/>
        <v xml:space="preserve"> </v>
      </c>
      <c r="J135" s="41"/>
      <c r="K135" s="34"/>
      <c r="L135" s="34"/>
      <c r="M135" s="34"/>
      <c r="N135" s="41"/>
      <c r="O135" s="46"/>
    </row>
    <row r="136" spans="1:15">
      <c r="A136" s="26"/>
      <c r="B136" s="21" t="s">
        <v>68</v>
      </c>
      <c r="C136" s="22"/>
      <c r="D136" s="26"/>
      <c r="E136" s="4" t="str">
        <f>IF(ISNUMBER('FBPQ C2'!J128),'FBPQ C2'!J128,IF(ISNUMBER('FBPQ C2'!I128),'FBPQ C2'!I128,""))</f>
        <v/>
      </c>
      <c r="F136" s="30"/>
      <c r="G136" s="30">
        <f t="shared" si="5"/>
        <v>0</v>
      </c>
      <c r="H136" s="22" t="str">
        <f>IF(ISBLANK('FBPQ T4'!E128)," ",'FBPQ T4'!AE128)</f>
        <v xml:space="preserve"> </v>
      </c>
      <c r="I136" s="22" t="str">
        <f t="shared" si="4"/>
        <v xml:space="preserve"> </v>
      </c>
      <c r="J136" s="41"/>
      <c r="K136" s="34"/>
      <c r="L136" s="35"/>
      <c r="M136" s="34"/>
      <c r="N136" s="41"/>
      <c r="O136" s="44"/>
    </row>
    <row r="137" spans="1:15">
      <c r="A137" s="26"/>
      <c r="B137" s="21"/>
      <c r="C137" s="22" t="s">
        <v>674</v>
      </c>
      <c r="D137" s="26" t="s">
        <v>177</v>
      </c>
      <c r="E137" s="4">
        <f>IF(ISNUMBER('FBPQ C2'!J129),'FBPQ C2'!J129,IF(ISNUMBER('FBPQ C2'!I129),'FBPQ C2'!I129,""))</f>
        <v>0</v>
      </c>
      <c r="F137" s="30" t="s">
        <v>218</v>
      </c>
      <c r="G137" s="30">
        <f t="shared" si="5"/>
        <v>0</v>
      </c>
      <c r="H137" s="22">
        <f>IF(ISBLANK('FBPQ T4'!E129)," ",'FBPQ T4'!AE129)</f>
        <v>0</v>
      </c>
      <c r="I137" s="22">
        <f t="shared" si="4"/>
        <v>0</v>
      </c>
      <c r="J137" s="41"/>
      <c r="K137" s="34"/>
      <c r="L137" s="34"/>
      <c r="M137" s="50"/>
      <c r="N137" s="45"/>
      <c r="O137" s="46"/>
    </row>
    <row r="138" spans="1:15">
      <c r="A138" s="26"/>
      <c r="B138" s="21"/>
      <c r="C138" s="22"/>
      <c r="D138" s="26"/>
      <c r="E138" s="4" t="str">
        <f>IF(ISNUMBER('FBPQ C2'!J130),'FBPQ C2'!J130,IF(ISNUMBER('FBPQ C2'!I130),'FBPQ C2'!I130,""))</f>
        <v/>
      </c>
      <c r="F138" s="30"/>
      <c r="G138" s="30">
        <f t="shared" si="5"/>
        <v>0</v>
      </c>
      <c r="H138" s="22" t="str">
        <f>IF(ISBLANK('FBPQ T4'!E130)," ",'FBPQ T4'!AE130)</f>
        <v xml:space="preserve"> </v>
      </c>
      <c r="I138" s="22" t="str">
        <f t="shared" si="4"/>
        <v xml:space="preserve"> </v>
      </c>
      <c r="J138" s="41"/>
      <c r="K138" s="34"/>
      <c r="L138" s="34"/>
      <c r="M138" s="34"/>
      <c r="N138" s="41"/>
      <c r="O138" s="46"/>
    </row>
    <row r="139" spans="1:15">
      <c r="A139" s="26"/>
      <c r="B139" s="21" t="s">
        <v>637</v>
      </c>
      <c r="C139" s="22"/>
      <c r="D139" s="26"/>
      <c r="E139" s="4" t="str">
        <f>IF(ISNUMBER('FBPQ C2'!J131),'FBPQ C2'!J131,IF(ISNUMBER('FBPQ C2'!I131),'FBPQ C2'!I131,""))</f>
        <v/>
      </c>
      <c r="F139" s="30"/>
      <c r="G139" s="30">
        <f t="shared" si="5"/>
        <v>0</v>
      </c>
      <c r="H139" s="22" t="str">
        <f>IF(ISBLANK('FBPQ T4'!E131)," ",'FBPQ T4'!AE131)</f>
        <v xml:space="preserve"> </v>
      </c>
      <c r="I139" s="22" t="str">
        <f t="shared" si="4"/>
        <v xml:space="preserve"> </v>
      </c>
      <c r="J139" s="41"/>
      <c r="K139" s="34"/>
      <c r="L139" s="35"/>
      <c r="M139" s="34"/>
      <c r="N139" s="41"/>
      <c r="O139" s="44"/>
    </row>
    <row r="140" spans="1:15">
      <c r="A140" s="26"/>
      <c r="B140" s="21"/>
      <c r="C140" s="22" t="s">
        <v>675</v>
      </c>
      <c r="D140" s="26" t="s">
        <v>744</v>
      </c>
      <c r="E140" s="4">
        <f>IF(ISNUMBER('FBPQ C2'!J132),'FBPQ C2'!J132,IF(ISNUMBER('FBPQ C2'!I132),'FBPQ C2'!I132,""))</f>
        <v>1106.4550181810969</v>
      </c>
      <c r="F140" s="30" t="s">
        <v>218</v>
      </c>
      <c r="G140" s="30">
        <f t="shared" si="5"/>
        <v>1106.4550181810969</v>
      </c>
      <c r="H140" s="22">
        <f>IF(ISBLANK('FBPQ T4'!E132)," ",'FBPQ T4'!AE132)</f>
        <v>295</v>
      </c>
      <c r="I140" s="22">
        <f t="shared" si="4"/>
        <v>326404.23036342359</v>
      </c>
      <c r="J140" s="41"/>
      <c r="K140" s="34"/>
      <c r="L140" s="34"/>
      <c r="M140" s="34"/>
      <c r="N140" s="45"/>
      <c r="O140" s="47"/>
    </row>
    <row r="141" spans="1:15">
      <c r="A141" s="26"/>
      <c r="B141" s="21"/>
      <c r="C141" s="22" t="s">
        <v>676</v>
      </c>
      <c r="D141" s="26" t="s">
        <v>744</v>
      </c>
      <c r="E141" s="1894">
        <f>E140</f>
        <v>1106.4550181810969</v>
      </c>
      <c r="F141" s="30" t="s">
        <v>218</v>
      </c>
      <c r="G141" s="30">
        <f t="shared" si="5"/>
        <v>1106.4550181810969</v>
      </c>
      <c r="H141" s="22">
        <f>IF(ISBLANK('FBPQ T4'!E133)," ",'FBPQ T4'!AE133)</f>
        <v>1704</v>
      </c>
      <c r="I141" s="22">
        <f t="shared" si="4"/>
        <v>1885399.3509805892</v>
      </c>
      <c r="J141" s="41"/>
      <c r="K141" s="34"/>
      <c r="L141" s="34"/>
      <c r="M141" s="34"/>
      <c r="N141" s="45"/>
      <c r="O141" s="46"/>
    </row>
    <row r="142" spans="1:15">
      <c r="A142" s="26"/>
      <c r="B142" s="21"/>
      <c r="C142" s="22"/>
      <c r="D142" s="26"/>
      <c r="E142" s="4" t="str">
        <f>IF(ISNUMBER('FBPQ C2'!J134),'FBPQ C2'!J134,IF(ISNUMBER('FBPQ C2'!I134),'FBPQ C2'!I134,""))</f>
        <v/>
      </c>
      <c r="F142" s="30"/>
      <c r="G142" s="30">
        <f t="shared" si="5"/>
        <v>0</v>
      </c>
      <c r="H142" s="22" t="str">
        <f>IF(ISBLANK('FBPQ T4'!E134)," ",'FBPQ T4'!AE134)</f>
        <v xml:space="preserve"> </v>
      </c>
      <c r="I142" s="22" t="str">
        <f t="shared" si="4"/>
        <v xml:space="preserve"> </v>
      </c>
      <c r="J142" s="41"/>
      <c r="K142" s="34"/>
      <c r="L142" s="34"/>
      <c r="M142" s="34"/>
      <c r="N142" s="41"/>
      <c r="O142" s="46"/>
    </row>
    <row r="143" spans="1:15">
      <c r="A143" s="26"/>
      <c r="B143" s="21" t="s">
        <v>512</v>
      </c>
      <c r="C143" s="22"/>
      <c r="D143" s="26"/>
      <c r="E143" s="4" t="str">
        <f>IF(ISNUMBER('FBPQ C2'!J135),'FBPQ C2'!J135,IF(ISNUMBER('FBPQ C2'!I135),'FBPQ C2'!I135,""))</f>
        <v/>
      </c>
      <c r="F143" s="30"/>
      <c r="G143" s="30">
        <f t="shared" si="5"/>
        <v>0</v>
      </c>
      <c r="H143" s="22" t="str">
        <f>IF(ISBLANK('FBPQ T4'!E135)," ",'FBPQ T4'!AE135)</f>
        <v xml:space="preserve"> </v>
      </c>
      <c r="I143" s="22" t="str">
        <f t="shared" si="4"/>
        <v xml:space="preserve"> </v>
      </c>
      <c r="J143" s="41"/>
      <c r="K143" s="34"/>
      <c r="L143" s="35"/>
      <c r="M143" s="34"/>
      <c r="N143" s="45"/>
      <c r="O143" s="44"/>
    </row>
    <row r="144" spans="1:15">
      <c r="A144" s="26"/>
      <c r="B144" s="21"/>
      <c r="C144" s="22" t="s">
        <v>677</v>
      </c>
      <c r="D144" s="26" t="s">
        <v>744</v>
      </c>
      <c r="E144" s="4">
        <f>IF(ISNUMBER('FBPQ C2'!J136),'FBPQ C2'!J136,IF(ISNUMBER('FBPQ C2'!I136),'FBPQ C2'!I136,""))</f>
        <v>2234.9043737338279</v>
      </c>
      <c r="F144" s="30" t="s">
        <v>218</v>
      </c>
      <c r="G144" s="30">
        <f t="shared" si="5"/>
        <v>2234.9043737338279</v>
      </c>
      <c r="H144" s="22">
        <f>IF(ISBLANK('FBPQ T4'!E136)," ",'FBPQ T4'!AE136)</f>
        <v>249</v>
      </c>
      <c r="I144" s="22">
        <f t="shared" si="4"/>
        <v>556491.18905972317</v>
      </c>
      <c r="J144" s="41"/>
      <c r="K144" s="34"/>
      <c r="L144" s="34"/>
      <c r="M144" s="50"/>
      <c r="N144" s="45"/>
      <c r="O144" s="51"/>
    </row>
    <row r="145" spans="1:15">
      <c r="A145" s="26"/>
      <c r="B145" s="21"/>
      <c r="C145" s="22" t="s">
        <v>678</v>
      </c>
      <c r="D145" s="26" t="s">
        <v>744</v>
      </c>
      <c r="E145" s="1894">
        <f>E76</f>
        <v>11.950680421581421</v>
      </c>
      <c r="F145" s="30" t="s">
        <v>218</v>
      </c>
      <c r="G145" s="30">
        <f t="shared" si="5"/>
        <v>11.950680421581421</v>
      </c>
      <c r="H145" s="22">
        <f>IF(ISBLANK('FBPQ T4'!E137)," ",'FBPQ T4'!AE137)</f>
        <v>356</v>
      </c>
      <c r="I145" s="22">
        <f t="shared" si="4"/>
        <v>4254.4422300829856</v>
      </c>
      <c r="J145" s="41"/>
      <c r="K145" s="34"/>
      <c r="L145" s="34"/>
      <c r="M145" s="50"/>
      <c r="N145" s="45"/>
      <c r="O145" s="52"/>
    </row>
    <row r="146" spans="1:15">
      <c r="A146" s="26"/>
      <c r="B146" s="21"/>
      <c r="C146" s="22"/>
      <c r="D146" s="26"/>
      <c r="E146" s="1895">
        <f>IF(ISNUMBER('[5]FBPQ C2'!K138),'[5]FBPQ C2'!K138,IF(ISNUMBER('[5]FBPQ C2'!I138),'[5]FBPQ C2'!I138,""))</f>
        <v>0</v>
      </c>
      <c r="F146" s="30"/>
      <c r="G146" s="30">
        <f t="shared" si="5"/>
        <v>0</v>
      </c>
      <c r="H146" s="22" t="str">
        <f>IF(ISBLANK('FBPQ T4'!E138)," ",'FBPQ T4'!AE138)</f>
        <v xml:space="preserve"> </v>
      </c>
      <c r="I146" s="22" t="str">
        <f t="shared" si="4"/>
        <v xml:space="preserve"> </v>
      </c>
      <c r="J146" s="48"/>
      <c r="K146" s="48"/>
      <c r="L146" s="48"/>
      <c r="M146" s="48"/>
      <c r="N146" s="49"/>
    </row>
    <row r="147" spans="1:15">
      <c r="A147" s="26" t="s">
        <v>683</v>
      </c>
      <c r="B147" s="21"/>
      <c r="C147" s="22"/>
      <c r="D147" s="26"/>
      <c r="E147" s="1895">
        <f>IF(ISNUMBER('[5]FBPQ C2'!K139),'[5]FBPQ C2'!K139,IF(ISNUMBER('[5]FBPQ C2'!I139),'[5]FBPQ C2'!I139,""))</f>
        <v>0</v>
      </c>
      <c r="F147" s="30"/>
      <c r="G147" s="30">
        <f t="shared" si="5"/>
        <v>0</v>
      </c>
      <c r="H147" s="22" t="str">
        <f>IF(ISBLANK('FBPQ T4'!E139)," ",'FBPQ T4'!AE139)</f>
        <v xml:space="preserve"> </v>
      </c>
      <c r="I147" s="22" t="str">
        <f t="shared" si="4"/>
        <v xml:space="preserve"> </v>
      </c>
    </row>
    <row r="148" spans="1:15">
      <c r="A148" s="26"/>
      <c r="B148" s="21" t="s">
        <v>684</v>
      </c>
      <c r="C148" s="22"/>
      <c r="D148" s="26"/>
      <c r="E148" s="1895">
        <f>IF(ISNUMBER('[5]FBPQ C2'!K140),'[5]FBPQ C2'!K140,IF(ISNUMBER('[5]FBPQ C2'!I140),'[5]FBPQ C2'!I140,""))</f>
        <v>0</v>
      </c>
      <c r="F148" s="30"/>
      <c r="G148" s="30">
        <f t="shared" ref="G148:G163" si="6">IF(ISNUMBER(E148),E148,IF(H148&gt;0,F148," "))</f>
        <v>0</v>
      </c>
      <c r="H148" s="22" t="str">
        <f>IF(ISBLANK('FBPQ T4'!E140)," ",'FBPQ T4'!AE140)</f>
        <v xml:space="preserve"> </v>
      </c>
      <c r="I148" s="22" t="str">
        <f t="shared" si="4"/>
        <v xml:space="preserve"> </v>
      </c>
    </row>
    <row r="149" spans="1:15">
      <c r="A149" s="26"/>
      <c r="B149" s="21"/>
      <c r="C149" s="22" t="s">
        <v>685</v>
      </c>
      <c r="D149" s="26" t="s">
        <v>744</v>
      </c>
      <c r="E149" s="1894">
        <v>62.645000000000003</v>
      </c>
      <c r="F149" s="30" t="s">
        <v>218</v>
      </c>
      <c r="G149" s="30">
        <f t="shared" si="6"/>
        <v>62.645000000000003</v>
      </c>
      <c r="H149" s="22">
        <f>IF(ISBLANK('FBPQ T4'!E141)," ",'FBPQ T4'!AE141)</f>
        <v>2</v>
      </c>
      <c r="I149" s="22">
        <f t="shared" ref="I149:I163" si="7">IF(ISERROR(G149*H149)," ",G149*H149)</f>
        <v>125.29</v>
      </c>
    </row>
    <row r="150" spans="1:15">
      <c r="A150" s="26"/>
      <c r="B150" s="21"/>
      <c r="C150" s="22" t="s">
        <v>854</v>
      </c>
      <c r="D150" s="26" t="s">
        <v>744</v>
      </c>
      <c r="E150" s="1894">
        <v>62.645000000000003</v>
      </c>
      <c r="F150" s="30" t="s">
        <v>218</v>
      </c>
      <c r="G150" s="30">
        <f t="shared" si="6"/>
        <v>62.645000000000003</v>
      </c>
      <c r="H150" s="22">
        <f>IF(ISBLANK('FBPQ T4'!E142)," ",'FBPQ T4'!AE142)</f>
        <v>262</v>
      </c>
      <c r="I150" s="22">
        <f t="shared" si="7"/>
        <v>16412.990000000002</v>
      </c>
    </row>
    <row r="151" spans="1:15">
      <c r="A151" s="26"/>
      <c r="B151" s="21"/>
      <c r="C151" s="22"/>
      <c r="D151" s="26"/>
      <c r="E151" s="1895">
        <f>IF(ISNUMBER('[5]FBPQ C2'!K143),'[5]FBPQ C2'!K143,IF(ISNUMBER('[5]FBPQ C2'!I143),'[5]FBPQ C2'!I143,""))</f>
        <v>0</v>
      </c>
      <c r="F151" s="30"/>
      <c r="G151" s="30">
        <f t="shared" si="6"/>
        <v>0</v>
      </c>
      <c r="H151" s="22" t="str">
        <f>IF(ISBLANK('FBPQ T4'!E143)," ",'FBPQ T4'!AE143)</f>
        <v xml:space="preserve"> </v>
      </c>
      <c r="I151" s="22" t="str">
        <f t="shared" si="7"/>
        <v xml:space="preserve"> </v>
      </c>
    </row>
    <row r="152" spans="1:15">
      <c r="A152" s="26"/>
      <c r="B152" s="21" t="s">
        <v>855</v>
      </c>
      <c r="C152" s="22"/>
      <c r="D152" s="26"/>
      <c r="E152" s="1895">
        <f>IF(ISNUMBER('[5]FBPQ C2'!K144),'[5]FBPQ C2'!K144,IF(ISNUMBER('[5]FBPQ C2'!I144),'[5]FBPQ C2'!I144,""))</f>
        <v>0</v>
      </c>
      <c r="F152" s="30"/>
      <c r="G152" s="30">
        <f t="shared" si="6"/>
        <v>0</v>
      </c>
      <c r="H152" s="22" t="str">
        <f>IF(ISBLANK('FBPQ T4'!E144)," ",'FBPQ T4'!AE144)</f>
        <v xml:space="preserve"> </v>
      </c>
      <c r="I152" s="22" t="str">
        <f t="shared" si="7"/>
        <v xml:space="preserve"> </v>
      </c>
    </row>
    <row r="153" spans="1:15">
      <c r="A153" s="26"/>
      <c r="B153" s="21"/>
      <c r="C153" s="22" t="s">
        <v>687</v>
      </c>
      <c r="D153" s="26" t="s">
        <v>744</v>
      </c>
      <c r="E153" s="1894">
        <v>62.645000000000003</v>
      </c>
      <c r="F153" s="30" t="s">
        <v>218</v>
      </c>
      <c r="G153" s="30">
        <f t="shared" si="6"/>
        <v>62.645000000000003</v>
      </c>
      <c r="H153" s="22">
        <f>IF(ISBLANK('FBPQ T4'!E145)," ",'FBPQ T4'!AE145)</f>
        <v>1773</v>
      </c>
      <c r="I153" s="22">
        <f t="shared" si="7"/>
        <v>111069.58500000001</v>
      </c>
    </row>
    <row r="154" spans="1:15">
      <c r="A154" s="26"/>
      <c r="B154" s="21"/>
      <c r="C154" s="22" t="s">
        <v>688</v>
      </c>
      <c r="D154" s="26" t="s">
        <v>744</v>
      </c>
      <c r="E154" s="1894">
        <v>62.645000000000003</v>
      </c>
      <c r="F154" s="30" t="s">
        <v>218</v>
      </c>
      <c r="G154" s="30">
        <f t="shared" si="6"/>
        <v>62.645000000000003</v>
      </c>
      <c r="H154" s="22">
        <f>IF(ISBLANK('FBPQ T4'!E146)," ",'FBPQ T4'!AE146)</f>
        <v>1264</v>
      </c>
      <c r="I154" s="22">
        <f t="shared" si="7"/>
        <v>79183.28</v>
      </c>
    </row>
    <row r="155" spans="1:15">
      <c r="A155" s="26"/>
      <c r="B155" s="21"/>
      <c r="C155" s="22"/>
      <c r="D155" s="26"/>
      <c r="E155" s="4" t="str">
        <f>IF(ISNUMBER('FBPQ C2'!J147),'FBPQ C2'!J147,IF(ISNUMBER('FBPQ C2'!I147),'FBPQ C2'!I147,""))</f>
        <v/>
      </c>
      <c r="F155" s="30"/>
      <c r="G155" s="30">
        <f t="shared" si="6"/>
        <v>0</v>
      </c>
      <c r="H155" s="22" t="str">
        <f>IF(ISBLANK('FBPQ T4'!E147)," ",'FBPQ T4'!AE147)</f>
        <v xml:space="preserve"> </v>
      </c>
      <c r="I155" s="22" t="str">
        <f t="shared" si="7"/>
        <v xml:space="preserve"> </v>
      </c>
    </row>
    <row r="156" spans="1:15">
      <c r="A156" s="26"/>
      <c r="B156" s="21"/>
      <c r="C156" s="22"/>
      <c r="D156" s="26"/>
      <c r="E156" s="4" t="str">
        <f>IF(ISNUMBER('FBPQ C2'!J148),'FBPQ C2'!J148,IF(ISNUMBER('FBPQ C2'!I148),'FBPQ C2'!I148,""))</f>
        <v/>
      </c>
      <c r="F156" s="30"/>
      <c r="G156" s="30">
        <f t="shared" si="6"/>
        <v>0</v>
      </c>
      <c r="H156" s="22" t="str">
        <f>IF(ISBLANK('FBPQ T4'!E148)," ",'FBPQ T4'!AE148)</f>
        <v xml:space="preserve"> </v>
      </c>
      <c r="I156" s="22" t="str">
        <f t="shared" si="7"/>
        <v xml:space="preserve"> </v>
      </c>
    </row>
    <row r="157" spans="1:15">
      <c r="A157" s="26" t="s">
        <v>689</v>
      </c>
      <c r="B157" s="21"/>
      <c r="C157" s="22"/>
      <c r="D157" s="26"/>
      <c r="E157" s="4" t="str">
        <f>IF(ISNUMBER('FBPQ C2'!J149),'FBPQ C2'!J149,IF(ISNUMBER('FBPQ C2'!I149),'FBPQ C2'!I149,""))</f>
        <v/>
      </c>
      <c r="F157" s="30"/>
      <c r="G157" s="30">
        <f t="shared" si="6"/>
        <v>0</v>
      </c>
      <c r="H157" s="22" t="str">
        <f>IF(ISBLANK('FBPQ T4'!E149)," ",'FBPQ T4'!AE149)</f>
        <v xml:space="preserve"> </v>
      </c>
      <c r="I157" s="22" t="str">
        <f t="shared" si="7"/>
        <v xml:space="preserve"> </v>
      </c>
    </row>
    <row r="158" spans="1:15">
      <c r="A158" s="26"/>
      <c r="B158" s="21"/>
      <c r="C158" s="22" t="s">
        <v>80</v>
      </c>
      <c r="D158" s="26"/>
      <c r="E158" s="4" t="str">
        <f>IF(ISNUMBER('FBPQ C2'!J150),'FBPQ C2'!J150,IF(ISNUMBER('FBPQ C2'!I150),'FBPQ C2'!I150,""))</f>
        <v/>
      </c>
      <c r="F158" s="30"/>
      <c r="G158" s="30">
        <f t="shared" si="6"/>
        <v>0</v>
      </c>
      <c r="H158" s="22" t="str">
        <f>IF(ISBLANK('FBPQ T4'!E150)," ",'FBPQ T4'!AE150)</f>
        <v xml:space="preserve"> </v>
      </c>
      <c r="I158" s="22" t="str">
        <f t="shared" si="7"/>
        <v xml:space="preserve"> </v>
      </c>
    </row>
    <row r="159" spans="1:15">
      <c r="A159" s="26"/>
      <c r="B159" s="21"/>
      <c r="C159" s="22" t="s">
        <v>690</v>
      </c>
      <c r="D159" s="26" t="s">
        <v>744</v>
      </c>
      <c r="E159" s="4">
        <f>IF(ISNUMBER('FBPQ C2'!J151),'FBPQ C2'!J151,IF(ISNUMBER('FBPQ C2'!I151),'FBPQ C2'!I151,""))</f>
        <v>30.893780238768993</v>
      </c>
      <c r="F159" s="30" t="s">
        <v>218</v>
      </c>
      <c r="G159" s="30">
        <f t="shared" si="6"/>
        <v>30.893780238768993</v>
      </c>
      <c r="H159" s="22" t="str">
        <f>IF(ISBLANK('FBPQ T4'!E151)," ",'FBPQ T4'!AE151)</f>
        <v xml:space="preserve"> </v>
      </c>
      <c r="I159" s="22" t="str">
        <f t="shared" si="7"/>
        <v xml:space="preserve"> </v>
      </c>
    </row>
    <row r="160" spans="1:15">
      <c r="A160" s="26"/>
      <c r="B160" s="21"/>
      <c r="C160" s="22" t="s">
        <v>691</v>
      </c>
      <c r="D160" s="26" t="s">
        <v>744</v>
      </c>
      <c r="E160" s="4">
        <f>IF(ISNUMBER('FBPQ C2'!J152),'FBPQ C2'!J152,IF(ISNUMBER('FBPQ C2'!I152),'FBPQ C2'!I152,""))</f>
        <v>7.882363682319661</v>
      </c>
      <c r="F160" s="30" t="s">
        <v>218</v>
      </c>
      <c r="G160" s="30">
        <f t="shared" si="6"/>
        <v>7.882363682319661</v>
      </c>
      <c r="H160" s="22" t="str">
        <f>IF(ISBLANK('FBPQ T4'!E152)," ",'FBPQ T4'!AE152)</f>
        <v xml:space="preserve"> </v>
      </c>
      <c r="I160" s="22" t="str">
        <f t="shared" si="7"/>
        <v xml:space="preserve"> </v>
      </c>
    </row>
    <row r="161" spans="1:9">
      <c r="A161" s="26"/>
      <c r="B161" s="21"/>
      <c r="C161" s="22" t="s">
        <v>503</v>
      </c>
      <c r="D161" s="26"/>
      <c r="E161" s="4" t="str">
        <f>IF(ISNUMBER('FBPQ C2'!J153),'FBPQ C2'!J153,IF(ISNUMBER('FBPQ C2'!I153),'FBPQ C2'!I153,""))</f>
        <v/>
      </c>
      <c r="F161" s="30" t="s">
        <v>218</v>
      </c>
      <c r="G161" s="30" t="str">
        <f t="shared" si="6"/>
        <v>DATA</v>
      </c>
      <c r="H161" s="22" t="str">
        <f>IF(ISBLANK('FBPQ T4'!E153)," ",'FBPQ T4'!AE153)</f>
        <v xml:space="preserve"> </v>
      </c>
      <c r="I161" s="22" t="str">
        <f t="shared" si="7"/>
        <v xml:space="preserve"> </v>
      </c>
    </row>
    <row r="162" spans="1:9">
      <c r="A162" s="26"/>
      <c r="B162" s="21"/>
      <c r="C162" s="22" t="s">
        <v>690</v>
      </c>
      <c r="D162" s="26" t="s">
        <v>744</v>
      </c>
      <c r="E162" s="4">
        <f>IF(ISNUMBER('FBPQ C2'!J154),'FBPQ C2'!J154,IF(ISNUMBER('FBPQ C2'!I154),'FBPQ C2'!I154,""))</f>
        <v>0</v>
      </c>
      <c r="F162" s="30" t="s">
        <v>218</v>
      </c>
      <c r="G162" s="30">
        <f t="shared" si="6"/>
        <v>0</v>
      </c>
      <c r="H162" s="22" t="str">
        <f>IF(ISBLANK('FBPQ T4'!E154)," ",'FBPQ T4'!AE154)</f>
        <v xml:space="preserve"> </v>
      </c>
      <c r="I162" s="22" t="str">
        <f t="shared" si="7"/>
        <v xml:space="preserve"> </v>
      </c>
    </row>
    <row r="163" spans="1:9">
      <c r="A163" s="25"/>
      <c r="B163" s="23"/>
      <c r="C163" s="24" t="s">
        <v>691</v>
      </c>
      <c r="D163" s="25" t="s">
        <v>744</v>
      </c>
      <c r="E163" s="5">
        <f>IF(ISNUMBER('FBPQ C2'!J155),'FBPQ C2'!J155,IF(ISNUMBER('FBPQ C2'!I155),'FBPQ C2'!I155,""))</f>
        <v>0</v>
      </c>
      <c r="F163" s="31" t="s">
        <v>218</v>
      </c>
      <c r="G163" s="31">
        <f t="shared" si="6"/>
        <v>0</v>
      </c>
      <c r="H163" s="25" t="str">
        <f>IF(ISBLANK('FBPQ T4'!E155)," ",'FBPQ T4'!AE155)</f>
        <v xml:space="preserve"> </v>
      </c>
      <c r="I163" s="25" t="str">
        <f t="shared" si="7"/>
        <v xml:space="preserve"> </v>
      </c>
    </row>
    <row r="164" spans="1:9" ht="17.25" customHeight="1">
      <c r="H164" s="1127" t="s">
        <v>461</v>
      </c>
      <c r="I164" s="1128">
        <f>SUM(I18:I163)</f>
        <v>16745071.574087301</v>
      </c>
    </row>
  </sheetData>
  <mergeCells count="2">
    <mergeCell ref="F3:H3"/>
    <mergeCell ref="F4:H4"/>
  </mergeCells>
  <phoneticPr fontId="0" type="noConversion"/>
  <hyperlinks>
    <hyperlink ref="F1" location="Inputs!A1" display="Index"/>
  </hyperlink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FFFF00"/>
  </sheetPr>
  <dimension ref="A1:F37"/>
  <sheetViews>
    <sheetView showGridLines="0" workbookViewId="0"/>
  </sheetViews>
  <sheetFormatPr defaultColWidth="8.85546875" defaultRowHeight="12.75"/>
  <cols>
    <col min="1" max="1" width="59.140625" customWidth="1"/>
    <col min="2" max="2" width="16" customWidth="1"/>
    <col min="3" max="6" width="19" customWidth="1"/>
  </cols>
  <sheetData>
    <row r="1" spans="1:6" ht="15.75">
      <c r="A1" s="134" t="s">
        <v>539</v>
      </c>
      <c r="D1" s="253" t="s">
        <v>216</v>
      </c>
    </row>
    <row r="2" spans="1:6" ht="38.25">
      <c r="B2" s="135" t="s">
        <v>540</v>
      </c>
    </row>
    <row r="3" spans="1:6">
      <c r="A3" s="135" t="s">
        <v>541</v>
      </c>
      <c r="B3" s="1021">
        <f>'RRP 5.1'!G36</f>
        <v>17084</v>
      </c>
    </row>
    <row r="4" spans="1:6">
      <c r="A4" s="135" t="s">
        <v>542</v>
      </c>
      <c r="B4" s="1021">
        <f>'RRP 5.1'!G35</f>
        <v>9051</v>
      </c>
    </row>
    <row r="5" spans="1:6">
      <c r="A5" s="135" t="s">
        <v>695</v>
      </c>
      <c r="B5" s="1021">
        <f>'RRP 5.1'!G34</f>
        <v>616</v>
      </c>
    </row>
    <row r="6" spans="1:6">
      <c r="A6" s="135" t="s">
        <v>705</v>
      </c>
      <c r="B6" s="1021">
        <f>'RRP 5.1'!G40</f>
        <v>1381</v>
      </c>
    </row>
    <row r="8" spans="1:6" ht="15.75">
      <c r="A8" s="134" t="s">
        <v>696</v>
      </c>
    </row>
    <row r="9" spans="1:6">
      <c r="B9" s="135" t="s">
        <v>697</v>
      </c>
      <c r="C9" s="135" t="s">
        <v>240</v>
      </c>
      <c r="D9" s="135" t="s">
        <v>239</v>
      </c>
      <c r="E9" s="135" t="s">
        <v>245</v>
      </c>
      <c r="F9" s="135" t="s">
        <v>243</v>
      </c>
    </row>
    <row r="10" spans="1:6">
      <c r="A10" s="135" t="s">
        <v>541</v>
      </c>
      <c r="B10" s="1021">
        <v>1</v>
      </c>
      <c r="C10" s="1021">
        <v>1</v>
      </c>
      <c r="D10" s="1021">
        <v>1</v>
      </c>
      <c r="E10" s="1021">
        <v>1</v>
      </c>
      <c r="F10" s="1021">
        <v>1</v>
      </c>
    </row>
    <row r="11" spans="1:6">
      <c r="A11" s="135" t="s">
        <v>542</v>
      </c>
      <c r="B11" s="1021">
        <v>0</v>
      </c>
      <c r="C11" s="1021">
        <v>0</v>
      </c>
      <c r="D11" s="1021">
        <f>(1+$B$6/($B$3+$B$4/2+$B$5/4)/2)/(1+$B$6/($B$3+$B$4/2+$B$5/4))</f>
        <v>0.97016569811402287</v>
      </c>
      <c r="E11" s="1021">
        <f>(1+$B$6/($B$3+$B$4/2+$B$5/4)/2)/(1+$B$6/($B$3+$B$4/2+$B$5/4))</f>
        <v>0.97016569811402287</v>
      </c>
      <c r="F11" s="1021">
        <f>(1+$B$6/($B$3+$B$4/2+$B$5/4)/2)/(1+$B$6/($B$3+$B$4/2+$B$5/4))</f>
        <v>0.97016569811402287</v>
      </c>
    </row>
    <row r="12" spans="1:6">
      <c r="A12" s="135" t="s">
        <v>695</v>
      </c>
      <c r="B12" s="1021">
        <v>0</v>
      </c>
      <c r="C12" s="1021">
        <v>0</v>
      </c>
      <c r="D12" s="1021">
        <v>0</v>
      </c>
      <c r="E12" s="1021">
        <f>(1+$B$6/($B$3+$B$4/2+$B$5/4)/4)/(1+$B$6/($B$3+$B$4/2+$B$5/4))</f>
        <v>0.95524854717103425</v>
      </c>
      <c r="F12" s="1021">
        <f>(1+$B$6/($B$3+$B$4/2+$B$5/4)/4)/(1+$B$6/($B$3+$B$4/2+$B$5/4))</f>
        <v>0.95524854717103425</v>
      </c>
    </row>
    <row r="14" spans="1:6" ht="15.75">
      <c r="A14" s="134"/>
    </row>
    <row r="15" spans="1:6" ht="14.25">
      <c r="A15" s="136"/>
    </row>
    <row r="16" spans="1:6" ht="14.25">
      <c r="A16" s="136"/>
    </row>
    <row r="17" spans="1:6" ht="14.25">
      <c r="A17" s="137"/>
    </row>
    <row r="18" spans="1:6" ht="14.25">
      <c r="A18" s="137"/>
    </row>
    <row r="19" spans="1:6">
      <c r="B19" s="135" t="s">
        <v>697</v>
      </c>
      <c r="C19" s="135" t="s">
        <v>240</v>
      </c>
      <c r="D19" s="135" t="s">
        <v>239</v>
      </c>
      <c r="E19" s="135" t="s">
        <v>245</v>
      </c>
      <c r="F19" s="135" t="s">
        <v>243</v>
      </c>
    </row>
    <row r="20" spans="1:6">
      <c r="A20" s="135" t="s">
        <v>704</v>
      </c>
      <c r="B20" s="1022">
        <f>SUMPRODUCT(B$10:B$12,$B$3:$B$5)</f>
        <v>17084</v>
      </c>
      <c r="C20" s="1022">
        <f>SUMPRODUCT(C$10:C$12,$B$3:$B$5)</f>
        <v>17084</v>
      </c>
      <c r="D20" s="1022">
        <f>SUMPRODUCT(D$10:D$12,$B$3:$B$5)</f>
        <v>25864.969733630023</v>
      </c>
      <c r="E20" s="1022">
        <f>SUMPRODUCT(E$10:E$12,$B$3:$B$5)</f>
        <v>26453.40283868738</v>
      </c>
      <c r="F20" s="1022">
        <f>SUMPRODUCT(F$10:F$12,$B$3:$B$5)</f>
        <v>26453.40283868738</v>
      </c>
    </row>
    <row r="21" spans="1:6">
      <c r="A21" s="135" t="s">
        <v>462</v>
      </c>
      <c r="B21" s="1023">
        <f>B20*1000000</f>
        <v>17084000000</v>
      </c>
      <c r="C21" s="1023">
        <f>C20*1000000</f>
        <v>17084000000</v>
      </c>
      <c r="D21" s="1023">
        <f>D20*1000000</f>
        <v>25864969733.630024</v>
      </c>
      <c r="E21" s="1023">
        <f>E20*1000000</f>
        <v>26453402838.687378</v>
      </c>
      <c r="F21" s="1023">
        <f>F20*1000000</f>
        <v>26453402838.687378</v>
      </c>
    </row>
    <row r="25" spans="1:6">
      <c r="A25" s="65"/>
      <c r="B25" s="65"/>
      <c r="C25" s="65"/>
      <c r="D25" s="65"/>
      <c r="E25" s="65"/>
    </row>
    <row r="26" spans="1:6">
      <c r="A26" s="65"/>
      <c r="B26" s="65"/>
      <c r="C26" s="65"/>
      <c r="D26" s="65"/>
      <c r="E26" s="65"/>
    </row>
    <row r="27" spans="1:6">
      <c r="A27" s="65"/>
      <c r="B27" s="65"/>
      <c r="C27" s="138"/>
      <c r="D27" s="138"/>
      <c r="E27" s="138"/>
    </row>
    <row r="28" spans="1:6">
      <c r="A28" s="65"/>
      <c r="B28" s="65"/>
      <c r="C28" s="138"/>
      <c r="D28" s="138"/>
      <c r="E28" s="138"/>
    </row>
    <row r="29" spans="1:6">
      <c r="A29" s="65"/>
      <c r="B29" s="65"/>
      <c r="C29" s="138"/>
      <c r="D29" s="138"/>
      <c r="E29" s="138"/>
    </row>
    <row r="30" spans="1:6">
      <c r="A30" s="65"/>
      <c r="B30" s="65"/>
      <c r="C30" s="138"/>
      <c r="D30" s="138"/>
      <c r="E30" s="138"/>
    </row>
    <row r="31" spans="1:6">
      <c r="A31" s="65"/>
      <c r="B31" s="65"/>
      <c r="C31" s="139"/>
      <c r="D31" s="139"/>
      <c r="E31" s="138"/>
    </row>
    <row r="32" spans="1:6">
      <c r="A32" s="65"/>
      <c r="B32" s="65"/>
      <c r="C32" s="139"/>
      <c r="D32" s="139"/>
      <c r="E32" s="138"/>
    </row>
    <row r="33" spans="1:5">
      <c r="A33" s="65"/>
      <c r="B33" s="65"/>
      <c r="C33" s="139"/>
      <c r="D33" s="139"/>
      <c r="E33" s="138"/>
    </row>
    <row r="34" spans="1:5">
      <c r="A34" s="65"/>
      <c r="B34" s="65"/>
      <c r="C34" s="139"/>
      <c r="D34" s="139"/>
      <c r="E34" s="138"/>
    </row>
    <row r="35" spans="1:5">
      <c r="A35" s="65"/>
      <c r="B35" s="65"/>
      <c r="C35" s="139"/>
      <c r="D35" s="80"/>
      <c r="E35" s="80"/>
    </row>
    <row r="36" spans="1:5">
      <c r="A36" s="65"/>
      <c r="B36" s="65"/>
      <c r="C36" s="80"/>
      <c r="D36" s="80"/>
      <c r="E36" s="80"/>
    </row>
    <row r="37" spans="1:5">
      <c r="A37" s="65"/>
      <c r="B37" s="65"/>
      <c r="C37" s="138"/>
      <c r="D37" s="138"/>
      <c r="E37" s="138"/>
    </row>
  </sheetData>
  <phoneticPr fontId="0" type="noConversion"/>
  <hyperlinks>
    <hyperlink ref="D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pageSetUpPr fitToPage="1"/>
  </sheetPr>
  <dimension ref="A1:M36"/>
  <sheetViews>
    <sheetView showGridLines="0" workbookViewId="0">
      <pane ySplit="1" topLeftCell="A11" activePane="bottomLeft" state="frozenSplit"/>
      <selection pane="bottomLeft" activeCell="B35" sqref="B35"/>
    </sheetView>
  </sheetViews>
  <sheetFormatPr defaultColWidth="18.28515625" defaultRowHeight="15"/>
  <cols>
    <col min="1" max="1" width="49" style="1399" customWidth="1"/>
    <col min="2" max="16384" width="18.28515625" style="1399"/>
  </cols>
  <sheetData>
    <row r="1" spans="1:7" ht="19.5">
      <c r="A1" s="1396" t="str">
        <f>"Method M ("&amp;Inputs!B19&amp;") for "&amp;Inputs!B6&amp;" in "&amp;Inputs!C6&amp;"  Status: "&amp;Inputs!D6&amp;""</f>
        <v>Method M (LR1) for WPD West Midlands in 2014/15  Status: r6349</v>
      </c>
      <c r="B1" s="1397"/>
      <c r="C1" s="1398"/>
    </row>
    <row r="2" spans="1:7">
      <c r="C2" s="1398"/>
    </row>
    <row r="3" spans="1:7" ht="17.25">
      <c r="A3" s="1400" t="s">
        <v>921</v>
      </c>
      <c r="B3" s="1401"/>
      <c r="C3" s="1398"/>
    </row>
    <row r="4" spans="1:7" ht="17.25">
      <c r="A4" s="1400"/>
      <c r="B4" s="1401"/>
      <c r="C4" s="1398"/>
    </row>
    <row r="5" spans="1:7">
      <c r="B5" s="1403" t="s">
        <v>926</v>
      </c>
      <c r="C5" s="1403" t="s">
        <v>927</v>
      </c>
      <c r="D5" s="1403" t="s">
        <v>928</v>
      </c>
    </row>
    <row r="6" spans="1:7" ht="17.25" customHeight="1">
      <c r="A6" s="1403" t="s">
        <v>921</v>
      </c>
      <c r="B6" s="1404" t="s">
        <v>1018</v>
      </c>
      <c r="C6" s="1404" t="s">
        <v>139</v>
      </c>
      <c r="D6" s="1404" t="s">
        <v>1019</v>
      </c>
    </row>
    <row r="7" spans="1:7">
      <c r="C7" s="1398"/>
    </row>
    <row r="8" spans="1:7" ht="17.25">
      <c r="A8" s="1400" t="s">
        <v>922</v>
      </c>
      <c r="B8" s="1401"/>
    </row>
    <row r="9" spans="1:7">
      <c r="A9" s="1399" t="s">
        <v>925</v>
      </c>
    </row>
    <row r="11" spans="1:7">
      <c r="B11" s="1402" t="s">
        <v>930</v>
      </c>
    </row>
    <row r="12" spans="1:7" ht="17.25" customHeight="1">
      <c r="A12" s="1403" t="s">
        <v>161</v>
      </c>
      <c r="B12" s="1443">
        <v>0.182</v>
      </c>
    </row>
    <row r="13" spans="1:7" ht="17.25" customHeight="1">
      <c r="A13" s="1403" t="s">
        <v>329</v>
      </c>
      <c r="B13" s="1443">
        <v>0.4</v>
      </c>
    </row>
    <row r="16" spans="1:7" ht="17.25">
      <c r="A16" s="1400" t="s">
        <v>929</v>
      </c>
      <c r="B16" s="1401"/>
      <c r="D16" s="1405"/>
      <c r="E16" s="1406"/>
      <c r="F16" s="1407"/>
      <c r="G16" s="1407"/>
    </row>
    <row r="17" spans="1:13">
      <c r="A17" s="1039" t="s">
        <v>896</v>
      </c>
      <c r="B17" s="1039"/>
    </row>
    <row r="18" spans="1:13">
      <c r="A18" s="1039"/>
      <c r="B18" s="1039"/>
    </row>
    <row r="19" spans="1:13" s="1409" customFormat="1" ht="32.25" customHeight="1">
      <c r="A19" s="1399"/>
      <c r="B19" s="1408" t="str">
        <f>IF(B20,INDEX(C19:D19,B20),"No option selected")</f>
        <v>LR1</v>
      </c>
      <c r="C19" s="1402" t="s">
        <v>891</v>
      </c>
      <c r="D19" s="1402" t="s">
        <v>924</v>
      </c>
    </row>
    <row r="20" spans="1:13" s="1409" customFormat="1" ht="32.25" customHeight="1">
      <c r="A20" s="1403" t="s">
        <v>956</v>
      </c>
      <c r="B20" s="1410">
        <v>1</v>
      </c>
      <c r="C20" s="1411"/>
      <c r="D20" s="1411"/>
    </row>
    <row r="22" spans="1:13" ht="17.25">
      <c r="A22" s="1400" t="s">
        <v>954</v>
      </c>
    </row>
    <row r="23" spans="1:13" ht="17.25">
      <c r="A23" s="1400"/>
    </row>
    <row r="24" spans="1:13">
      <c r="A24" s="1401"/>
      <c r="B24" s="1403" t="s">
        <v>923</v>
      </c>
    </row>
    <row r="25" spans="1:13">
      <c r="A25" s="1403" t="s">
        <v>923</v>
      </c>
      <c r="B25" s="1412">
        <v>5.5449999999999999E-2</v>
      </c>
    </row>
    <row r="27" spans="1:13" customFormat="1" ht="17.25">
      <c r="A27" s="1400" t="s">
        <v>983</v>
      </c>
    </row>
    <row r="28" spans="1:13" customFormat="1" ht="12.75"/>
    <row r="29" spans="1:13" customFormat="1">
      <c r="B29" s="1428" t="s">
        <v>972</v>
      </c>
      <c r="C29" s="1428" t="s">
        <v>973</v>
      </c>
      <c r="D29" s="1428" t="s">
        <v>974</v>
      </c>
      <c r="E29" s="1428" t="s">
        <v>975</v>
      </c>
      <c r="F29" s="1428" t="s">
        <v>976</v>
      </c>
      <c r="G29" s="1428" t="s">
        <v>977</v>
      </c>
      <c r="H29" s="1428" t="s">
        <v>978</v>
      </c>
      <c r="I29" s="1428" t="s">
        <v>408</v>
      </c>
      <c r="J29" s="1428" t="s">
        <v>979</v>
      </c>
      <c r="K29" s="1428" t="s">
        <v>980</v>
      </c>
      <c r="L29" s="1428" t="s">
        <v>981</v>
      </c>
    </row>
    <row r="30" spans="1:13" customFormat="1" ht="30">
      <c r="A30" s="1429" t="s">
        <v>982</v>
      </c>
      <c r="B30" s="1430"/>
      <c r="C30" s="1430">
        <v>711941268.83329558</v>
      </c>
      <c r="D30" s="1430">
        <v>106420603.45229319</v>
      </c>
      <c r="E30" s="1430">
        <v>129246770.83100547</v>
      </c>
      <c r="F30" s="1430">
        <v>271381420.89222211</v>
      </c>
      <c r="G30" s="1430">
        <v>254115466.4996317</v>
      </c>
      <c r="H30" s="1430">
        <v>1265341765.8172889</v>
      </c>
      <c r="I30" s="1430">
        <v>554751300.07924473</v>
      </c>
      <c r="J30" s="1430">
        <v>703090759.56539989</v>
      </c>
      <c r="K30" s="1430">
        <v>721350114.02793205</v>
      </c>
      <c r="L30" s="1430">
        <v>35364292.828321867</v>
      </c>
      <c r="M30" s="1431"/>
    </row>
    <row r="31" spans="1:13" customFormat="1" ht="12.75"/>
    <row r="32" spans="1:13" customFormat="1" ht="17.25">
      <c r="A32" s="1400" t="s">
        <v>985</v>
      </c>
    </row>
    <row r="33" spans="1:3" customFormat="1" ht="12.75"/>
    <row r="34" spans="1:3" customFormat="1" ht="30">
      <c r="B34" s="1428" t="s">
        <v>984</v>
      </c>
    </row>
    <row r="35" spans="1:3" customFormat="1">
      <c r="A35" s="1429" t="s">
        <v>984</v>
      </c>
      <c r="B35" s="1430">
        <v>57796093.5158571</v>
      </c>
      <c r="C35" s="1431"/>
    </row>
    <row r="36" spans="1:3" customFormat="1" ht="12.75"/>
  </sheetData>
  <phoneticPr fontId="2"/>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9" scale="48" orientation="landscape" horizontalDpi="4294967292" verticalDpi="4294967292" r:id="rId1"/>
  <headerFooter alignWithMargins="0">
    <oddFooter>&amp;L&amp;Z&amp;F&amp;A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2</xdr:col>
                    <xdr:colOff>314325</xdr:colOff>
                    <xdr:row>19</xdr:row>
                    <xdr:rowOff>47625</xdr:rowOff>
                  </from>
                  <to>
                    <xdr:col>2</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3</xdr:col>
                    <xdr:colOff>28575</xdr:colOff>
                    <xdr:row>19</xdr:row>
                    <xdr:rowOff>47625</xdr:rowOff>
                  </from>
                  <to>
                    <xdr:col>4</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FFFF00"/>
  </sheetPr>
  <dimension ref="A1:J111"/>
  <sheetViews>
    <sheetView showGridLines="0" zoomScaleNormal="75" zoomScalePageLayoutView="75" workbookViewId="0"/>
  </sheetViews>
  <sheetFormatPr defaultColWidth="8.85546875" defaultRowHeight="12.75"/>
  <cols>
    <col min="1" max="1" width="8.85546875" customWidth="1"/>
    <col min="2" max="10" width="11.42578125" customWidth="1"/>
  </cols>
  <sheetData>
    <row r="1" spans="1:9" s="1" customFormat="1">
      <c r="A1" s="8" t="s">
        <v>404</v>
      </c>
      <c r="F1" s="253" t="s">
        <v>216</v>
      </c>
    </row>
    <row r="3" spans="1:9" ht="26.25" customHeight="1">
      <c r="F3" s="2208" t="s">
        <v>388</v>
      </c>
      <c r="G3" s="2217"/>
      <c r="H3" s="2209"/>
    </row>
    <row r="4" spans="1:9" ht="12.75" customHeight="1">
      <c r="F4" s="2218" t="s">
        <v>375</v>
      </c>
      <c r="G4" s="2219"/>
      <c r="H4" s="2220"/>
    </row>
    <row r="5" spans="1:9">
      <c r="F5" s="9"/>
      <c r="G5" s="868" t="s">
        <v>14</v>
      </c>
      <c r="H5" s="869" t="s">
        <v>405</v>
      </c>
    </row>
    <row r="6" spans="1:9">
      <c r="F6" s="245" t="s">
        <v>240</v>
      </c>
      <c r="G6" s="11">
        <f>+C39+F39+I39+C49+F49</f>
        <v>166.8798952627794</v>
      </c>
      <c r="H6" s="199">
        <f>G6/SUM($G$6:$G$10)</f>
        <v>0.17967377212946389</v>
      </c>
    </row>
    <row r="7" spans="1:9">
      <c r="F7" s="245" t="s">
        <v>374</v>
      </c>
      <c r="G7" s="1441">
        <f>+C40+F40+I40+C50+F50</f>
        <v>50.467924447354974</v>
      </c>
      <c r="H7" s="200">
        <f>G7/SUM($G$6:$G$10)</f>
        <v>5.4337056855904647E-2</v>
      </c>
    </row>
    <row r="8" spans="1:9">
      <c r="F8" s="245" t="s">
        <v>239</v>
      </c>
      <c r="G8" s="1441">
        <f>+C41+F41+I41+C51+F51</f>
        <v>195.57729574351521</v>
      </c>
      <c r="H8" s="200">
        <f>G8/SUM($G$6:$G$10)</f>
        <v>0.21057126392477252</v>
      </c>
    </row>
    <row r="9" spans="1:9">
      <c r="F9" s="245" t="s">
        <v>245</v>
      </c>
      <c r="G9" s="1441">
        <f>'Calc-Drivers'!E32*(C42+F42+I42+C52+F52)</f>
        <v>179.96375154121878</v>
      </c>
      <c r="H9" s="200">
        <f>G9/SUM($G$6:$G$10)</f>
        <v>0.19376070457776881</v>
      </c>
    </row>
    <row r="10" spans="1:9">
      <c r="B10" s="870"/>
      <c r="C10" s="53"/>
      <c r="D10" s="54"/>
      <c r="F10" s="248" t="s">
        <v>497</v>
      </c>
      <c r="G10" s="1442">
        <f>'Calc-Drivers'!E32*(C43+F43+I43+C53+F53)</f>
        <v>335.90498691572986</v>
      </c>
      <c r="H10" s="201">
        <f>G10/SUM($G$6:$G$10)</f>
        <v>0.3616572025120901</v>
      </c>
    </row>
    <row r="11" spans="1:9">
      <c r="B11" s="6"/>
      <c r="C11" s="53"/>
      <c r="D11" s="207"/>
    </row>
    <row r="12" spans="1:9" ht="12" customHeight="1">
      <c r="B12" s="6"/>
      <c r="C12" s="7"/>
    </row>
    <row r="13" spans="1:9" s="1" customFormat="1">
      <c r="A13" s="8" t="s">
        <v>914</v>
      </c>
    </row>
    <row r="15" spans="1:9" ht="5.25" customHeight="1"/>
    <row r="16" spans="1:9" s="2" customFormat="1" ht="26.25" customHeight="1">
      <c r="B16" s="2208" t="s">
        <v>631</v>
      </c>
      <c r="C16" s="2209"/>
      <c r="E16" s="2208" t="s">
        <v>916</v>
      </c>
      <c r="F16" s="2209"/>
      <c r="H16" s="2208" t="s">
        <v>915</v>
      </c>
      <c r="I16" s="2209"/>
    </row>
    <row r="17" spans="2:9" s="1000" customFormat="1" ht="27" customHeight="1">
      <c r="B17" s="2210" t="s">
        <v>893</v>
      </c>
      <c r="C17" s="2207"/>
      <c r="E17" s="2211" t="s">
        <v>498</v>
      </c>
      <c r="F17" s="2205"/>
      <c r="H17" s="2211" t="s">
        <v>401</v>
      </c>
      <c r="I17" s="2205"/>
    </row>
    <row r="18" spans="2:9" ht="12.75" customHeight="1">
      <c r="B18" s="14"/>
      <c r="C18" s="11"/>
      <c r="E18" s="3"/>
      <c r="F18" s="11"/>
      <c r="H18" s="3"/>
      <c r="I18" s="11"/>
    </row>
    <row r="19" spans="2:9" ht="12" customHeight="1">
      <c r="B19" s="245" t="s">
        <v>240</v>
      </c>
      <c r="C19" s="12">
        <f>IF(Inputs!$B$20=1,'Calc-Net capex'!C87,'Calc-Net capex'!C66)</f>
        <v>29.935989292598578</v>
      </c>
      <c r="E19" s="4" t="s">
        <v>240</v>
      </c>
      <c r="F19" s="12">
        <f>SUM('FBPQ LR4'!D11:M11)</f>
        <v>10.756772462044905</v>
      </c>
      <c r="H19" s="4" t="s">
        <v>240</v>
      </c>
      <c r="I19" s="12">
        <f>SUM('FBPQ LR6'!C28:L28)</f>
        <v>0</v>
      </c>
    </row>
    <row r="20" spans="2:9" ht="12" customHeight="1">
      <c r="B20" s="245" t="s">
        <v>239</v>
      </c>
      <c r="C20" s="12">
        <f>IF(Inputs!$B$20=1,'Calc-Net capex'!C88,'Calc-Net capex'!C67)</f>
        <v>9.6943771821511007</v>
      </c>
      <c r="E20" s="4" t="s">
        <v>239</v>
      </c>
      <c r="F20" s="12">
        <f>SUM('FBPQ LR4'!D12:M12)</f>
        <v>30.575324895711095</v>
      </c>
      <c r="H20" s="4" t="s">
        <v>239</v>
      </c>
      <c r="I20" s="12">
        <f>SUM('FBPQ LR6'!C29:L29)</f>
        <v>0</v>
      </c>
    </row>
    <row r="21" spans="2:9">
      <c r="B21" s="245" t="s">
        <v>245</v>
      </c>
      <c r="C21" s="12">
        <f>IF(Inputs!$B$20=1,'Calc-Net capex'!C89,'Calc-Net capex'!C68)</f>
        <v>0</v>
      </c>
      <c r="E21" s="4" t="s">
        <v>245</v>
      </c>
      <c r="F21" s="12">
        <f>SUM('FBPQ LR4'!D13:M13)</f>
        <v>108.75996228110381</v>
      </c>
      <c r="H21" s="4" t="s">
        <v>245</v>
      </c>
      <c r="I21" s="12">
        <f>SUM('FBPQ LR6'!C30:L30)</f>
        <v>4.2186510156450376</v>
      </c>
    </row>
    <row r="22" spans="2:9">
      <c r="B22" s="248" t="s">
        <v>497</v>
      </c>
      <c r="C22" s="12">
        <f>IF(Inputs!$B$20=1,'Calc-Net capex'!C90,'Calc-Net capex'!C69)</f>
        <v>0</v>
      </c>
      <c r="E22" s="5" t="s">
        <v>497</v>
      </c>
      <c r="F22" s="13">
        <f>SUM('FBPQ LR4'!D14:M14)</f>
        <v>99.474026522812494</v>
      </c>
      <c r="H22" s="5" t="s">
        <v>497</v>
      </c>
      <c r="I22" s="13">
        <f>SUM('FBPQ LR6'!C31:L31)</f>
        <v>15.055225002265182</v>
      </c>
    </row>
    <row r="25" spans="2:9" ht="24.75" customHeight="1">
      <c r="B25" s="2208" t="s">
        <v>402</v>
      </c>
      <c r="C25" s="2209"/>
      <c r="E25" s="2212" t="s">
        <v>835</v>
      </c>
      <c r="F25" s="2213"/>
    </row>
    <row r="26" spans="2:9" s="1000" customFormat="1" ht="27.75" customHeight="1">
      <c r="B26" s="2211" t="s">
        <v>403</v>
      </c>
      <c r="C26" s="2205"/>
      <c r="E26" s="2206" t="s">
        <v>836</v>
      </c>
      <c r="F26" s="2221"/>
    </row>
    <row r="27" spans="2:9">
      <c r="B27" s="3"/>
      <c r="C27" s="11"/>
      <c r="E27" s="3"/>
      <c r="F27" s="11"/>
    </row>
    <row r="28" spans="2:9">
      <c r="B28" s="4" t="s">
        <v>240</v>
      </c>
      <c r="C28" s="12">
        <f>SUM('FBPQ NL1'!D10:M16)</f>
        <v>126.18713350813591</v>
      </c>
      <c r="E28" s="247" t="s">
        <v>240</v>
      </c>
      <c r="F28" s="12">
        <f>SUM('NL9 - Legal &amp; Safety'!D33:M33,'NL9 - Legal &amp; Safety'!D42:M42)</f>
        <v>0</v>
      </c>
    </row>
    <row r="29" spans="2:9">
      <c r="B29" s="4" t="s">
        <v>239</v>
      </c>
      <c r="C29" s="12">
        <f>SUM('FBPQ NL1'!D17:M22)</f>
        <v>205.77551811300791</v>
      </c>
      <c r="E29" s="247" t="s">
        <v>239</v>
      </c>
      <c r="F29" s="12">
        <f>SUM('NL9 - Legal &amp; Safety'!D34:M34,'NL9 - Legal &amp; Safety'!D43:M43)</f>
        <v>0</v>
      </c>
    </row>
    <row r="30" spans="2:9">
      <c r="B30" s="4" t="s">
        <v>245</v>
      </c>
      <c r="C30" s="12">
        <f>SUM('FBPQ NL1'!D23:M28)</f>
        <v>74.045869195599238</v>
      </c>
      <c r="E30" s="247" t="s">
        <v>245</v>
      </c>
      <c r="F30" s="12">
        <f>SUM('NL9 - Legal &amp; Safety'!D35:M35,'NL9 - Legal &amp; Safety'!D44:M44)</f>
        <v>0</v>
      </c>
    </row>
    <row r="31" spans="2:9">
      <c r="B31" s="5" t="s">
        <v>497</v>
      </c>
      <c r="C31" s="13">
        <f>SUM('FBPQ NL1'!D29:M34)</f>
        <v>234.55469347217092</v>
      </c>
      <c r="E31" s="249" t="s">
        <v>497</v>
      </c>
      <c r="F31" s="13">
        <f>SUM('NL9 - Legal &amp; Safety'!D36:M36,'NL9 - Legal &amp; Safety'!D45:M45)</f>
        <v>0</v>
      </c>
    </row>
    <row r="33" spans="1:10" s="1" customFormat="1">
      <c r="A33" s="8" t="s">
        <v>917</v>
      </c>
    </row>
    <row r="35" spans="1:10" ht="5.25" customHeight="1"/>
    <row r="36" spans="1:10" s="2" customFormat="1" ht="26.25" customHeight="1">
      <c r="B36" s="2208" t="s">
        <v>631</v>
      </c>
      <c r="C36" s="2209"/>
      <c r="E36" s="2208" t="s">
        <v>916</v>
      </c>
      <c r="F36" s="2209"/>
      <c r="H36" s="2208" t="s">
        <v>915</v>
      </c>
      <c r="I36" s="2209"/>
    </row>
    <row r="37" spans="1:10" s="1000" customFormat="1" ht="27" customHeight="1">
      <c r="B37" s="2210" t="s">
        <v>893</v>
      </c>
      <c r="C37" s="2207"/>
      <c r="E37" s="2211" t="s">
        <v>498</v>
      </c>
      <c r="F37" s="2205"/>
      <c r="H37" s="2211" t="s">
        <v>401</v>
      </c>
      <c r="I37" s="2205"/>
    </row>
    <row r="38" spans="1:10" ht="12.75" customHeight="1">
      <c r="B38" s="14"/>
      <c r="C38" s="11"/>
      <c r="E38" s="3"/>
      <c r="F38" s="11"/>
      <c r="H38" s="3"/>
      <c r="I38" s="11"/>
    </row>
    <row r="39" spans="1:10">
      <c r="B39" s="245" t="s">
        <v>240</v>
      </c>
      <c r="C39" s="12">
        <f>IF(Inputs!$B$20=1,'Calc-Net capex'!C96,'Calc-Net capex'!C75)</f>
        <v>29.935989292598578</v>
      </c>
      <c r="E39" s="4" t="s">
        <v>240</v>
      </c>
      <c r="F39" s="12">
        <f>SUM('FBPQ LR4'!D11:M11)</f>
        <v>10.756772462044905</v>
      </c>
      <c r="H39" s="4" t="s">
        <v>240</v>
      </c>
      <c r="I39" s="12">
        <f>SUM('FBPQ LR6'!C28:L28)</f>
        <v>0</v>
      </c>
    </row>
    <row r="40" spans="1:10" ht="38.25">
      <c r="B40" s="245" t="s">
        <v>374</v>
      </c>
      <c r="C40" s="12">
        <f>IF(Inputs!$B$20=1,'Calc-Net capex'!C97,'Calc-Net capex'!C76)</f>
        <v>2.3811685205236506</v>
      </c>
      <c r="D40" s="1129" t="s">
        <v>36</v>
      </c>
      <c r="E40" s="245" t="s">
        <v>374</v>
      </c>
      <c r="F40" s="12">
        <f>SUM('FBPQ LR4'!D12:M12)*(C55)</f>
        <v>7.5100235712404491</v>
      </c>
      <c r="G40" s="246" t="s">
        <v>36</v>
      </c>
      <c r="H40" s="245" t="s">
        <v>374</v>
      </c>
      <c r="I40" s="12">
        <f>SUM('FBPQ LR6'!C29:L29)*(C55)</f>
        <v>0</v>
      </c>
      <c r="J40" s="246" t="s">
        <v>36</v>
      </c>
    </row>
    <row r="41" spans="1:10">
      <c r="B41" s="245" t="s">
        <v>239</v>
      </c>
      <c r="C41" s="12">
        <f>IF(Inputs!$B$20=1,'Calc-Net capex'!C98,'Calc-Net capex'!C77)</f>
        <v>7.3132086616274492</v>
      </c>
      <c r="E41" s="247" t="s">
        <v>239</v>
      </c>
      <c r="F41" s="12">
        <f>SUM('FBPQ LR4'!D12:M12)*(1-C55)</f>
        <v>23.065301324470646</v>
      </c>
      <c r="H41" s="247" t="s">
        <v>239</v>
      </c>
      <c r="I41" s="12">
        <f>SUM('FBPQ LR6'!C29:L29)*(1-C55)</f>
        <v>0</v>
      </c>
    </row>
    <row r="42" spans="1:10">
      <c r="B42" s="245" t="s">
        <v>245</v>
      </c>
      <c r="C42" s="12">
        <f>IF(Inputs!$B$20=1,'Calc-Net capex'!C99,'Calc-Net capex'!C78)</f>
        <v>0</v>
      </c>
      <c r="E42" s="247" t="s">
        <v>245</v>
      </c>
      <c r="F42" s="12">
        <f>SUM('FBPQ LR4'!D13:M13)</f>
        <v>108.75996228110381</v>
      </c>
      <c r="H42" s="247" t="s">
        <v>245</v>
      </c>
      <c r="I42" s="12">
        <f>SUM('FBPQ LR6'!C30:L30)</f>
        <v>4.2186510156450376</v>
      </c>
    </row>
    <row r="43" spans="1:10">
      <c r="B43" s="248" t="s">
        <v>497</v>
      </c>
      <c r="C43" s="12">
        <f>IF(Inputs!$B$20=1,'Calc-Net capex'!C100,'Calc-Net capex'!C79)</f>
        <v>0</v>
      </c>
      <c r="E43" s="249" t="s">
        <v>497</v>
      </c>
      <c r="F43" s="13">
        <f>SUM('FBPQ LR4'!D14:M14)</f>
        <v>99.474026522812494</v>
      </c>
      <c r="H43" s="249" t="s">
        <v>497</v>
      </c>
      <c r="I43" s="13">
        <f>SUM('FBPQ LR6'!C31:L31)</f>
        <v>15.055225002265182</v>
      </c>
    </row>
    <row r="46" spans="1:10" ht="27.75" customHeight="1">
      <c r="B46" s="2208" t="s">
        <v>402</v>
      </c>
      <c r="C46" s="2209"/>
      <c r="E46" s="2212" t="s">
        <v>835</v>
      </c>
      <c r="F46" s="2209"/>
      <c r="H46" s="2215" t="s">
        <v>835</v>
      </c>
      <c r="I46" s="2216"/>
    </row>
    <row r="47" spans="1:10" s="1000" customFormat="1" ht="27.75" customHeight="1">
      <c r="B47" s="2210" t="s">
        <v>403</v>
      </c>
      <c r="C47" s="2207"/>
      <c r="E47" s="2206" t="s">
        <v>836</v>
      </c>
      <c r="F47" s="2207"/>
      <c r="H47" s="2214" t="s">
        <v>344</v>
      </c>
      <c r="I47" s="2214"/>
    </row>
    <row r="48" spans="1:10">
      <c r="B48" s="3"/>
      <c r="C48" s="11"/>
      <c r="E48" s="3"/>
      <c r="F48" s="11"/>
      <c r="H48" s="3"/>
      <c r="I48" s="3"/>
    </row>
    <row r="49" spans="2:10">
      <c r="B49" s="247" t="s">
        <v>240</v>
      </c>
      <c r="C49" s="968">
        <f>SUM('FBPQ NL1'!D10:M16)</f>
        <v>126.18713350813591</v>
      </c>
      <c r="E49" s="247" t="s">
        <v>240</v>
      </c>
      <c r="F49" s="12">
        <f>SUM('NL9 - Legal &amp; Safety'!D33:M33,'NL9 - Legal &amp; Safety'!D42:M42)</f>
        <v>0</v>
      </c>
      <c r="H49" s="247" t="s">
        <v>240</v>
      </c>
      <c r="I49" s="12">
        <f>F49+C49</f>
        <v>126.18713350813591</v>
      </c>
      <c r="J49" s="892">
        <f>I49/SUM($I$49:$I$53)</f>
        <v>0.19699403695576806</v>
      </c>
    </row>
    <row r="50" spans="2:10">
      <c r="B50" s="247" t="s">
        <v>374</v>
      </c>
      <c r="C50" s="968">
        <f>SUM('FBPQ NL1'!D21:M22)</f>
        <v>40.57673235559087</v>
      </c>
      <c r="D50" s="250" t="s">
        <v>37</v>
      </c>
      <c r="E50" s="245" t="s">
        <v>374</v>
      </c>
      <c r="F50" s="12">
        <f>SUM('NL9 - Legal &amp; Safety'!D34:M34,'NL9 - Legal &amp; Safety'!D43:M43)*C55</f>
        <v>0</v>
      </c>
      <c r="H50" s="247" t="s">
        <v>374</v>
      </c>
      <c r="I50" s="12">
        <f>F50+C50</f>
        <v>40.57673235559087</v>
      </c>
      <c r="J50" s="892">
        <f>I50/SUM($I$49:$I$53)</f>
        <v>6.3345398940266792E-2</v>
      </c>
    </row>
    <row r="51" spans="2:10">
      <c r="B51" s="245" t="s">
        <v>239</v>
      </c>
      <c r="C51" s="968">
        <f>SUM('FBPQ NL1'!D17:M20)</f>
        <v>165.19878575741711</v>
      </c>
      <c r="E51" s="247" t="s">
        <v>239</v>
      </c>
      <c r="F51" s="12">
        <f>SUM('NL9 - Legal &amp; Safety'!D34:M34,'NL9 - Legal &amp; Safety'!D43:M43)*(1-C55)</f>
        <v>0</v>
      </c>
      <c r="H51" s="247" t="s">
        <v>239</v>
      </c>
      <c r="I51" s="12">
        <f>F51+C51</f>
        <v>165.19878575741711</v>
      </c>
      <c r="J51" s="892">
        <f>I51/SUM($I$49:$I$53)</f>
        <v>0.2578961483774922</v>
      </c>
    </row>
    <row r="52" spans="2:10">
      <c r="B52" s="247" t="s">
        <v>245</v>
      </c>
      <c r="C52" s="968">
        <f>SUM('FBPQ NL1'!D23:M28)</f>
        <v>74.045869195599238</v>
      </c>
      <c r="E52" s="247" t="s">
        <v>245</v>
      </c>
      <c r="F52" s="12">
        <f>SUM('NL9 - Legal &amp; Safety'!D35:M35,'NL9 - Legal &amp; Safety'!D44:M44)</f>
        <v>0</v>
      </c>
      <c r="H52" s="247" t="s">
        <v>245</v>
      </c>
      <c r="I52" s="12">
        <f>F52+C52</f>
        <v>74.045869195599238</v>
      </c>
      <c r="J52" s="892">
        <f>I52/SUM($I$49:$I$53)</f>
        <v>0.11559494448615376</v>
      </c>
    </row>
    <row r="53" spans="2:10">
      <c r="B53" s="249" t="s">
        <v>497</v>
      </c>
      <c r="C53" s="969">
        <f>SUM('FBPQ NL1'!D29:M34)</f>
        <v>234.55469347217092</v>
      </c>
      <c r="E53" s="249" t="s">
        <v>497</v>
      </c>
      <c r="F53" s="13">
        <f>SUM('NL9 - Legal &amp; Safety'!D36:M36,'NL9 - Legal &amp; Safety'!D45:M45)</f>
        <v>0</v>
      </c>
      <c r="H53" s="249" t="s">
        <v>497</v>
      </c>
      <c r="I53" s="13">
        <f>F53+C53</f>
        <v>234.55469347217092</v>
      </c>
      <c r="J53" s="892">
        <f>I53/SUM($I$49:$I$53)</f>
        <v>0.36616947124031918</v>
      </c>
    </row>
    <row r="55" spans="2:10">
      <c r="B55" s="250" t="s">
        <v>38</v>
      </c>
      <c r="C55" s="251">
        <f>C50/C51</f>
        <v>0.24562367192683227</v>
      </c>
    </row>
    <row r="58" spans="2:10">
      <c r="B58" s="1000"/>
      <c r="C58" s="1000"/>
    </row>
    <row r="59" spans="2:10" ht="18">
      <c r="B59" s="1386" t="s">
        <v>886</v>
      </c>
      <c r="C59" s="1000"/>
    </row>
    <row r="60" spans="2:10">
      <c r="B60" s="1000"/>
      <c r="C60" s="1000"/>
    </row>
    <row r="61" spans="2:10">
      <c r="B61" s="1038" t="s">
        <v>888</v>
      </c>
      <c r="C61" s="1000"/>
    </row>
    <row r="62" spans="2:10">
      <c r="B62" s="1037" t="s">
        <v>890</v>
      </c>
      <c r="C62" s="1000"/>
    </row>
    <row r="63" spans="2:10">
      <c r="B63" s="2200" t="s">
        <v>631</v>
      </c>
      <c r="C63" s="2202"/>
    </row>
    <row r="64" spans="2:10">
      <c r="B64" s="2206" t="s">
        <v>324</v>
      </c>
      <c r="C64" s="2207"/>
    </row>
    <row r="65" spans="2:3">
      <c r="B65" s="1387"/>
      <c r="C65" s="1388"/>
    </row>
    <row r="66" spans="2:3">
      <c r="B66" s="1389" t="s">
        <v>240</v>
      </c>
      <c r="C66" s="1390">
        <f>SUM('FBPQ LR1 - V5 opt3'!D227:M227,'FBPQ LR1 - V5 opt3'!I229:M229)-SUM('FBPQ LR1 - V5 opt3'!D250:M250,'FBPQ LR1 - V5 opt3'!I252:M252)</f>
        <v>0</v>
      </c>
    </row>
    <row r="67" spans="2:3">
      <c r="B67" s="1389" t="s">
        <v>239</v>
      </c>
      <c r="C67" s="1390">
        <f>(SUM('FBPQ LR1 - V5 opt3'!D231:H231,'FBPQ LR1 - V5 opt3'!I230:M230,'FBPQ LR1 - V5 opt3'!I233:M233)-SUM('FBPQ LR1 - V5 opt3'!D254:H254,'FBPQ LR1 - V5 opt3'!I253:M253,'FBPQ LR1 - V5 opt3'!I256:M256))</f>
        <v>0</v>
      </c>
    </row>
    <row r="68" spans="2:3">
      <c r="B68" s="1389" t="s">
        <v>245</v>
      </c>
      <c r="C68" s="1390">
        <f>SUM('FBPQ LR1 - V5 opt3'!D235:H235,'FBPQ LR1 - V5 opt3'!I234:M234,'FBPQ LR1 - V5 opt3'!I237:M237)-SUM('FBPQ LR1 - V5 opt3'!D258:H258,'FBPQ LR1 - V5 opt3'!I257:M257,'FBPQ LR1 - V5 opt3'!I260:M260)</f>
        <v>0</v>
      </c>
    </row>
    <row r="69" spans="2:3">
      <c r="B69" s="1391" t="s">
        <v>497</v>
      </c>
      <c r="C69" s="1392">
        <f>SUM('FBPQ LR1 - V5 opt3'!D239:H239,'FBPQ LR1 - V5 opt3'!I238:M238)-SUM('FBPQ LR1 - V5 opt3'!D262:H262,'FBPQ LR1 - V5 opt3'!I261:M261)</f>
        <v>0</v>
      </c>
    </row>
    <row r="70" spans="2:3">
      <c r="B70" s="1000"/>
      <c r="C70" s="1000"/>
    </row>
    <row r="71" spans="2:3">
      <c r="B71" s="1037" t="s">
        <v>889</v>
      </c>
      <c r="C71" s="1000"/>
    </row>
    <row r="72" spans="2:3">
      <c r="B72" s="2200" t="s">
        <v>631</v>
      </c>
      <c r="C72" s="2202"/>
    </row>
    <row r="73" spans="2:3">
      <c r="B73" s="2206" t="s">
        <v>324</v>
      </c>
      <c r="C73" s="2207"/>
    </row>
    <row r="74" spans="2:3">
      <c r="B74" s="1387"/>
      <c r="C74" s="1388"/>
    </row>
    <row r="75" spans="2:3">
      <c r="B75" s="1389" t="s">
        <v>240</v>
      </c>
      <c r="C75" s="1390">
        <f>SUM('FBPQ LR1 - V5 opt3'!D227:M227,'FBPQ LR1 - V5 opt3'!I229:M229)-SUM('FBPQ LR1 - V5 opt3'!D250:M250,'FBPQ LR1 - V5 opt3'!I252:M252)</f>
        <v>0</v>
      </c>
    </row>
    <row r="76" spans="2:3">
      <c r="B76" s="1389" t="s">
        <v>374</v>
      </c>
      <c r="C76" s="1390">
        <f>(SUM('FBPQ LR1 - V5 opt3'!D231:H231,'FBPQ LR1 - V5 opt3'!I230:M230,'FBPQ LR1 - V5 opt3'!I233:M233)-SUM('FBPQ LR1 - V5 opt3'!D254:H254,'FBPQ LR1 - V5 opt3'!I253:M253,'FBPQ LR1 - V5 opt3'!I256:M256))*(C110)</f>
        <v>0</v>
      </c>
    </row>
    <row r="77" spans="2:3">
      <c r="B77" s="1389" t="s">
        <v>239</v>
      </c>
      <c r="C77" s="1390">
        <f>(SUM('FBPQ LR1 - V5 opt3'!D231:H231,'FBPQ LR1 - V5 opt3'!I230:M230,'FBPQ LR1 - V5 opt3'!I233:M233)-SUM('FBPQ LR1 - V5 opt3'!D254:H254,'FBPQ LR1 - V5 opt3'!I253:M253,'FBPQ LR1 - V5 opt3'!I256:M256))*(1-C110)</f>
        <v>0</v>
      </c>
    </row>
    <row r="78" spans="2:3">
      <c r="B78" s="1389" t="s">
        <v>245</v>
      </c>
      <c r="C78" s="1390">
        <f>SUM('FBPQ LR1 - V5 opt3'!D235:H235,'FBPQ LR1 - V5 opt3'!I234:M234,'FBPQ LR1 - V5 opt3'!I237:M237)-SUM('FBPQ LR1 - V5 opt3'!D258:H258,'FBPQ LR1 - V5 opt3'!I257:M257,'FBPQ LR1 - V5 opt3'!I260:M260)</f>
        <v>0</v>
      </c>
    </row>
    <row r="79" spans="2:3">
      <c r="B79" s="1391" t="s">
        <v>497</v>
      </c>
      <c r="C79" s="1392">
        <f>SUM('FBPQ LR1 - V5 opt3'!D239:H239,'FBPQ LR1 - V5 opt3'!I238:M238)-SUM('FBPQ LR1 - V5 opt3'!D262:H262,'FBPQ LR1 - V5 opt3'!I261:M261)</f>
        <v>0</v>
      </c>
    </row>
    <row r="80" spans="2:3">
      <c r="B80" s="1000"/>
      <c r="C80" s="1000"/>
    </row>
    <row r="81" spans="2:3">
      <c r="B81" s="1000"/>
      <c r="C81" s="1000"/>
    </row>
    <row r="82" spans="2:3">
      <c r="B82" s="1038" t="s">
        <v>887</v>
      </c>
      <c r="C82" s="1000"/>
    </row>
    <row r="83" spans="2:3">
      <c r="B83" s="1037" t="s">
        <v>890</v>
      </c>
      <c r="C83" s="1000"/>
    </row>
    <row r="84" spans="2:3">
      <c r="B84" s="2200" t="s">
        <v>631</v>
      </c>
      <c r="C84" s="2202"/>
    </row>
    <row r="85" spans="2:3">
      <c r="B85" s="2206" t="s">
        <v>324</v>
      </c>
      <c r="C85" s="2207"/>
    </row>
    <row r="86" spans="2:3">
      <c r="B86" s="1387"/>
      <c r="C86" s="1388"/>
    </row>
    <row r="87" spans="2:3">
      <c r="B87" s="1389" t="s">
        <v>240</v>
      </c>
      <c r="C87" s="1393">
        <f>SUM('FBPQ LR1'!D82:M82)-SUM('FBPQ LR1'!D110:M110)</f>
        <v>29.935989292598578</v>
      </c>
    </row>
    <row r="88" spans="2:3">
      <c r="B88" s="1389" t="s">
        <v>239</v>
      </c>
      <c r="C88" s="1393">
        <f>(SUM('FBPQ LR1'!D86:M86)-SUM('FBPQ LR1'!D114:M114))</f>
        <v>9.6943771821511007</v>
      </c>
    </row>
    <row r="89" spans="2:3">
      <c r="B89" s="1389" t="s">
        <v>245</v>
      </c>
      <c r="C89" s="1393">
        <f>(SUM('FBPQ LR1'!D90:M90)-SUM('FBPQ LR1'!D118:M118))</f>
        <v>0</v>
      </c>
    </row>
    <row r="90" spans="2:3">
      <c r="B90" s="1391" t="s">
        <v>497</v>
      </c>
      <c r="C90" s="1394">
        <f>(SUM('FBPQ LR1'!D94:M94)-SUM('FBPQ LR1'!D122:M122))</f>
        <v>0</v>
      </c>
    </row>
    <row r="91" spans="2:3">
      <c r="B91" s="1000"/>
      <c r="C91" s="1000"/>
    </row>
    <row r="92" spans="2:3">
      <c r="B92" s="1037" t="s">
        <v>889</v>
      </c>
      <c r="C92" s="1000"/>
    </row>
    <row r="93" spans="2:3">
      <c r="B93" s="2200" t="s">
        <v>631</v>
      </c>
      <c r="C93" s="2202"/>
    </row>
    <row r="94" spans="2:3">
      <c r="B94" s="2206" t="s">
        <v>324</v>
      </c>
      <c r="C94" s="2207"/>
    </row>
    <row r="95" spans="2:3">
      <c r="B95" s="1387"/>
      <c r="C95" s="1388"/>
    </row>
    <row r="96" spans="2:3">
      <c r="B96" s="1389" t="s">
        <v>240</v>
      </c>
      <c r="C96" s="1393">
        <f>SUM('FBPQ LR1'!D82:M82)-SUM('FBPQ LR1'!D110:M110)</f>
        <v>29.935989292598578</v>
      </c>
    </row>
    <row r="97" spans="2:3">
      <c r="B97" s="1389" t="s">
        <v>374</v>
      </c>
      <c r="C97" s="1393">
        <f>(SUM('FBPQ LR1'!D86:M86)-SUM('FBPQ LR1'!D114:M114))*C110</f>
        <v>2.3811685205236506</v>
      </c>
    </row>
    <row r="98" spans="2:3">
      <c r="B98" s="1389" t="s">
        <v>239</v>
      </c>
      <c r="C98" s="1393">
        <f>(SUM('FBPQ LR1'!D86:M86)-SUM('FBPQ LR1'!D114:M114))*(1-C110)</f>
        <v>7.3132086616274492</v>
      </c>
    </row>
    <row r="99" spans="2:3">
      <c r="B99" s="1389" t="s">
        <v>245</v>
      </c>
      <c r="C99" s="1393">
        <f>(SUM('FBPQ LR1'!D90:M90)-SUM('FBPQ LR1'!D118:M118))</f>
        <v>0</v>
      </c>
    </row>
    <row r="100" spans="2:3">
      <c r="B100" s="1391" t="s">
        <v>497</v>
      </c>
      <c r="C100" s="1394">
        <f>(SUM('FBPQ LR1'!D94:M94)-SUM('FBPQ LR1'!D122:M122))</f>
        <v>0</v>
      </c>
    </row>
    <row r="101" spans="2:3">
      <c r="B101" s="1000"/>
      <c r="C101" s="1000"/>
    </row>
    <row r="102" spans="2:3">
      <c r="B102" s="1000"/>
      <c r="C102" s="1000"/>
    </row>
    <row r="103" spans="2:3">
      <c r="B103" s="1000"/>
      <c r="C103" s="1000"/>
    </row>
    <row r="104" spans="2:3">
      <c r="B104" s="1000"/>
      <c r="C104" s="1000"/>
    </row>
    <row r="105" spans="2:3">
      <c r="B105" s="1000"/>
      <c r="C105" s="1000"/>
    </row>
    <row r="106" spans="2:3">
      <c r="B106" s="1000"/>
      <c r="C106" s="1000"/>
    </row>
    <row r="107" spans="2:3">
      <c r="B107" s="1000"/>
      <c r="C107" s="1000"/>
    </row>
    <row r="108" spans="2:3">
      <c r="B108" s="1000"/>
      <c r="C108" s="1000"/>
    </row>
    <row r="109" spans="2:3">
      <c r="B109" s="1000"/>
      <c r="C109" s="1000"/>
    </row>
    <row r="110" spans="2:3">
      <c r="B110" s="19"/>
      <c r="C110" s="1395">
        <f>'Calc-Net capex'!C50/'Calc-Net capex'!C51</f>
        <v>0.24562367192683227</v>
      </c>
    </row>
    <row r="111" spans="2:3">
      <c r="B111" s="1000"/>
      <c r="C111" s="1000"/>
    </row>
  </sheetData>
  <mergeCells count="32">
    <mergeCell ref="F3:H3"/>
    <mergeCell ref="F4:H4"/>
    <mergeCell ref="H17:I17"/>
    <mergeCell ref="H16:I16"/>
    <mergeCell ref="E26:F26"/>
    <mergeCell ref="E16:F16"/>
    <mergeCell ref="H47:I47"/>
    <mergeCell ref="E46:F46"/>
    <mergeCell ref="E47:F47"/>
    <mergeCell ref="H37:I37"/>
    <mergeCell ref="H36:I36"/>
    <mergeCell ref="H46:I46"/>
    <mergeCell ref="B16:C16"/>
    <mergeCell ref="B47:C47"/>
    <mergeCell ref="B26:C26"/>
    <mergeCell ref="E37:F37"/>
    <mergeCell ref="B36:C36"/>
    <mergeCell ref="E36:F36"/>
    <mergeCell ref="B37:C37"/>
    <mergeCell ref="B25:C25"/>
    <mergeCell ref="E17:F17"/>
    <mergeCell ref="B46:C46"/>
    <mergeCell ref="E25:F25"/>
    <mergeCell ref="B17:C17"/>
    <mergeCell ref="B85:C85"/>
    <mergeCell ref="B94:C94"/>
    <mergeCell ref="B72:C72"/>
    <mergeCell ref="B73:C73"/>
    <mergeCell ref="B63:C63"/>
    <mergeCell ref="B64:C64"/>
    <mergeCell ref="B84:C84"/>
    <mergeCell ref="B93:C93"/>
  </mergeCells>
  <phoneticPr fontId="2"/>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BD62"/>
  <sheetViews>
    <sheetView showGridLines="0" zoomScale="80" zoomScaleNormal="80" zoomScalePageLayoutView="80" workbookViewId="0"/>
  </sheetViews>
  <sheetFormatPr defaultColWidth="8.85546875" defaultRowHeight="12.75"/>
  <cols>
    <col min="1" max="1" width="12.42578125" style="94" customWidth="1"/>
    <col min="2" max="2" width="10.140625" style="94" customWidth="1"/>
    <col min="3" max="3" width="58" style="94" bestFit="1" customWidth="1"/>
    <col min="4" max="4" width="14.85546875" style="94" bestFit="1" customWidth="1"/>
    <col min="5" max="6" width="7.7109375" style="94" bestFit="1" customWidth="1"/>
    <col min="7" max="7" width="7.7109375" style="94" customWidth="1"/>
    <col min="8" max="8" width="6.42578125" style="94" bestFit="1" customWidth="1"/>
    <col min="9" max="9" width="11.85546875" style="94" customWidth="1"/>
    <col min="10" max="10" width="7.7109375" style="94" customWidth="1"/>
    <col min="11" max="11" width="20.42578125" style="94" bestFit="1" customWidth="1"/>
    <col min="12" max="16" width="8.42578125" style="94" customWidth="1"/>
    <col min="17" max="17" width="5.140625" style="94" customWidth="1"/>
    <col min="18" max="18" width="8" style="94" customWidth="1"/>
    <col min="19" max="23" width="8.140625" style="94" customWidth="1"/>
    <col min="24" max="24" width="4.85546875" style="94" customWidth="1"/>
    <col min="25" max="25" width="24.28515625" style="94" customWidth="1"/>
    <col min="26" max="31" width="10.42578125" style="94" customWidth="1"/>
    <col min="32" max="32" width="23" style="94" customWidth="1"/>
    <col min="33" max="36" width="12.42578125" style="94" customWidth="1"/>
    <col min="37" max="37" width="6.85546875" style="94" customWidth="1"/>
    <col min="38" max="38" width="16.42578125" style="94" customWidth="1"/>
    <col min="39" max="40" width="8.140625" style="94" customWidth="1"/>
    <col min="41" max="41" width="4.140625" style="94" customWidth="1"/>
    <col min="42" max="42" width="23.7109375" style="94" customWidth="1"/>
    <col min="43" max="43" width="12.140625" style="94" customWidth="1"/>
    <col min="44" max="44" width="10.85546875" style="94" customWidth="1"/>
    <col min="45" max="45" width="13.42578125" style="94" customWidth="1"/>
    <col min="46" max="47" width="9.42578125" style="94" customWidth="1"/>
    <col min="48" max="48" width="5.42578125" style="94" customWidth="1"/>
    <col min="49" max="49" width="23.42578125" style="94" customWidth="1"/>
    <col min="50" max="53" width="8.42578125" style="94" customWidth="1"/>
    <col min="54" max="54" width="4.28515625" style="94" customWidth="1"/>
    <col min="55" max="55" width="22.7109375" style="94" bestFit="1" customWidth="1"/>
    <col min="56" max="56" width="24.140625" style="94" customWidth="1"/>
    <col min="57" max="16384" width="8.85546875" style="94"/>
  </cols>
  <sheetData>
    <row r="1" spans="1:56">
      <c r="A1" s="253" t="s">
        <v>216</v>
      </c>
    </row>
    <row r="2" spans="1:56" s="230" customFormat="1" ht="58.5" customHeight="1">
      <c r="D2" s="2222" t="s">
        <v>330</v>
      </c>
      <c r="E2" s="2222"/>
      <c r="F2" s="2222"/>
      <c r="G2" s="2222"/>
      <c r="H2" s="2222"/>
      <c r="I2" s="2222"/>
      <c r="K2" s="2226" t="s">
        <v>903</v>
      </c>
      <c r="L2" s="2227"/>
      <c r="M2" s="2227"/>
      <c r="N2" s="2227"/>
      <c r="O2" s="2227"/>
      <c r="P2" s="2227"/>
      <c r="Q2" s="1001"/>
      <c r="S2" s="2229" t="s">
        <v>904</v>
      </c>
      <c r="T2" s="2230"/>
      <c r="U2" s="2230"/>
      <c r="V2" s="2230"/>
      <c r="W2" s="2230"/>
      <c r="Z2" s="2226" t="s">
        <v>905</v>
      </c>
      <c r="AA2" s="2226"/>
      <c r="AB2" s="2226"/>
      <c r="AC2" s="2226"/>
      <c r="AD2" s="2226"/>
      <c r="AG2" s="2226" t="s">
        <v>907</v>
      </c>
      <c r="AH2" s="2227"/>
      <c r="AI2" s="2227"/>
      <c r="AJ2" s="2227"/>
      <c r="AL2" s="2230" t="s">
        <v>331</v>
      </c>
      <c r="AM2" s="2230"/>
      <c r="AN2" s="2230"/>
      <c r="AO2" s="2230"/>
      <c r="AP2" s="2230"/>
      <c r="AQ2" s="2230"/>
      <c r="AR2" s="2230"/>
      <c r="AS2" s="2230"/>
      <c r="AT2" s="2230"/>
      <c r="AU2" s="2230"/>
      <c r="AV2" s="2230"/>
      <c r="AW2" s="2230"/>
      <c r="AX2" s="2230"/>
      <c r="AY2" s="2230"/>
      <c r="AZ2" s="2230"/>
      <c r="BA2" s="2230"/>
    </row>
    <row r="3" spans="1:56" s="1000" customFormat="1" ht="28.5" customHeight="1">
      <c r="A3" s="995"/>
      <c r="B3" s="995"/>
      <c r="C3" s="996"/>
      <c r="D3" s="997"/>
      <c r="E3" s="2231" t="s">
        <v>711</v>
      </c>
      <c r="F3" s="2232"/>
      <c r="G3" s="2232"/>
      <c r="H3" s="2232"/>
      <c r="I3" s="2233"/>
      <c r="J3" s="1002"/>
      <c r="K3" s="2223" t="s">
        <v>420</v>
      </c>
      <c r="L3" s="2224"/>
      <c r="M3" s="2224"/>
      <c r="N3" s="2224"/>
      <c r="O3" s="2224"/>
      <c r="P3" s="2225"/>
      <c r="Q3" s="1003"/>
      <c r="R3" s="1004"/>
      <c r="S3" s="2228" t="s">
        <v>686</v>
      </c>
      <c r="T3" s="2228"/>
      <c r="U3" s="2228"/>
      <c r="V3" s="2228"/>
      <c r="W3" s="2228"/>
      <c r="X3" s="1003"/>
      <c r="Y3" s="996"/>
      <c r="Z3" s="2210" t="s">
        <v>906</v>
      </c>
      <c r="AA3" s="2204"/>
      <c r="AB3" s="2204"/>
      <c r="AC3" s="2204"/>
      <c r="AD3" s="2205"/>
      <c r="AE3" s="998"/>
      <c r="AF3" s="998"/>
      <c r="AG3" s="2239" t="s">
        <v>908</v>
      </c>
      <c r="AH3" s="2240"/>
      <c r="AI3" s="2240"/>
      <c r="AJ3" s="2240"/>
      <c r="AK3" s="999"/>
      <c r="AL3" s="2210" t="s">
        <v>909</v>
      </c>
      <c r="AM3" s="2237"/>
      <c r="AN3" s="2238"/>
      <c r="AO3" s="1016"/>
      <c r="AP3" s="1004"/>
      <c r="AQ3" s="2241" t="s">
        <v>910</v>
      </c>
      <c r="AR3" s="2242"/>
      <c r="AS3" s="2242"/>
      <c r="AT3" s="2242"/>
      <c r="AU3" s="2242"/>
      <c r="AV3" s="989"/>
      <c r="AW3" s="1004"/>
      <c r="AX3" s="2234" t="s">
        <v>407</v>
      </c>
      <c r="AY3" s="2235"/>
      <c r="AZ3" s="2235"/>
      <c r="BA3" s="2236"/>
      <c r="BC3" s="995"/>
      <c r="BD3" s="995"/>
    </row>
    <row r="4" spans="1:56" s="97" customFormat="1" ht="67.5" customHeight="1">
      <c r="A4" s="95"/>
      <c r="B4" s="95"/>
      <c r="C4" s="95"/>
      <c r="D4" s="986" t="s">
        <v>326</v>
      </c>
      <c r="E4" s="2255" t="s">
        <v>902</v>
      </c>
      <c r="F4" s="2256"/>
      <c r="G4" s="2256"/>
      <c r="H4" s="2256"/>
      <c r="I4" s="986" t="s">
        <v>327</v>
      </c>
      <c r="J4" s="95"/>
      <c r="K4" s="107" t="s">
        <v>427</v>
      </c>
      <c r="L4" s="2249" t="s">
        <v>421</v>
      </c>
      <c r="M4" s="2250"/>
      <c r="N4" s="2250"/>
      <c r="O4" s="2250"/>
      <c r="P4" s="2251"/>
      <c r="Q4" s="68"/>
      <c r="R4" s="96"/>
      <c r="S4" s="119"/>
      <c r="T4" s="120"/>
      <c r="U4" s="120"/>
      <c r="V4" s="120"/>
      <c r="W4" s="121"/>
      <c r="X4" s="95"/>
      <c r="Y4" s="96"/>
      <c r="Z4" s="119"/>
      <c r="AA4" s="120"/>
      <c r="AB4" s="120"/>
      <c r="AC4" s="120"/>
      <c r="AD4" s="121"/>
      <c r="AE4" s="95"/>
      <c r="AF4" s="96"/>
      <c r="AG4" s="119"/>
      <c r="AH4" s="120"/>
      <c r="AI4" s="120"/>
      <c r="AJ4" s="121"/>
      <c r="AK4" s="96"/>
      <c r="AL4" s="1017" t="s">
        <v>355</v>
      </c>
      <c r="AM4" s="1012" t="s">
        <v>518</v>
      </c>
      <c r="AN4" s="1018" t="s">
        <v>517</v>
      </c>
      <c r="AO4" s="95"/>
      <c r="AP4" s="95"/>
      <c r="AQ4" s="986" t="s">
        <v>245</v>
      </c>
      <c r="AR4" s="986" t="s">
        <v>239</v>
      </c>
      <c r="AS4" s="986" t="s">
        <v>408</v>
      </c>
      <c r="AT4" s="986" t="s">
        <v>625</v>
      </c>
      <c r="AU4" s="986" t="s">
        <v>885</v>
      </c>
      <c r="AV4" s="972"/>
      <c r="AW4" s="96"/>
      <c r="AX4" s="986" t="s">
        <v>245</v>
      </c>
      <c r="AY4" s="986" t="s">
        <v>239</v>
      </c>
      <c r="AZ4" s="986" t="s">
        <v>408</v>
      </c>
      <c r="BA4" s="986" t="s">
        <v>240</v>
      </c>
      <c r="BC4" s="219"/>
      <c r="BD4" s="98"/>
    </row>
    <row r="5" spans="1:56" s="19" customFormat="1" ht="25.5">
      <c r="A5" s="994"/>
      <c r="B5" s="987"/>
      <c r="C5" s="987"/>
      <c r="D5" s="988"/>
      <c r="E5" s="988" t="s">
        <v>245</v>
      </c>
      <c r="F5" s="988" t="s">
        <v>239</v>
      </c>
      <c r="G5" s="988" t="s">
        <v>408</v>
      </c>
      <c r="H5" s="988" t="s">
        <v>240</v>
      </c>
      <c r="I5" s="988"/>
      <c r="J5" s="987"/>
      <c r="K5" s="116"/>
      <c r="L5" s="117" t="s">
        <v>245</v>
      </c>
      <c r="M5" s="116" t="s">
        <v>239</v>
      </c>
      <c r="N5" s="116" t="s">
        <v>408</v>
      </c>
      <c r="O5" s="116" t="s">
        <v>625</v>
      </c>
      <c r="P5" s="116" t="s">
        <v>885</v>
      </c>
      <c r="Q5" s="68"/>
      <c r="R5" s="989"/>
      <c r="S5" s="988" t="s">
        <v>245</v>
      </c>
      <c r="T5" s="988" t="s">
        <v>239</v>
      </c>
      <c r="U5" s="988" t="s">
        <v>408</v>
      </c>
      <c r="V5" s="988" t="s">
        <v>625</v>
      </c>
      <c r="W5" s="988" t="s">
        <v>885</v>
      </c>
      <c r="X5" s="989"/>
      <c r="Y5" s="989"/>
      <c r="Z5" s="988" t="s">
        <v>245</v>
      </c>
      <c r="AA5" s="988" t="s">
        <v>239</v>
      </c>
      <c r="AB5" s="988" t="s">
        <v>408</v>
      </c>
      <c r="AC5" s="988" t="s">
        <v>625</v>
      </c>
      <c r="AD5" s="988" t="s">
        <v>885</v>
      </c>
      <c r="AE5" s="989"/>
      <c r="AF5" s="989"/>
      <c r="AG5" s="988" t="s">
        <v>245</v>
      </c>
      <c r="AH5" s="988" t="s">
        <v>239</v>
      </c>
      <c r="AI5" s="988" t="s">
        <v>408</v>
      </c>
      <c r="AJ5" s="988" t="s">
        <v>625</v>
      </c>
      <c r="AK5" s="989"/>
      <c r="AL5" s="990"/>
      <c r="AM5" s="988"/>
      <c r="AN5" s="991"/>
      <c r="AO5" s="987"/>
      <c r="AP5" s="987"/>
      <c r="AQ5" s="988"/>
      <c r="AR5" s="988"/>
      <c r="AS5" s="988"/>
      <c r="AT5" s="988"/>
      <c r="AU5" s="988"/>
      <c r="AV5" s="989"/>
      <c r="AW5" s="989"/>
      <c r="AX5" s="988"/>
      <c r="AY5" s="988"/>
      <c r="AZ5" s="988"/>
      <c r="BA5" s="988"/>
      <c r="BC5" s="992"/>
      <c r="BD5" s="993"/>
    </row>
    <row r="6" spans="1:56" s="65" customFormat="1" ht="12.75" customHeight="1">
      <c r="A6" s="2263" t="s">
        <v>409</v>
      </c>
      <c r="B6" s="2257" t="s">
        <v>660</v>
      </c>
      <c r="C6" s="102" t="s">
        <v>640</v>
      </c>
      <c r="D6" s="107">
        <f>'RRP 1.3'!D$12</f>
        <v>11.260750888044793</v>
      </c>
      <c r="E6" s="107">
        <f>'RRP 2.4'!L13+'RRP 2.4'!L14+'RRP 2.4'!L18+'RRP 2.4'!L19</f>
        <v>10.20303592994216</v>
      </c>
      <c r="F6" s="107">
        <f>'RRP 2.4'!L12+'RRP 2.4'!L17-'Calc DNO Opex Allocation'!G6</f>
        <v>11.92</v>
      </c>
      <c r="G6" s="107">
        <v>0</v>
      </c>
      <c r="H6" s="107">
        <f>'RRP 2.4'!L11+'RRP 2.4'!L16+'RRP 2.4'!L24</f>
        <v>-16.479999999999997</v>
      </c>
      <c r="I6" s="107">
        <f t="shared" ref="I6:I39" si="0">D6-E6-F6-G6-H6</f>
        <v>5.6177149581026296</v>
      </c>
      <c r="J6" s="68"/>
      <c r="K6" s="107" t="s">
        <v>484</v>
      </c>
      <c r="L6" s="191">
        <f>IF(ISERROR(VLOOKUP($K6,'Calc-Drivers'!$B$17:$G$27,L$42,FALSE))," ",VLOOKUP($K6,'Calc-Drivers'!$B$17:$G$27,L$42,FALSE))</f>
        <v>0.36789005177814615</v>
      </c>
      <c r="M6" s="191">
        <f>IF(ISERROR(VLOOKUP($K6,'Calc-Drivers'!$B$17:$G$27,M$42,FALSE))," ",VLOOKUP($K6,'Calc-Drivers'!$B$17:$G$27,M$42,FALSE))</f>
        <v>0.13338533416215667</v>
      </c>
      <c r="N6" s="191">
        <f>IF(ISERROR(VLOOKUP($K6,'Calc-Drivers'!$B$17:$G$27,N$42,FALSE))," ",VLOOKUP($K6,'Calc-Drivers'!$B$17:$G$27,N$42,FALSE))</f>
        <v>3.585234419627923E-2</v>
      </c>
      <c r="O6" s="191">
        <f>IF(ISERROR(VLOOKUP($K6,'Calc-Drivers'!$B$17:$G$27,O$42,FALSE))," ",VLOOKUP($K6,'Calc-Drivers'!$B$17:$G$27,O$42,FALSE))</f>
        <v>0.22633212737579628</v>
      </c>
      <c r="P6" s="191">
        <f>IF(ISERROR(VLOOKUP($K6,'Calc-Drivers'!$B$17:$G$27,P$42,FALSE))," ",VLOOKUP($K6,'Calc-Drivers'!$B$17:$G$27,P$42,FALSE))</f>
        <v>0.23654014248762154</v>
      </c>
      <c r="Q6" s="130"/>
      <c r="R6" s="70"/>
      <c r="S6" s="126">
        <f t="shared" ref="S6:S38" si="1">IF(ISERROR($I6*L6)," ",$I6*L6)</f>
        <v>2.0667014468112423</v>
      </c>
      <c r="T6" s="126">
        <f t="shared" ref="T6:T38" si="2">IF(ISERROR($I6*M6)," ",$I6*M6)</f>
        <v>0.74932078691426518</v>
      </c>
      <c r="U6" s="126">
        <f t="shared" ref="U6:U38" si="3">IF(ISERROR($I6*N6)," ",$I6*N6)</f>
        <v>0.20140825027448184</v>
      </c>
      <c r="V6" s="122">
        <f t="shared" ref="V6:W38" si="4">IF(ISERROR($I6*O6)," ",$I6*O6)</f>
        <v>1.2714693774582004</v>
      </c>
      <c r="W6" s="122">
        <f t="shared" si="4"/>
        <v>1.3288150966444388</v>
      </c>
      <c r="X6" s="72"/>
      <c r="Y6" s="66"/>
      <c r="Z6" s="71">
        <f t="shared" ref="Z6:Z38" si="5">IF($K6="Do not allocate"," ",S6+E6)</f>
        <v>12.269737376753403</v>
      </c>
      <c r="AA6" s="71">
        <f t="shared" ref="AA6:AA38" si="6">IF($K6="Do not allocate"," ",T6+F6)</f>
        <v>12.669320786914264</v>
      </c>
      <c r="AB6" s="71">
        <f t="shared" ref="AB6:AB38" si="7">IF($K6="Do not allocate"," ",U6+G6)</f>
        <v>0.20140825027448184</v>
      </c>
      <c r="AC6" s="1014">
        <f t="shared" ref="AC6:AC38" si="8">IF($K6="Do not allocate"," ",($H6*O6/($O6+$P6)+V6))</f>
        <v>-6.7868086875763263</v>
      </c>
      <c r="AD6" s="123">
        <f t="shared" ref="AD6:AD38" si="9">IF($K6="Do not allocate"," ",($H6*P6/($O6+$P6)+W6))</f>
        <v>-7.0929068383210314</v>
      </c>
      <c r="AE6" s="72"/>
      <c r="AF6" s="72"/>
      <c r="AG6" s="73">
        <f>IF(ISERROR(Z6*100000000/'Calc-Units'!$E$21)," ",Z6*100000000/'Calc-Units'!$E$21)</f>
        <v>4.6382453900445833E-2</v>
      </c>
      <c r="AH6" s="73">
        <f>IF(ISERROR(AA6*100000000/'Calc-Units'!$D$21)," ",AA6*100000000/'Calc-Units'!$D$21)</f>
        <v>4.8982546345072361E-2</v>
      </c>
      <c r="AI6" s="73">
        <f>IF(ISERROR(AB6*100000000/'Calc-Units'!$C$21)," ",AB6*100000000/'Calc-Units'!$C$21)</f>
        <v>1.1789291165680276E-3</v>
      </c>
      <c r="AJ6" s="193">
        <f>IF(ISERROR(AC6*100000000/'Calc-Units'!$C$21)," ",AC6*100000000/'Calc-Units'!$C$21)</f>
        <v>-3.972611032297077E-2</v>
      </c>
      <c r="AK6" s="74"/>
      <c r="AL6" s="67">
        <v>1</v>
      </c>
      <c r="AM6" s="106">
        <f t="shared" ref="AM6:AM38" si="10">AL6*D6</f>
        <v>11.260750888044793</v>
      </c>
      <c r="AN6" s="69">
        <f t="shared" ref="AN6:AN38" si="11">D6*(1-AL6)</f>
        <v>0</v>
      </c>
      <c r="AO6" s="68"/>
      <c r="AP6" s="68"/>
      <c r="AQ6" s="71">
        <f>IF(ISERROR(Z6*(1-$AL6))," ",Z6*(1-$AL6))</f>
        <v>0</v>
      </c>
      <c r="AR6" s="71">
        <f>IF(ISERROR(AA6*(1-$AL6))," ",AA6*(1-$AL6))</f>
        <v>0</v>
      </c>
      <c r="AS6" s="71">
        <f>IF(ISERROR(AB6*(1-$AL6))," ",AB6*(1-$AL6))</f>
        <v>0</v>
      </c>
      <c r="AT6" s="123">
        <f>IF(ISERROR(AC6*(1-$AL6))," ",AC6*(1-$AL6))</f>
        <v>0</v>
      </c>
      <c r="AU6" s="123">
        <f>IF(ISERROR(AD6*(1-$AL6))," ",AD6*(1-$AL6))</f>
        <v>0</v>
      </c>
      <c r="AV6" s="72"/>
      <c r="AW6" s="74"/>
      <c r="AX6" s="221">
        <f>IF(ISERROR(AQ6*100000000/'Calc-Units'!$E$21)," ",AQ6*100000000/'Calc-Units'!$E$21)</f>
        <v>0</v>
      </c>
      <c r="AY6" s="221">
        <f>IF(ISERROR(AR6*100000000/'Calc-Units'!$D$21)," ",AR6*100000000/'Calc-Units'!$D$21)</f>
        <v>0</v>
      </c>
      <c r="AZ6" s="221">
        <f>IF(ISERROR(AS6*100000000/'Calc-Units'!$C$21)," ",AS6*100000000/'Calc-Units'!$C$21)</f>
        <v>0</v>
      </c>
      <c r="BA6" s="222">
        <f>IF(ISERROR(AT6*100000000/'Calc-Units'!$C$21)," ",AT6*100000000/'Calc-Units'!$C$21)</f>
        <v>0</v>
      </c>
      <c r="BC6" s="77"/>
      <c r="BD6" s="66"/>
    </row>
    <row r="7" spans="1:56" s="65" customFormat="1" ht="12.75" customHeight="1">
      <c r="A7" s="2264"/>
      <c r="B7" s="2258"/>
      <c r="C7" s="103" t="s">
        <v>470</v>
      </c>
      <c r="D7" s="106">
        <f>'RRP 1.3'!E$12</f>
        <v>86.73865287324719</v>
      </c>
      <c r="E7" s="132">
        <f>SUM('RRP 2.4'!G44:G55)+'RRP 2.4'!G71+'RRP 2.4'!H71</f>
        <v>33.944558974318987</v>
      </c>
      <c r="F7" s="106">
        <f>SUM('RRP 2.4'!G38:G40)+'RRP 2.4'!F71</f>
        <v>25.847964559544309</v>
      </c>
      <c r="G7" s="106">
        <f>'RRP 2.4'!G41+'RRP 2.4'!G42+'RRP 2.4'!G43</f>
        <v>6.9283782203391073</v>
      </c>
      <c r="H7" s="106">
        <f>SUM('RRP 2.4'!G31:G37)+'RRP 2.4'!E71</f>
        <v>15.964378159526383</v>
      </c>
      <c r="I7" s="106">
        <f t="shared" si="0"/>
        <v>4.0533729595184056</v>
      </c>
      <c r="J7" s="68"/>
      <c r="K7" s="106" t="s">
        <v>484</v>
      </c>
      <c r="L7" s="118">
        <f>IF(ISERROR(VLOOKUP($K7,'Calc-Drivers'!$B$17:$G$27,L$42,FALSE))," ",VLOOKUP($K7,'Calc-Drivers'!$B$17:$G$27,L$42,FALSE))</f>
        <v>0.36789005177814615</v>
      </c>
      <c r="M7" s="118">
        <f>IF(ISERROR(VLOOKUP($K7,'Calc-Drivers'!$B$17:$G$27,M$42,FALSE))," ",VLOOKUP($K7,'Calc-Drivers'!$B$17:$G$27,M$42,FALSE))</f>
        <v>0.13338533416215667</v>
      </c>
      <c r="N7" s="118">
        <f>IF(ISERROR(VLOOKUP($K7,'Calc-Drivers'!$B$17:$G$27,N$42,FALSE))," ",VLOOKUP($K7,'Calc-Drivers'!$B$17:$G$27,N$42,FALSE))</f>
        <v>3.585234419627923E-2</v>
      </c>
      <c r="O7" s="118">
        <f>IF(ISERROR(VLOOKUP($K7,'Calc-Drivers'!$B$17:$G$27,O$42,FALSE))," ",VLOOKUP($K7,'Calc-Drivers'!$B$17:$G$27,O$42,FALSE))</f>
        <v>0.22633212737579628</v>
      </c>
      <c r="P7" s="118">
        <f>IF(ISERROR(VLOOKUP($K7,'Calc-Drivers'!$B$17:$G$27,P$42,FALSE))," ",VLOOKUP($K7,'Calc-Drivers'!$B$17:$G$27,P$42,FALSE))</f>
        <v>0.23654014248762154</v>
      </c>
      <c r="Q7" s="130"/>
      <c r="R7" s="70"/>
      <c r="S7" s="71">
        <f t="shared" si="1"/>
        <v>1.4911955879533638</v>
      </c>
      <c r="T7" s="71">
        <f t="shared" si="2"/>
        <v>0.54066050668921251</v>
      </c>
      <c r="U7" s="71">
        <f t="shared" si="3"/>
        <v>0.14532292250054488</v>
      </c>
      <c r="V7" s="123">
        <f t="shared" si="4"/>
        <v>0.9174085249753281</v>
      </c>
      <c r="W7" s="123">
        <f t="shared" si="4"/>
        <v>0.95878541739995582</v>
      </c>
      <c r="X7" s="72"/>
      <c r="Y7" s="66"/>
      <c r="Z7" s="71">
        <f t="shared" si="5"/>
        <v>35.435754562272351</v>
      </c>
      <c r="AA7" s="71">
        <f t="shared" si="6"/>
        <v>26.388625066233523</v>
      </c>
      <c r="AB7" s="71">
        <f t="shared" si="7"/>
        <v>7.0737011428396519</v>
      </c>
      <c r="AC7" s="123">
        <f t="shared" si="8"/>
        <v>8.7235613371614793</v>
      </c>
      <c r="AD7" s="123">
        <f t="shared" si="9"/>
        <v>9.1170107647401881</v>
      </c>
      <c r="AE7" s="72"/>
      <c r="AF7" s="72"/>
      <c r="AG7" s="73">
        <f>IF(ISERROR(Z7*100000000/'Calc-Units'!$E$21)," ",Z7*100000000/'Calc-Units'!$E$21)</f>
        <v>0.13395537344801828</v>
      </c>
      <c r="AH7" s="73">
        <f>IF(ISERROR(AA7*100000000/'Calc-Units'!$D$21)," ",AA7*100000000/'Calc-Units'!$D$21)</f>
        <v>0.10202457353709032</v>
      </c>
      <c r="AI7" s="73">
        <f>IF(ISERROR(AB7*100000000/'Calc-Units'!$C$21)," ",AB7*100000000/'Calc-Units'!$C$21)</f>
        <v>4.1405415258953714E-2</v>
      </c>
      <c r="AJ7" s="193">
        <f>IF(ISERROR(AC7*100000000/'Calc-Units'!$C$21)," ",AC7*100000000/'Calc-Units'!$C$21)</f>
        <v>5.1062756597760939E-2</v>
      </c>
      <c r="AK7" s="74"/>
      <c r="AL7" s="67">
        <v>1</v>
      </c>
      <c r="AM7" s="106">
        <f t="shared" si="10"/>
        <v>86.73865287324719</v>
      </c>
      <c r="AN7" s="69">
        <f t="shared" si="11"/>
        <v>0</v>
      </c>
      <c r="AO7" s="68"/>
      <c r="AP7" s="68"/>
      <c r="AQ7" s="71">
        <f t="shared" ref="AQ7:AQ38" si="12">IF(ISERROR(Z7*(1-$AL7))," ",Z7*(1-$AL7))</f>
        <v>0</v>
      </c>
      <c r="AR7" s="71">
        <f t="shared" ref="AR7:AR38" si="13">IF(ISERROR(AA7*(1-$AL7))," ",AA7*(1-$AL7))</f>
        <v>0</v>
      </c>
      <c r="AS7" s="71">
        <f t="shared" ref="AS7:AS38" si="14">IF(ISERROR(AB7*(1-$AL7))," ",AB7*(1-$AL7))</f>
        <v>0</v>
      </c>
      <c r="AT7" s="123">
        <f t="shared" ref="AT7:AT38" si="15">IF(ISERROR(AC7*(1-$AL7))," ",AC7*(1-$AL7))</f>
        <v>0</v>
      </c>
      <c r="AU7" s="123">
        <f t="shared" ref="AU7:AU38" si="16">IF(ISERROR(AD7*(1-$AL7))," ",AD7*(1-$AL7))</f>
        <v>0</v>
      </c>
      <c r="AV7" s="72"/>
      <c r="AW7" s="74"/>
      <c r="AX7" s="73">
        <f>IF(ISERROR(AQ7*100000000/'Calc-Units'!$E$21)," ",AQ7*100000000/'Calc-Units'!$E$21)</f>
        <v>0</v>
      </c>
      <c r="AY7" s="73">
        <f>IF(ISERROR(AR7*100000000/'Calc-Units'!$D$21)," ",AR7*100000000/'Calc-Units'!$D$21)</f>
        <v>0</v>
      </c>
      <c r="AZ7" s="73">
        <f>IF(ISERROR(AS7*100000000/'Calc-Units'!$C$21)," ",AS7*100000000/'Calc-Units'!$C$21)</f>
        <v>0</v>
      </c>
      <c r="BA7" s="193">
        <f>IF(ISERROR(AT7*100000000/'Calc-Units'!$C$21)," ",AT7*100000000/'Calc-Units'!$C$21)</f>
        <v>0</v>
      </c>
      <c r="BC7" s="77"/>
      <c r="BD7" s="66"/>
    </row>
    <row r="8" spans="1:56" s="65" customFormat="1">
      <c r="A8" s="2264"/>
      <c r="B8" s="2258"/>
      <c r="C8" s="103" t="s">
        <v>471</v>
      </c>
      <c r="D8" s="106">
        <f>'RRP 1.3'!F$12</f>
        <v>2.2901999883199999</v>
      </c>
      <c r="E8" s="106">
        <v>0</v>
      </c>
      <c r="F8" s="106">
        <v>0</v>
      </c>
      <c r="G8" s="106">
        <v>0</v>
      </c>
      <c r="H8" s="106">
        <v>0</v>
      </c>
      <c r="I8" s="106">
        <f t="shared" si="0"/>
        <v>2.2901999883199999</v>
      </c>
      <c r="J8" s="68"/>
      <c r="K8" s="106" t="s">
        <v>484</v>
      </c>
      <c r="L8" s="118">
        <f>IF(ISERROR(VLOOKUP($K8,'Calc-Drivers'!$B$17:$G$27,L$42,FALSE))," ",VLOOKUP($K8,'Calc-Drivers'!$B$17:$G$27,L$42,FALSE))</f>
        <v>0.36789005177814615</v>
      </c>
      <c r="M8" s="118">
        <f>IF(ISERROR(VLOOKUP($K8,'Calc-Drivers'!$B$17:$G$27,M$42,FALSE))," ",VLOOKUP($K8,'Calc-Drivers'!$B$17:$G$27,M$42,FALSE))</f>
        <v>0.13338533416215667</v>
      </c>
      <c r="N8" s="118">
        <f>IF(ISERROR(VLOOKUP($K8,'Calc-Drivers'!$B$17:$G$27,N$42,FALSE))," ",VLOOKUP($K8,'Calc-Drivers'!$B$17:$G$27,N$42,FALSE))</f>
        <v>3.585234419627923E-2</v>
      </c>
      <c r="O8" s="118">
        <f>IF(ISERROR(VLOOKUP($K8,'Calc-Drivers'!$B$17:$G$27,O$42,FALSE))," ",VLOOKUP($K8,'Calc-Drivers'!$B$17:$G$27,O$42,FALSE))</f>
        <v>0.22633212737579628</v>
      </c>
      <c r="P8" s="118">
        <f>IF(ISERROR(VLOOKUP($K8,'Calc-Drivers'!$B$17:$G$27,P$42,FALSE))," ",VLOOKUP($K8,'Calc-Drivers'!$B$17:$G$27,P$42,FALSE))</f>
        <v>0.23654014248762154</v>
      </c>
      <c r="Q8" s="130"/>
      <c r="R8" s="70"/>
      <c r="S8" s="71">
        <f t="shared" si="1"/>
        <v>0.84254179228535453</v>
      </c>
      <c r="T8" s="71">
        <f t="shared" si="2"/>
        <v>0.3054790907402305</v>
      </c>
      <c r="U8" s="71">
        <f t="shared" si="3"/>
        <v>8.2109038259563311E-2</v>
      </c>
      <c r="V8" s="123">
        <f t="shared" si="4"/>
        <v>0.51834583547248936</v>
      </c>
      <c r="W8" s="123">
        <f t="shared" si="4"/>
        <v>0.54172423156236194</v>
      </c>
      <c r="X8" s="72"/>
      <c r="Y8" s="66"/>
      <c r="Z8" s="71">
        <f t="shared" si="5"/>
        <v>0.84254179228535453</v>
      </c>
      <c r="AA8" s="71">
        <f t="shared" si="6"/>
        <v>0.3054790907402305</v>
      </c>
      <c r="AB8" s="71">
        <f t="shared" si="7"/>
        <v>8.2109038259563311E-2</v>
      </c>
      <c r="AC8" s="123">
        <f t="shared" si="8"/>
        <v>0.51834583547248936</v>
      </c>
      <c r="AD8" s="123">
        <f t="shared" si="9"/>
        <v>0.54172423156236194</v>
      </c>
      <c r="AE8" s="72"/>
      <c r="AF8" s="72"/>
      <c r="AG8" s="73">
        <f>IF(ISERROR(Z8*100000000/'Calc-Units'!$E$21)," ",Z8*100000000/'Calc-Units'!$E$21)</f>
        <v>3.1850034470921082E-3</v>
      </c>
      <c r="AH8" s="73">
        <f>IF(ISERROR(AA8*100000000/'Calc-Units'!$D$21)," ",AA8*100000000/'Calc-Units'!$D$21)</f>
        <v>1.1810533470025368E-3</v>
      </c>
      <c r="AI8" s="73">
        <f>IF(ISERROR(AB8*100000000/'Calc-Units'!$C$21)," ",AB8*100000000/'Calc-Units'!$C$21)</f>
        <v>4.8061951685532254E-4</v>
      </c>
      <c r="AJ8" s="193">
        <f>IF(ISERROR(AC8*100000000/'Calc-Units'!$C$21)," ",AC8*100000000/'Calc-Units'!$C$21)</f>
        <v>3.0341011207708347E-3</v>
      </c>
      <c r="AK8" s="74"/>
      <c r="AL8" s="67">
        <v>0.23499999999999999</v>
      </c>
      <c r="AM8" s="106">
        <f t="shared" si="10"/>
        <v>0.53819699725519998</v>
      </c>
      <c r="AN8" s="69">
        <f t="shared" si="11"/>
        <v>1.7520029910648001</v>
      </c>
      <c r="AO8" s="68"/>
      <c r="AP8" s="68"/>
      <c r="AQ8" s="71">
        <f t="shared" si="12"/>
        <v>0.64454447109829627</v>
      </c>
      <c r="AR8" s="71">
        <f t="shared" si="13"/>
        <v>0.23369150441627634</v>
      </c>
      <c r="AS8" s="71">
        <f t="shared" si="14"/>
        <v>6.2813414268565931E-2</v>
      </c>
      <c r="AT8" s="123">
        <f t="shared" si="15"/>
        <v>0.39653456413645438</v>
      </c>
      <c r="AU8" s="123">
        <f t="shared" si="16"/>
        <v>0.41441903714520689</v>
      </c>
      <c r="AV8" s="72"/>
      <c r="AW8" s="74"/>
      <c r="AX8" s="73">
        <f>IF(ISERROR(AQ8*100000000/'Calc-Units'!$E$21)," ",AQ8*100000000/'Calc-Units'!$E$21)</f>
        <v>2.4365276370254627E-3</v>
      </c>
      <c r="AY8" s="73">
        <f>IF(ISERROR(AR8*100000000/'Calc-Units'!$D$21)," ",AR8*100000000/'Calc-Units'!$D$21)</f>
        <v>9.0350581045694058E-4</v>
      </c>
      <c r="AZ8" s="73">
        <f>IF(ISERROR(AS8*100000000/'Calc-Units'!$C$21)," ",AS8*100000000/'Calc-Units'!$C$21)</f>
        <v>3.6767393039432175E-4</v>
      </c>
      <c r="BA8" s="193">
        <f>IF(ISERROR(AT8*100000000/'Calc-Units'!$C$21)," ",AT8*100000000/'Calc-Units'!$C$21)</f>
        <v>2.3210873573896885E-3</v>
      </c>
      <c r="BC8" s="77"/>
      <c r="BD8" s="66"/>
    </row>
    <row r="9" spans="1:56" s="65" customFormat="1">
      <c r="A9" s="2264"/>
      <c r="B9" s="2258"/>
      <c r="C9" s="103" t="s">
        <v>212</v>
      </c>
      <c r="D9" s="106">
        <f>'RRP 1.3'!G$12</f>
        <v>23.607461477008215</v>
      </c>
      <c r="E9" s="106">
        <f>SUM('RRP 2.3'!I20:I27)</f>
        <v>2.7149327240017325</v>
      </c>
      <c r="F9" s="106">
        <f>SUM('RRP 2.3'!I17:I18)</f>
        <v>5.2791708589435222</v>
      </c>
      <c r="G9" s="106">
        <f>SUM('RRP 2.3'!I19)</f>
        <v>0.58234466945385643</v>
      </c>
      <c r="H9" s="106">
        <f>SUM('RRP 2.3'!I11:I16)</f>
        <v>15.272426893891403</v>
      </c>
      <c r="I9" s="106">
        <f t="shared" si="0"/>
        <v>-0.24141366928230212</v>
      </c>
      <c r="J9" s="68"/>
      <c r="K9" s="106" t="s">
        <v>484</v>
      </c>
      <c r="L9" s="118">
        <f>IF(ISERROR(VLOOKUP($K9,'Calc-Drivers'!$B$17:$G$27,L$42,FALSE))," ",VLOOKUP($K9,'Calc-Drivers'!$B$17:$G$27,L$42,FALSE))</f>
        <v>0.36789005177814615</v>
      </c>
      <c r="M9" s="118">
        <f>IF(ISERROR(VLOOKUP($K9,'Calc-Drivers'!$B$17:$G$27,M$42,FALSE))," ",VLOOKUP($K9,'Calc-Drivers'!$B$17:$G$27,M$42,FALSE))</f>
        <v>0.13338533416215667</v>
      </c>
      <c r="N9" s="118">
        <f>IF(ISERROR(VLOOKUP($K9,'Calc-Drivers'!$B$17:$G$27,N$42,FALSE))," ",VLOOKUP($K9,'Calc-Drivers'!$B$17:$G$27,N$42,FALSE))</f>
        <v>3.585234419627923E-2</v>
      </c>
      <c r="O9" s="118">
        <f>IF(ISERROR(VLOOKUP($K9,'Calc-Drivers'!$B$17:$G$27,O$42,FALSE))," ",VLOOKUP($K9,'Calc-Drivers'!$B$17:$G$27,O$42,FALSE))</f>
        <v>0.22633212737579628</v>
      </c>
      <c r="P9" s="118">
        <f>IF(ISERROR(VLOOKUP($K9,'Calc-Drivers'!$B$17:$G$27,P$42,FALSE))," ",VLOOKUP($K9,'Calc-Drivers'!$B$17:$G$27,P$42,FALSE))</f>
        <v>0.23654014248762154</v>
      </c>
      <c r="Q9" s="130"/>
      <c r="R9" s="70"/>
      <c r="S9" s="71">
        <f t="shared" si="1"/>
        <v>-8.8813687292218377E-2</v>
      </c>
      <c r="T9" s="71">
        <f t="shared" si="2"/>
        <v>-3.2201042948532245E-2</v>
      </c>
      <c r="U9" s="71">
        <f t="shared" si="3"/>
        <v>-8.6552459647958185E-3</v>
      </c>
      <c r="V9" s="123">
        <f t="shared" si="4"/>
        <v>-5.4639669346260362E-2</v>
      </c>
      <c r="W9" s="123">
        <f t="shared" si="4"/>
        <v>-5.7104023730495286E-2</v>
      </c>
      <c r="X9" s="72"/>
      <c r="Y9" s="66"/>
      <c r="Z9" s="71">
        <f t="shared" si="5"/>
        <v>2.6261190367095142</v>
      </c>
      <c r="AA9" s="71">
        <f t="shared" si="6"/>
        <v>5.2469698159949898</v>
      </c>
      <c r="AB9" s="71">
        <f t="shared" si="7"/>
        <v>0.5736894234890606</v>
      </c>
      <c r="AC9" s="123">
        <f t="shared" si="8"/>
        <v>7.4131675296154222</v>
      </c>
      <c r="AD9" s="123">
        <f t="shared" si="9"/>
        <v>7.7475156711992259</v>
      </c>
      <c r="AE9" s="72"/>
      <c r="AF9" s="72"/>
      <c r="AG9" s="73">
        <f>IF(ISERROR(Z9*100000000/'Calc-Units'!$E$21)," ",Z9*100000000/'Calc-Units'!$E$21)</f>
        <v>9.9273392263504456E-3</v>
      </c>
      <c r="AH9" s="73">
        <f>IF(ISERROR(AA9*100000000/'Calc-Units'!$D$21)," ",AA9*100000000/'Calc-Units'!$D$21)</f>
        <v>2.028600794832093E-2</v>
      </c>
      <c r="AI9" s="73">
        <f>IF(ISERROR(AB9*100000000/'Calc-Units'!$C$21)," ",AB9*100000000/'Calc-Units'!$C$21)</f>
        <v>3.3580509452649297E-3</v>
      </c>
      <c r="AJ9" s="193">
        <f>IF(ISERROR(AC9*100000000/'Calc-Units'!$C$21)," ",AC9*100000000/'Calc-Units'!$C$21)</f>
        <v>4.3392458028655011E-2</v>
      </c>
      <c r="AK9" s="74"/>
      <c r="AL9" s="67">
        <v>0.23499999999999999</v>
      </c>
      <c r="AM9" s="106">
        <f t="shared" si="10"/>
        <v>5.5477534470969303</v>
      </c>
      <c r="AN9" s="69">
        <f t="shared" si="11"/>
        <v>18.059708029911285</v>
      </c>
      <c r="AO9" s="68"/>
      <c r="AP9" s="68"/>
      <c r="AQ9" s="71">
        <f t="shared" si="12"/>
        <v>2.0089810630827785</v>
      </c>
      <c r="AR9" s="71">
        <f t="shared" si="13"/>
        <v>4.0139319092361676</v>
      </c>
      <c r="AS9" s="71">
        <f t="shared" si="14"/>
        <v>0.43887240896913138</v>
      </c>
      <c r="AT9" s="123">
        <f t="shared" si="15"/>
        <v>5.6710731601557978</v>
      </c>
      <c r="AU9" s="123">
        <f t="shared" si="16"/>
        <v>5.9268494884674077</v>
      </c>
      <c r="AV9" s="72"/>
      <c r="AW9" s="74"/>
      <c r="AX9" s="73">
        <f>IF(ISERROR(AQ9*100000000/'Calc-Units'!$E$21)," ",AQ9*100000000/'Calc-Units'!$E$21)</f>
        <v>7.594414508158091E-3</v>
      </c>
      <c r="AY9" s="73">
        <f>IF(ISERROR(AR9*100000000/'Calc-Units'!$D$21)," ",AR9*100000000/'Calc-Units'!$D$21)</f>
        <v>1.5518796080465514E-2</v>
      </c>
      <c r="AZ9" s="73">
        <f>IF(ISERROR(AS9*100000000/'Calc-Units'!$C$21)," ",AS9*100000000/'Calc-Units'!$C$21)</f>
        <v>2.5689089731276717E-3</v>
      </c>
      <c r="BA9" s="193">
        <f>IF(ISERROR(AT9*100000000/'Calc-Units'!$C$21)," ",AT9*100000000/'Calc-Units'!$C$21)</f>
        <v>3.3195230391921085E-2</v>
      </c>
      <c r="BC9" s="77"/>
      <c r="BD9" s="66"/>
    </row>
    <row r="10" spans="1:56" s="65" customFormat="1">
      <c r="A10" s="2264"/>
      <c r="B10" s="2258"/>
      <c r="C10" s="103" t="s">
        <v>358</v>
      </c>
      <c r="D10" s="106">
        <f>'RRP 1.3'!H$12</f>
        <v>11.683384510026801</v>
      </c>
      <c r="E10" s="106">
        <f>SUM('RRP 2.3'!G20:G27)</f>
        <v>2.7042198642422459</v>
      </c>
      <c r="F10" s="106">
        <f>SUM('RRP 2.3'!G17:G18)</f>
        <v>0.43626357364726914</v>
      </c>
      <c r="G10" s="132">
        <f>SUM('RRP 2.3'!G19)</f>
        <v>5.2840504964611927</v>
      </c>
      <c r="H10" s="106">
        <f>SUM('RRP 2.3'!G11:G16)</f>
        <v>1.5441125756760909</v>
      </c>
      <c r="I10" s="106">
        <f t="shared" si="0"/>
        <v>1.7147380000000032</v>
      </c>
      <c r="J10" s="68"/>
      <c r="K10" s="108" t="s">
        <v>484</v>
      </c>
      <c r="L10" s="118">
        <f>IF(ISERROR(VLOOKUP($K10,'Calc-Drivers'!$B$17:$G$27,L$42,FALSE))," ",VLOOKUP($K10,'Calc-Drivers'!$B$17:$G$27,L$42,FALSE))</f>
        <v>0.36789005177814615</v>
      </c>
      <c r="M10" s="118">
        <f>IF(ISERROR(VLOOKUP($K10,'Calc-Drivers'!$B$17:$G$27,M$42,FALSE))," ",VLOOKUP($K10,'Calc-Drivers'!$B$17:$G$27,M$42,FALSE))</f>
        <v>0.13338533416215667</v>
      </c>
      <c r="N10" s="118">
        <f>IF(ISERROR(VLOOKUP($K10,'Calc-Drivers'!$B$17:$G$27,N$42,FALSE))," ",VLOOKUP($K10,'Calc-Drivers'!$B$17:$G$27,N$42,FALSE))</f>
        <v>3.585234419627923E-2</v>
      </c>
      <c r="O10" s="118">
        <f>IF(ISERROR(VLOOKUP($K10,'Calc-Drivers'!$B$17:$G$27,O$42,FALSE))," ",VLOOKUP($K10,'Calc-Drivers'!$B$17:$G$27,O$42,FALSE))</f>
        <v>0.22633212737579628</v>
      </c>
      <c r="P10" s="118">
        <f>IF(ISERROR(VLOOKUP($K10,'Calc-Drivers'!$B$17:$G$27,P$42,FALSE))," ",VLOOKUP($K10,'Calc-Drivers'!$B$17:$G$27,P$42,FALSE))</f>
        <v>0.23654014248762154</v>
      </c>
      <c r="Q10" s="130"/>
      <c r="R10" s="70"/>
      <c r="S10" s="71">
        <f t="shared" si="1"/>
        <v>0.63083505160595599</v>
      </c>
      <c r="T10" s="71">
        <f t="shared" si="2"/>
        <v>0.22872090113054863</v>
      </c>
      <c r="U10" s="71">
        <f t="shared" si="3"/>
        <v>6.1477376982439567E-2</v>
      </c>
      <c r="V10" s="123">
        <f t="shared" si="4"/>
        <v>0.38810029943211888</v>
      </c>
      <c r="W10" s="123">
        <f t="shared" si="4"/>
        <v>0.40560437084893991</v>
      </c>
      <c r="X10" s="72"/>
      <c r="Y10" s="66"/>
      <c r="Z10" s="71">
        <f t="shared" si="5"/>
        <v>3.3350549158482021</v>
      </c>
      <c r="AA10" s="71">
        <f t="shared" si="6"/>
        <v>0.66498447477781775</v>
      </c>
      <c r="AB10" s="71">
        <f t="shared" si="7"/>
        <v>5.3455278734436327</v>
      </c>
      <c r="AC10" s="123">
        <f t="shared" si="8"/>
        <v>1.1431299413322775</v>
      </c>
      <c r="AD10" s="123">
        <f t="shared" si="9"/>
        <v>1.1946873046248725</v>
      </c>
      <c r="AE10" s="72"/>
      <c r="AF10" s="72"/>
      <c r="AG10" s="73">
        <f>IF(ISERROR(Z10*100000000/'Calc-Units'!$E$21)," ",Z10*100000000/'Calc-Units'!$E$21)</f>
        <v>1.2607281324770722E-2</v>
      </c>
      <c r="AH10" s="73">
        <f>IF(ISERROR(AA10*100000000/'Calc-Units'!$D$21)," ",AA10*100000000/'Calc-Units'!$D$21)</f>
        <v>2.5709849330045604E-3</v>
      </c>
      <c r="AI10" s="73">
        <f>IF(ISERROR(AB10*100000000/'Calc-Units'!$C$21)," ",AB10*100000000/'Calc-Units'!$C$21)</f>
        <v>3.128967380849703E-2</v>
      </c>
      <c r="AJ10" s="193">
        <f>IF(ISERROR(AC10*100000000/'Calc-Units'!$C$21)," ",AC10*100000000/'Calc-Units'!$C$21)</f>
        <v>6.6912312182877401E-3</v>
      </c>
      <c r="AK10" s="74"/>
      <c r="AL10" s="67">
        <v>0.23499999999999999</v>
      </c>
      <c r="AM10" s="106">
        <f t="shared" si="10"/>
        <v>2.7455953598562983</v>
      </c>
      <c r="AN10" s="69">
        <f t="shared" si="11"/>
        <v>8.937789150170504</v>
      </c>
      <c r="AO10" s="68"/>
      <c r="AP10" s="68"/>
      <c r="AQ10" s="127">
        <f t="shared" si="12"/>
        <v>2.5513170106238747</v>
      </c>
      <c r="AR10" s="127">
        <f t="shared" si="13"/>
        <v>0.50871312320503059</v>
      </c>
      <c r="AS10" s="127">
        <f t="shared" si="14"/>
        <v>4.0893288231843794</v>
      </c>
      <c r="AT10" s="124">
        <f t="shared" si="15"/>
        <v>0.8744944051191923</v>
      </c>
      <c r="AU10" s="124">
        <f t="shared" si="16"/>
        <v>0.91393578803802744</v>
      </c>
      <c r="AV10" s="72"/>
      <c r="AW10" s="74"/>
      <c r="AX10" s="194">
        <f>IF(ISERROR(AQ10*100000000/'Calc-Units'!$E$21)," ",AQ10*100000000/'Calc-Units'!$E$21)</f>
        <v>9.6445702134496034E-3</v>
      </c>
      <c r="AY10" s="194">
        <f>IF(ISERROR(AR10*100000000/'Calc-Units'!$D$21)," ",AR10*100000000/'Calc-Units'!$D$21)</f>
        <v>1.9668034737484888E-3</v>
      </c>
      <c r="AZ10" s="194">
        <f>IF(ISERROR(AS10*100000000/'Calc-Units'!$C$21)," ",AS10*100000000/'Calc-Units'!$C$21)</f>
        <v>2.393660046350023E-2</v>
      </c>
      <c r="BA10" s="195">
        <f>IF(ISERROR(AT10*100000000/'Calc-Units'!$C$21)," ",AT10*100000000/'Calc-Units'!$C$21)</f>
        <v>5.1187918819901208E-3</v>
      </c>
      <c r="BC10" s="77"/>
      <c r="BD10" s="66"/>
    </row>
    <row r="11" spans="1:56" s="65" customFormat="1" ht="16.5" customHeight="1">
      <c r="A11" s="2265"/>
      <c r="B11" s="2259"/>
      <c r="C11" s="190" t="s">
        <v>214</v>
      </c>
      <c r="D11" s="116">
        <f>'RRP 1.3'!I$12</f>
        <v>4.9082775940000003</v>
      </c>
      <c r="E11" s="116">
        <f>'RRP 2.3'!G46+'RRP 2.3'!G47</f>
        <v>0.54126135383944951</v>
      </c>
      <c r="F11" s="116">
        <f>'RRP 2.3'!G45</f>
        <v>5.2820475418532782</v>
      </c>
      <c r="G11" s="117">
        <v>0</v>
      </c>
      <c r="H11" s="116">
        <f>'RRP 2.3'!G44</f>
        <v>3.1008321843072717</v>
      </c>
      <c r="I11" s="116">
        <f t="shared" si="0"/>
        <v>-4.0158634859999989</v>
      </c>
      <c r="J11" s="68"/>
      <c r="K11" s="125" t="s">
        <v>484</v>
      </c>
      <c r="L11" s="192">
        <f>IF(ISERROR(VLOOKUP($K11,'Calc-Drivers'!$B$17:$G$27,L$42,FALSE))," ",VLOOKUP($K11,'Calc-Drivers'!$B$17:$G$27,L$42,FALSE))</f>
        <v>0.36789005177814615</v>
      </c>
      <c r="M11" s="192">
        <f>IF(ISERROR(VLOOKUP($K11,'Calc-Drivers'!$B$17:$G$27,M$42,FALSE))," ",VLOOKUP($K11,'Calc-Drivers'!$B$17:$G$27,M$42,FALSE))</f>
        <v>0.13338533416215667</v>
      </c>
      <c r="N11" s="192">
        <f>IF(ISERROR(VLOOKUP($K11,'Calc-Drivers'!$B$17:$G$27,N$42,FALSE))," ",VLOOKUP($K11,'Calc-Drivers'!$B$17:$G$27,N$42,FALSE))</f>
        <v>3.585234419627923E-2</v>
      </c>
      <c r="O11" s="192">
        <f>IF(ISERROR(VLOOKUP($K11,'Calc-Drivers'!$B$17:$G$27,O$42,FALSE))," ",VLOOKUP($K11,'Calc-Drivers'!$B$17:$G$27,O$42,FALSE))</f>
        <v>0.22633212737579628</v>
      </c>
      <c r="P11" s="192">
        <f>IF(ISERROR(VLOOKUP($K11,'Calc-Drivers'!$B$17:$G$27,P$42,FALSE))," ",VLOOKUP($K11,'Calc-Drivers'!$B$17:$G$27,P$42,FALSE))</f>
        <v>0.23654014248762154</v>
      </c>
      <c r="Q11" s="130"/>
      <c r="R11" s="70"/>
      <c r="S11" s="127">
        <f t="shared" si="1"/>
        <v>-1.477396225798506</v>
      </c>
      <c r="T11" s="127">
        <f t="shared" si="2"/>
        <v>-0.53565729302971321</v>
      </c>
      <c r="U11" s="127">
        <f t="shared" si="3"/>
        <v>-0.14397811994534174</v>
      </c>
      <c r="V11" s="124">
        <f t="shared" si="4"/>
        <v>-0.90891892603716107</v>
      </c>
      <c r="W11" s="124">
        <f t="shared" si="4"/>
        <v>-0.94991292118927628</v>
      </c>
      <c r="X11" s="72"/>
      <c r="Y11" s="66"/>
      <c r="Z11" s="127">
        <f t="shared" si="5"/>
        <v>-0.93613487195905654</v>
      </c>
      <c r="AA11" s="127">
        <f t="shared" si="6"/>
        <v>4.7463902488235652</v>
      </c>
      <c r="AB11" s="127">
        <f t="shared" si="7"/>
        <v>-0.14397811994534174</v>
      </c>
      <c r="AC11" s="124">
        <f t="shared" si="8"/>
        <v>0.60730485880242591</v>
      </c>
      <c r="AD11" s="124">
        <f t="shared" si="9"/>
        <v>0.63469547827840844</v>
      </c>
      <c r="AE11" s="72"/>
      <c r="AF11" s="72"/>
      <c r="AG11" s="194">
        <f>IF(ISERROR(Z11*100000000/'Calc-Units'!$E$21)," ",Z11*100000000/'Calc-Units'!$E$21)</f>
        <v>-3.5388070021373013E-3</v>
      </c>
      <c r="AH11" s="194">
        <f>IF(ISERROR(AA11*100000000/'Calc-Units'!$D$21)," ",AA11*100000000/'Calc-Units'!$D$21)</f>
        <v>1.8350650697465293E-2</v>
      </c>
      <c r="AI11" s="194">
        <f>IF(ISERROR(AB11*100000000/'Calc-Units'!$C$21)," ",AB11*100000000/'Calc-Units'!$C$21)</f>
        <v>-8.4276586247565989E-4</v>
      </c>
      <c r="AJ11" s="195">
        <f>IF(ISERROR(AC11*100000000/'Calc-Units'!$C$21)," ",AC11*100000000/'Calc-Units'!$C$21)</f>
        <v>3.5548165464904351E-3</v>
      </c>
      <c r="AK11" s="74"/>
      <c r="AL11" s="196">
        <v>0.23499999999999999</v>
      </c>
      <c r="AM11" s="116">
        <f t="shared" si="10"/>
        <v>1.1534452345899999</v>
      </c>
      <c r="AN11" s="197">
        <f t="shared" si="11"/>
        <v>3.7548323594100004</v>
      </c>
      <c r="AO11" s="68"/>
      <c r="AP11" s="68"/>
      <c r="AQ11" s="126">
        <f t="shared" si="12"/>
        <v>-0.71614317704867825</v>
      </c>
      <c r="AR11" s="126">
        <f t="shared" si="13"/>
        <v>3.6309885403500273</v>
      </c>
      <c r="AS11" s="126">
        <f t="shared" si="14"/>
        <v>-0.11014326175818644</v>
      </c>
      <c r="AT11" s="122">
        <f t="shared" si="15"/>
        <v>0.46458821698385583</v>
      </c>
      <c r="AU11" s="122">
        <f t="shared" si="16"/>
        <v>0.48554204088298247</v>
      </c>
      <c r="AV11" s="72"/>
      <c r="AW11" s="74"/>
      <c r="AX11" s="221">
        <f>IF(ISERROR(AQ11*100000000/'Calc-Units'!$E$21)," ",AQ11*100000000/'Calc-Units'!$E$21)</f>
        <v>-2.7071873566350355E-3</v>
      </c>
      <c r="AY11" s="221">
        <f>IF(ISERROR(AR11*100000000/'Calc-Units'!$D$21)," ",AR11*100000000/'Calc-Units'!$D$21)</f>
        <v>1.4038247783560949E-2</v>
      </c>
      <c r="AZ11" s="221">
        <f>IF(ISERROR(AS11*100000000/'Calc-Units'!$C$21)," ",AS11*100000000/'Calc-Units'!$C$21)</f>
        <v>-6.447158847938799E-4</v>
      </c>
      <c r="BA11" s="222">
        <f>IF(ISERROR(AT11*100000000/'Calc-Units'!$C$21)," ",AT11*100000000/'Calc-Units'!$C$21)</f>
        <v>2.7194346580651828E-3</v>
      </c>
      <c r="BC11" s="77"/>
      <c r="BD11" s="66"/>
    </row>
    <row r="12" spans="1:56" s="80" customFormat="1" ht="12.75" customHeight="1">
      <c r="A12" s="81"/>
      <c r="B12" s="2260" t="s">
        <v>71</v>
      </c>
      <c r="C12" s="104" t="s">
        <v>59</v>
      </c>
      <c r="D12" s="108">
        <f>'RRP 1.3'!J$12</f>
        <v>0.77486938446319986</v>
      </c>
      <c r="E12" s="108">
        <v>0</v>
      </c>
      <c r="F12" s="108">
        <v>0</v>
      </c>
      <c r="G12" s="108">
        <v>0</v>
      </c>
      <c r="H12" s="108">
        <v>0</v>
      </c>
      <c r="I12" s="108">
        <f t="shared" si="0"/>
        <v>0.77486938446319986</v>
      </c>
      <c r="J12" s="76"/>
      <c r="K12" s="108" t="s">
        <v>484</v>
      </c>
      <c r="L12" s="118">
        <f>IF(ISERROR(VLOOKUP($K12,'Calc-Drivers'!$B$17:$G$27,L$42,FALSE))," ",VLOOKUP($K12,'Calc-Drivers'!$B$17:$G$27,L$42,FALSE))</f>
        <v>0.36789005177814615</v>
      </c>
      <c r="M12" s="118">
        <f>IF(ISERROR(VLOOKUP($K12,'Calc-Drivers'!$B$17:$G$27,M$42,FALSE))," ",VLOOKUP($K12,'Calc-Drivers'!$B$17:$G$27,M$42,FALSE))</f>
        <v>0.13338533416215667</v>
      </c>
      <c r="N12" s="118">
        <f>IF(ISERROR(VLOOKUP($K12,'Calc-Drivers'!$B$17:$G$27,N$42,FALSE))," ",VLOOKUP($K12,'Calc-Drivers'!$B$17:$G$27,N$42,FALSE))</f>
        <v>3.585234419627923E-2</v>
      </c>
      <c r="O12" s="118">
        <f>IF(ISERROR(VLOOKUP($K12,'Calc-Drivers'!$B$17:$G$27,O$42,FALSE))," ",VLOOKUP($K12,'Calc-Drivers'!$B$17:$G$27,O$42,FALSE))</f>
        <v>0.22633212737579628</v>
      </c>
      <c r="P12" s="118">
        <f>IF(ISERROR(VLOOKUP($K12,'Calc-Drivers'!$B$17:$G$27,P$42,FALSE))," ",VLOOKUP($K12,'Calc-Drivers'!$B$17:$G$27,P$42,FALSE))</f>
        <v>0.23654014248762154</v>
      </c>
      <c r="Q12" s="130"/>
      <c r="R12" s="70"/>
      <c r="S12" s="71">
        <f t="shared" si="1"/>
        <v>0.28506673797146681</v>
      </c>
      <c r="T12" s="71">
        <f t="shared" si="2"/>
        <v>0.10335621177864857</v>
      </c>
      <c r="U12" s="71">
        <f t="shared" si="3"/>
        <v>2.7780883878933665E-2</v>
      </c>
      <c r="V12" s="123">
        <f t="shared" si="4"/>
        <v>0.1753778362239298</v>
      </c>
      <c r="W12" s="123">
        <f t="shared" si="4"/>
        <v>0.18328771461022089</v>
      </c>
      <c r="X12" s="72"/>
      <c r="Y12" s="77"/>
      <c r="Z12" s="126">
        <f t="shared" si="5"/>
        <v>0.28506673797146681</v>
      </c>
      <c r="AA12" s="126">
        <f t="shared" si="6"/>
        <v>0.10335621177864857</v>
      </c>
      <c r="AB12" s="126">
        <f t="shared" si="7"/>
        <v>2.7780883878933665E-2</v>
      </c>
      <c r="AC12" s="122">
        <f t="shared" si="8"/>
        <v>0.1753778362239298</v>
      </c>
      <c r="AD12" s="122">
        <f t="shared" si="9"/>
        <v>0.18328771461022089</v>
      </c>
      <c r="AE12" s="72"/>
      <c r="AF12" s="78"/>
      <c r="AG12" s="221">
        <f>IF(ISERROR(Z12*100000000/'Calc-Units'!$E$21)," ",Z12*100000000/'Calc-Units'!$E$21)</f>
        <v>1.0776184058807153E-3</v>
      </c>
      <c r="AH12" s="221">
        <f>IF(ISERROR(AA12*100000000/'Calc-Units'!$D$21)," ",AA12*100000000/'Calc-Units'!$D$21)</f>
        <v>3.9959919861906222E-4</v>
      </c>
      <c r="AI12" s="221">
        <f>IF(ISERROR(AB12*100000000/'Calc-Units'!$C$21)," ",AB12*100000000/'Calc-Units'!$C$21)</f>
        <v>1.6261346218059979E-4</v>
      </c>
      <c r="AJ12" s="222">
        <f>IF(ISERROR(AC12*100000000/'Calc-Units'!$C$21)," ",AC12*100000000/'Calc-Units'!$C$21)</f>
        <v>1.0265619071876011E-3</v>
      </c>
      <c r="AK12" s="79"/>
      <c r="AL12" s="223">
        <v>0.52569999999999995</v>
      </c>
      <c r="AM12" s="107">
        <f t="shared" si="10"/>
        <v>0.4073488354123041</v>
      </c>
      <c r="AN12" s="218">
        <f t="shared" si="11"/>
        <v>0.36752054905089576</v>
      </c>
      <c r="AO12" s="68"/>
      <c r="AP12" s="68"/>
      <c r="AQ12" s="71">
        <f t="shared" si="12"/>
        <v>0.13520715381986673</v>
      </c>
      <c r="AR12" s="71">
        <f t="shared" si="13"/>
        <v>4.902185124661302E-2</v>
      </c>
      <c r="AS12" s="71">
        <f t="shared" si="14"/>
        <v>1.3176473223778238E-2</v>
      </c>
      <c r="AT12" s="123">
        <f t="shared" si="15"/>
        <v>8.3181707721009912E-2</v>
      </c>
      <c r="AU12" s="123">
        <f t="shared" si="16"/>
        <v>8.6933363039627773E-2</v>
      </c>
      <c r="AV12" s="72"/>
      <c r="AW12" s="79"/>
      <c r="AX12" s="73">
        <f>IF(ISERROR(AQ12*100000000/'Calc-Units'!$E$21)," ",AQ12*100000000/'Calc-Units'!$E$21)</f>
        <v>5.1111440990922333E-4</v>
      </c>
      <c r="AY12" s="73">
        <f>IF(ISERROR(AR12*100000000/'Calc-Units'!$D$21)," ",AR12*100000000/'Calc-Units'!$D$21)</f>
        <v>1.8952989990502124E-4</v>
      </c>
      <c r="AZ12" s="73">
        <f>IF(ISERROR(AS12*100000000/'Calc-Units'!$C$21)," ",AS12*100000000/'Calc-Units'!$C$21)</f>
        <v>7.712756511225847E-5</v>
      </c>
      <c r="BA12" s="193">
        <f>IF(ISERROR(AT12*100000000/'Calc-Units'!$C$21)," ",AT12*100000000/'Calc-Units'!$C$21)</f>
        <v>4.8689831257907936E-4</v>
      </c>
      <c r="BC12" s="77"/>
      <c r="BD12" s="77"/>
    </row>
    <row r="13" spans="1:56" s="80" customFormat="1">
      <c r="A13" s="81"/>
      <c r="B13" s="2261"/>
      <c r="C13" s="104" t="s">
        <v>60</v>
      </c>
      <c r="D13" s="108">
        <f>'RRP 1.3'!K$12</f>
        <v>5.6235967952637829</v>
      </c>
      <c r="E13" s="108">
        <v>0</v>
      </c>
      <c r="F13" s="108">
        <v>0</v>
      </c>
      <c r="G13" s="108">
        <v>0</v>
      </c>
      <c r="H13" s="108">
        <v>0</v>
      </c>
      <c r="I13" s="108">
        <f t="shared" si="0"/>
        <v>5.6235967952637829</v>
      </c>
      <c r="J13" s="76"/>
      <c r="K13" s="108" t="s">
        <v>484</v>
      </c>
      <c r="L13" s="118">
        <f>IF(ISERROR(VLOOKUP($K13,'Calc-Drivers'!$B$17:$G$27,L$42,FALSE))," ",VLOOKUP($K13,'Calc-Drivers'!$B$17:$G$27,L$42,FALSE))</f>
        <v>0.36789005177814615</v>
      </c>
      <c r="M13" s="118">
        <f>IF(ISERROR(VLOOKUP($K13,'Calc-Drivers'!$B$17:$G$27,M$42,FALSE))," ",VLOOKUP($K13,'Calc-Drivers'!$B$17:$G$27,M$42,FALSE))</f>
        <v>0.13338533416215667</v>
      </c>
      <c r="N13" s="118">
        <f>IF(ISERROR(VLOOKUP($K13,'Calc-Drivers'!$B$17:$G$27,N$42,FALSE))," ",VLOOKUP($K13,'Calc-Drivers'!$B$17:$G$27,N$42,FALSE))</f>
        <v>3.585234419627923E-2</v>
      </c>
      <c r="O13" s="118">
        <f>IF(ISERROR(VLOOKUP($K13,'Calc-Drivers'!$B$17:$G$27,O$42,FALSE))," ",VLOOKUP($K13,'Calc-Drivers'!$B$17:$G$27,O$42,FALSE))</f>
        <v>0.22633212737579628</v>
      </c>
      <c r="P13" s="118">
        <f>IF(ISERROR(VLOOKUP($K13,'Calc-Drivers'!$B$17:$G$27,P$42,FALSE))," ",VLOOKUP($K13,'Calc-Drivers'!$B$17:$G$27,P$42,FALSE))</f>
        <v>0.23654014248762154</v>
      </c>
      <c r="Q13" s="130"/>
      <c r="R13" s="70"/>
      <c r="S13" s="71">
        <f t="shared" si="1"/>
        <v>2.0688653161890098</v>
      </c>
      <c r="T13" s="71">
        <f t="shared" si="2"/>
        <v>0.75010533772949306</v>
      </c>
      <c r="U13" s="71">
        <f t="shared" si="3"/>
        <v>0.20161912792488995</v>
      </c>
      <c r="V13" s="123">
        <f t="shared" si="4"/>
        <v>1.2728006261757623</v>
      </c>
      <c r="W13" s="123">
        <f t="shared" si="4"/>
        <v>1.330206387244627</v>
      </c>
      <c r="X13" s="72"/>
      <c r="Y13" s="77"/>
      <c r="Z13" s="71">
        <f t="shared" si="5"/>
        <v>2.0688653161890098</v>
      </c>
      <c r="AA13" s="71">
        <f t="shared" si="6"/>
        <v>0.75010533772949306</v>
      </c>
      <c r="AB13" s="71">
        <f t="shared" si="7"/>
        <v>0.20161912792488995</v>
      </c>
      <c r="AC13" s="123">
        <f t="shared" si="8"/>
        <v>1.2728006261757623</v>
      </c>
      <c r="AD13" s="123">
        <f t="shared" si="9"/>
        <v>1.330206387244627</v>
      </c>
      <c r="AE13" s="72"/>
      <c r="AF13" s="78"/>
      <c r="AG13" s="73">
        <f>IF(ISERROR(Z13*100000000/'Calc-Units'!$E$21)," ",Z13*100000000/'Calc-Units'!$E$21)</f>
        <v>7.8207908782281527E-3</v>
      </c>
      <c r="AH13" s="73">
        <f>IF(ISERROR(AA13*100000000/'Calc-Units'!$D$21)," ",AA13*100000000/'Calc-Units'!$D$21)</f>
        <v>2.9000820238896117E-3</v>
      </c>
      <c r="AI13" s="73">
        <f>IF(ISERROR(AB13*100000000/'Calc-Units'!$C$21)," ",AB13*100000000/'Calc-Units'!$C$21)</f>
        <v>1.1801634741564621E-3</v>
      </c>
      <c r="AJ13" s="193">
        <f>IF(ISERROR(AC13*100000000/'Calc-Units'!$C$21)," ",AC13*100000000/'Calc-Units'!$C$21)</f>
        <v>7.4502495093406833E-3</v>
      </c>
      <c r="AK13" s="79"/>
      <c r="AL13" s="75">
        <v>0.52569999999999995</v>
      </c>
      <c r="AM13" s="106">
        <f t="shared" si="10"/>
        <v>2.9563248352701703</v>
      </c>
      <c r="AN13" s="69">
        <f t="shared" si="11"/>
        <v>2.6672719599936126</v>
      </c>
      <c r="AO13" s="68"/>
      <c r="AP13" s="68"/>
      <c r="AQ13" s="71">
        <f t="shared" si="12"/>
        <v>0.98126281946844751</v>
      </c>
      <c r="AR13" s="71">
        <f t="shared" si="13"/>
        <v>0.35577496168509859</v>
      </c>
      <c r="AS13" s="71">
        <f t="shared" si="14"/>
        <v>9.562795237477531E-2</v>
      </c>
      <c r="AT13" s="123">
        <f t="shared" si="15"/>
        <v>0.60368933699516414</v>
      </c>
      <c r="AU13" s="123">
        <f t="shared" si="16"/>
        <v>0.6309168894701267</v>
      </c>
      <c r="AV13" s="72"/>
      <c r="AW13" s="79"/>
      <c r="AX13" s="73">
        <f>IF(ISERROR(AQ13*100000000/'Calc-Units'!$E$21)," ",AQ13*100000000/'Calc-Units'!$E$21)</f>
        <v>3.7094011135436139E-3</v>
      </c>
      <c r="AY13" s="73">
        <f>IF(ISERROR(AR13*100000000/'Calc-Units'!$D$21)," ",AR13*100000000/'Calc-Units'!$D$21)</f>
        <v>1.3755089039308428E-3</v>
      </c>
      <c r="AZ13" s="73">
        <f>IF(ISERROR(AS13*100000000/'Calc-Units'!$C$21)," ",AS13*100000000/'Calc-Units'!$C$21)</f>
        <v>5.5975153579240994E-4</v>
      </c>
      <c r="BA13" s="193">
        <f>IF(ISERROR(AT13*100000000/'Calc-Units'!$C$21)," ",AT13*100000000/'Calc-Units'!$C$21)</f>
        <v>3.5336533422802865E-3</v>
      </c>
      <c r="BC13" s="77"/>
      <c r="BD13" s="77"/>
    </row>
    <row r="14" spans="1:56" s="80" customFormat="1">
      <c r="A14" s="81"/>
      <c r="B14" s="2261"/>
      <c r="C14" s="104" t="s">
        <v>61</v>
      </c>
      <c r="D14" s="108">
        <f>'RRP 1.3'!L$12</f>
        <v>4.1962810579107463</v>
      </c>
      <c r="E14" s="108">
        <v>0</v>
      </c>
      <c r="F14" s="108">
        <v>0</v>
      </c>
      <c r="G14" s="108">
        <v>0</v>
      </c>
      <c r="H14" s="108">
        <v>0</v>
      </c>
      <c r="I14" s="108">
        <f t="shared" si="0"/>
        <v>4.1962810579107463</v>
      </c>
      <c r="J14" s="76"/>
      <c r="K14" s="108" t="s">
        <v>484</v>
      </c>
      <c r="L14" s="118">
        <f>IF(ISERROR(VLOOKUP($K14,'Calc-Drivers'!$B$17:$G$27,L$42,FALSE))," ",VLOOKUP($K14,'Calc-Drivers'!$B$17:$G$27,L$42,FALSE))</f>
        <v>0.36789005177814615</v>
      </c>
      <c r="M14" s="118">
        <f>IF(ISERROR(VLOOKUP($K14,'Calc-Drivers'!$B$17:$G$27,M$42,FALSE))," ",VLOOKUP($K14,'Calc-Drivers'!$B$17:$G$27,M$42,FALSE))</f>
        <v>0.13338533416215667</v>
      </c>
      <c r="N14" s="118">
        <f>IF(ISERROR(VLOOKUP($K14,'Calc-Drivers'!$B$17:$G$27,N$42,FALSE))," ",VLOOKUP($K14,'Calc-Drivers'!$B$17:$G$27,N$42,FALSE))</f>
        <v>3.585234419627923E-2</v>
      </c>
      <c r="O14" s="118">
        <f>IF(ISERROR(VLOOKUP($K14,'Calc-Drivers'!$B$17:$G$27,O$42,FALSE))," ",VLOOKUP($K14,'Calc-Drivers'!$B$17:$G$27,O$42,FALSE))</f>
        <v>0.22633212737579628</v>
      </c>
      <c r="P14" s="118">
        <f>IF(ISERROR(VLOOKUP($K14,'Calc-Drivers'!$B$17:$G$27,P$42,FALSE))," ",VLOOKUP($K14,'Calc-Drivers'!$B$17:$G$27,P$42,FALSE))</f>
        <v>0.23654014248762154</v>
      </c>
      <c r="Q14" s="130"/>
      <c r="R14" s="70"/>
      <c r="S14" s="71">
        <f t="shared" si="1"/>
        <v>1.5437700556704383</v>
      </c>
      <c r="T14" s="71">
        <f t="shared" si="2"/>
        <v>0.55972235114775326</v>
      </c>
      <c r="U14" s="71">
        <f t="shared" si="3"/>
        <v>0.15044651283254282</v>
      </c>
      <c r="V14" s="123">
        <f t="shared" si="4"/>
        <v>0.94975321890369624</v>
      </c>
      <c r="W14" s="123">
        <f t="shared" si="4"/>
        <v>0.99258891935631521</v>
      </c>
      <c r="X14" s="72"/>
      <c r="Y14" s="77"/>
      <c r="Z14" s="71">
        <f t="shared" si="5"/>
        <v>1.5437700556704383</v>
      </c>
      <c r="AA14" s="71">
        <f t="shared" si="6"/>
        <v>0.55972235114775326</v>
      </c>
      <c r="AB14" s="71">
        <f t="shared" si="7"/>
        <v>0.15044651283254282</v>
      </c>
      <c r="AC14" s="123">
        <f t="shared" si="8"/>
        <v>0.94975321890369624</v>
      </c>
      <c r="AD14" s="123">
        <f t="shared" si="9"/>
        <v>0.99258891935631521</v>
      </c>
      <c r="AE14" s="72"/>
      <c r="AF14" s="78"/>
      <c r="AG14" s="73">
        <f>IF(ISERROR(Z14*100000000/'Calc-Units'!$E$21)," ",Z14*100000000/'Calc-Units'!$E$21)</f>
        <v>5.8358089697735102E-3</v>
      </c>
      <c r="AH14" s="73">
        <f>IF(ISERROR(AA14*100000000/'Calc-Units'!$D$21)," ",AA14*100000000/'Calc-Units'!$D$21)</f>
        <v>2.1640170350556947E-3</v>
      </c>
      <c r="AI14" s="73">
        <f>IF(ISERROR(AB14*100000000/'Calc-Units'!$C$21)," ",AB14*100000000/'Calc-Units'!$C$21)</f>
        <v>8.8062814816520032E-4</v>
      </c>
      <c r="AJ14" s="193">
        <f>IF(ISERROR(AC14*100000000/'Calc-Units'!$C$21)," ",AC14*100000000/'Calc-Units'!$C$21)</f>
        <v>5.5593140886425673E-3</v>
      </c>
      <c r="AK14" s="79"/>
      <c r="AL14" s="75">
        <v>0.52569999999999995</v>
      </c>
      <c r="AM14" s="106">
        <f t="shared" si="10"/>
        <v>2.205984952143679</v>
      </c>
      <c r="AN14" s="69">
        <f t="shared" si="11"/>
        <v>1.9902961057670672</v>
      </c>
      <c r="AO14" s="68"/>
      <c r="AP14" s="68"/>
      <c r="AQ14" s="71">
        <f t="shared" si="12"/>
        <v>0.73221013740448904</v>
      </c>
      <c r="AR14" s="71">
        <f t="shared" si="13"/>
        <v>0.26547631114937942</v>
      </c>
      <c r="AS14" s="71">
        <f t="shared" si="14"/>
        <v>7.1356781036475067E-2</v>
      </c>
      <c r="AT14" s="123">
        <f t="shared" si="15"/>
        <v>0.45046795172602316</v>
      </c>
      <c r="AU14" s="123">
        <f t="shared" si="16"/>
        <v>0.47078492445070036</v>
      </c>
      <c r="AV14" s="72"/>
      <c r="AW14" s="79"/>
      <c r="AX14" s="73">
        <f>IF(ISERROR(AQ14*100000000/'Calc-Units'!$E$21)," ",AQ14*100000000/'Calc-Units'!$E$21)</f>
        <v>2.7679241943635766E-3</v>
      </c>
      <c r="AY14" s="73">
        <f>IF(ISERROR(AR14*100000000/'Calc-Units'!$D$21)," ",AR14*100000000/'Calc-Units'!$D$21)</f>
        <v>1.0263932797269161E-3</v>
      </c>
      <c r="AZ14" s="73">
        <f>IF(ISERROR(AS14*100000000/'Calc-Units'!$C$21)," ",AS14*100000000/'Calc-Units'!$C$21)</f>
        <v>4.1768193067475454E-4</v>
      </c>
      <c r="BA14" s="193">
        <f>IF(ISERROR(AT14*100000000/'Calc-Units'!$C$21)," ",AT14*100000000/'Calc-Units'!$C$21)</f>
        <v>2.6367826722431703E-3</v>
      </c>
      <c r="BC14" s="77"/>
      <c r="BD14" s="77"/>
    </row>
    <row r="15" spans="1:56" s="80" customFormat="1">
      <c r="A15" s="81"/>
      <c r="B15" s="2261"/>
      <c r="C15" s="104" t="s">
        <v>62</v>
      </c>
      <c r="D15" s="108">
        <f>'RRP 1.3'!M$12</f>
        <v>23.39222530593641</v>
      </c>
      <c r="E15" s="108">
        <v>0</v>
      </c>
      <c r="F15" s="108">
        <v>0</v>
      </c>
      <c r="G15" s="108">
        <v>0</v>
      </c>
      <c r="H15" s="108">
        <v>0</v>
      </c>
      <c r="I15" s="108">
        <f t="shared" si="0"/>
        <v>23.39222530593641</v>
      </c>
      <c r="J15" s="76"/>
      <c r="K15" s="108" t="s">
        <v>484</v>
      </c>
      <c r="L15" s="118">
        <f>IF(ISERROR(VLOOKUP($K15,'Calc-Drivers'!$B$17:$G$27,L$42,FALSE))," ",VLOOKUP($K15,'Calc-Drivers'!$B$17:$G$27,L$42,FALSE))</f>
        <v>0.36789005177814615</v>
      </c>
      <c r="M15" s="118">
        <f>IF(ISERROR(VLOOKUP($K15,'Calc-Drivers'!$B$17:$G$27,M$42,FALSE))," ",VLOOKUP($K15,'Calc-Drivers'!$B$17:$G$27,M$42,FALSE))</f>
        <v>0.13338533416215667</v>
      </c>
      <c r="N15" s="118">
        <f>IF(ISERROR(VLOOKUP($K15,'Calc-Drivers'!$B$17:$G$27,N$42,FALSE))," ",VLOOKUP($K15,'Calc-Drivers'!$B$17:$G$27,N$42,FALSE))</f>
        <v>3.585234419627923E-2</v>
      </c>
      <c r="O15" s="118">
        <f>IF(ISERROR(VLOOKUP($K15,'Calc-Drivers'!$B$17:$G$27,O$42,FALSE))," ",VLOOKUP($K15,'Calc-Drivers'!$B$17:$G$27,O$42,FALSE))</f>
        <v>0.22633212737579628</v>
      </c>
      <c r="P15" s="118">
        <f>IF(ISERROR(VLOOKUP($K15,'Calc-Drivers'!$B$17:$G$27,P$42,FALSE))," ",VLOOKUP($K15,'Calc-Drivers'!$B$17:$G$27,P$42,FALSE))</f>
        <v>0.23654014248762154</v>
      </c>
      <c r="Q15" s="130"/>
      <c r="R15" s="70"/>
      <c r="S15" s="71">
        <f t="shared" si="1"/>
        <v>8.6057669790070062</v>
      </c>
      <c r="T15" s="71">
        <f t="shared" si="2"/>
        <v>3.1201797892287857</v>
      </c>
      <c r="U15" s="71">
        <f t="shared" si="3"/>
        <v>0.83866611318534545</v>
      </c>
      <c r="V15" s="123">
        <f t="shared" si="4"/>
        <v>5.2944121175465249</v>
      </c>
      <c r="W15" s="123">
        <f t="shared" si="4"/>
        <v>5.5332003069687445</v>
      </c>
      <c r="X15" s="72"/>
      <c r="Y15" s="77"/>
      <c r="Z15" s="71">
        <f t="shared" si="5"/>
        <v>8.6057669790070062</v>
      </c>
      <c r="AA15" s="71">
        <f t="shared" si="6"/>
        <v>3.1201797892287857</v>
      </c>
      <c r="AB15" s="71">
        <f t="shared" si="7"/>
        <v>0.83866611318534545</v>
      </c>
      <c r="AC15" s="123">
        <f t="shared" si="8"/>
        <v>5.2944121175465249</v>
      </c>
      <c r="AD15" s="123">
        <f t="shared" si="9"/>
        <v>5.5332003069687445</v>
      </c>
      <c r="AE15" s="72"/>
      <c r="AF15" s="78"/>
      <c r="AG15" s="73">
        <f>IF(ISERROR(Z15*100000000/'Calc-Units'!$E$21)," ",Z15*100000000/'Calc-Units'!$E$21)</f>
        <v>3.2531795744709664E-2</v>
      </c>
      <c r="AH15" s="73">
        <f>IF(ISERROR(AA15*100000000/'Calc-Units'!$D$21)," ",AA15*100000000/'Calc-Units'!$D$21)</f>
        <v>1.2063342123968855E-2</v>
      </c>
      <c r="AI15" s="73">
        <f>IF(ISERROR(AB15*100000000/'Calc-Units'!$C$21)," ",AB15*100000000/'Calc-Units'!$C$21)</f>
        <v>4.9090734791930775E-3</v>
      </c>
      <c r="AJ15" s="193">
        <f>IF(ISERROR(AC15*100000000/'Calc-Units'!$C$21)," ",AC15*100000000/'Calc-Units'!$C$21)</f>
        <v>3.0990471303831216E-2</v>
      </c>
      <c r="AK15" s="79"/>
      <c r="AL15" s="75">
        <v>0.52569999999999995</v>
      </c>
      <c r="AM15" s="106">
        <f t="shared" si="10"/>
        <v>12.297292843330769</v>
      </c>
      <c r="AN15" s="69">
        <f t="shared" si="11"/>
        <v>11.094932462605641</v>
      </c>
      <c r="AO15" s="68"/>
      <c r="AP15" s="68"/>
      <c r="AQ15" s="71">
        <f t="shared" si="12"/>
        <v>4.0817152781430233</v>
      </c>
      <c r="AR15" s="71">
        <f t="shared" si="13"/>
        <v>1.4799012740312132</v>
      </c>
      <c r="AS15" s="71">
        <f t="shared" si="14"/>
        <v>0.39777933748380939</v>
      </c>
      <c r="AT15" s="123">
        <f t="shared" si="15"/>
        <v>2.511139667352317</v>
      </c>
      <c r="AU15" s="123">
        <f t="shared" si="16"/>
        <v>2.6243969055952761</v>
      </c>
      <c r="AV15" s="72"/>
      <c r="AW15" s="79"/>
      <c r="AX15" s="73">
        <f>IF(ISERROR(AQ15*100000000/'Calc-Units'!$E$21)," ",AQ15*100000000/'Calc-Units'!$E$21)</f>
        <v>1.5429830721715795E-2</v>
      </c>
      <c r="AY15" s="73">
        <f>IF(ISERROR(AR15*100000000/'Calc-Units'!$D$21)," ",AR15*100000000/'Calc-Units'!$D$21)</f>
        <v>5.7216431693984287E-3</v>
      </c>
      <c r="AZ15" s="73">
        <f>IF(ISERROR(AS15*100000000/'Calc-Units'!$C$21)," ",AS15*100000000/'Calc-Units'!$C$21)</f>
        <v>2.3283735511812772E-3</v>
      </c>
      <c r="BA15" s="193">
        <f>IF(ISERROR(AT15*100000000/'Calc-Units'!$C$21)," ",AT15*100000000/'Calc-Units'!$C$21)</f>
        <v>1.4698780539407147E-2</v>
      </c>
      <c r="BC15" s="77"/>
      <c r="BD15" s="77"/>
    </row>
    <row r="16" spans="1:56" s="80" customFormat="1">
      <c r="A16" s="81"/>
      <c r="B16" s="2261"/>
      <c r="C16" s="104" t="s">
        <v>63</v>
      </c>
      <c r="D16" s="108">
        <f>'RRP 1.3'!N$12</f>
        <v>3.9932671215815496</v>
      </c>
      <c r="E16" s="108">
        <v>0</v>
      </c>
      <c r="F16" s="108">
        <v>0</v>
      </c>
      <c r="G16" s="108">
        <v>0</v>
      </c>
      <c r="H16" s="108">
        <v>0</v>
      </c>
      <c r="I16" s="108">
        <f t="shared" si="0"/>
        <v>3.9932671215815496</v>
      </c>
      <c r="J16" s="76"/>
      <c r="K16" s="108" t="s">
        <v>484</v>
      </c>
      <c r="L16" s="118">
        <f>IF(ISERROR(VLOOKUP($K16,'Calc-Drivers'!$B$17:$G$27,L$42,FALSE))," ",VLOOKUP($K16,'Calc-Drivers'!$B$17:$G$27,L$42,FALSE))</f>
        <v>0.36789005177814615</v>
      </c>
      <c r="M16" s="118">
        <f>IF(ISERROR(VLOOKUP($K16,'Calc-Drivers'!$B$17:$G$27,M$42,FALSE))," ",VLOOKUP($K16,'Calc-Drivers'!$B$17:$G$27,M$42,FALSE))</f>
        <v>0.13338533416215667</v>
      </c>
      <c r="N16" s="118">
        <f>IF(ISERROR(VLOOKUP($K16,'Calc-Drivers'!$B$17:$G$27,N$42,FALSE))," ",VLOOKUP($K16,'Calc-Drivers'!$B$17:$G$27,N$42,FALSE))</f>
        <v>3.585234419627923E-2</v>
      </c>
      <c r="O16" s="118">
        <f>IF(ISERROR(VLOOKUP($K16,'Calc-Drivers'!$B$17:$G$27,O$42,FALSE))," ",VLOOKUP($K16,'Calc-Drivers'!$B$17:$G$27,O$42,FALSE))</f>
        <v>0.22633212737579628</v>
      </c>
      <c r="P16" s="118">
        <f>IF(ISERROR(VLOOKUP($K16,'Calc-Drivers'!$B$17:$G$27,P$42,FALSE))," ",VLOOKUP($K16,'Calc-Drivers'!$B$17:$G$27,P$42,FALSE))</f>
        <v>0.23654014248762154</v>
      </c>
      <c r="Q16" s="130"/>
      <c r="R16" s="70"/>
      <c r="S16" s="71">
        <f t="shared" si="1"/>
        <v>1.469083248122605</v>
      </c>
      <c r="T16" s="71">
        <f t="shared" si="2"/>
        <v>0.53264326941090856</v>
      </c>
      <c r="U16" s="71">
        <f t="shared" si="3"/>
        <v>0.14316798731062694</v>
      </c>
      <c r="V16" s="123">
        <f t="shared" si="4"/>
        <v>0.9038046428073746</v>
      </c>
      <c r="W16" s="123">
        <f t="shared" si="4"/>
        <v>0.94456797393003411</v>
      </c>
      <c r="X16" s="72"/>
      <c r="Y16" s="77"/>
      <c r="Z16" s="71">
        <f t="shared" si="5"/>
        <v>1.469083248122605</v>
      </c>
      <c r="AA16" s="71">
        <f t="shared" si="6"/>
        <v>0.53264326941090856</v>
      </c>
      <c r="AB16" s="71">
        <f t="shared" si="7"/>
        <v>0.14316798731062694</v>
      </c>
      <c r="AC16" s="123">
        <f t="shared" si="8"/>
        <v>0.9038046428073746</v>
      </c>
      <c r="AD16" s="123">
        <f t="shared" si="9"/>
        <v>0.94456797393003411</v>
      </c>
      <c r="AE16" s="72"/>
      <c r="AF16" s="78"/>
      <c r="AG16" s="73">
        <f>IF(ISERROR(Z16*100000000/'Calc-Units'!$E$21)," ",Z16*100000000/'Calc-Units'!$E$21)</f>
        <v>5.5534755096766268E-3</v>
      </c>
      <c r="AH16" s="73">
        <f>IF(ISERROR(AA16*100000000/'Calc-Units'!$D$21)," ",AA16*100000000/'Calc-Units'!$D$21)</f>
        <v>2.0593229951410218E-3</v>
      </c>
      <c r="AI16" s="73">
        <f>IF(ISERROR(AB16*100000000/'Calc-Units'!$C$21)," ",AB16*100000000/'Calc-Units'!$C$21)</f>
        <v>8.3802380771849064E-4</v>
      </c>
      <c r="AJ16" s="193">
        <f>IF(ISERROR(AC16*100000000/'Calc-Units'!$C$21)," ",AC16*100000000/'Calc-Units'!$C$21)</f>
        <v>5.290357309806688E-3</v>
      </c>
      <c r="AK16" s="79"/>
      <c r="AL16" s="75">
        <v>0.52569999999999995</v>
      </c>
      <c r="AM16" s="106">
        <f t="shared" si="10"/>
        <v>2.0992605258154202</v>
      </c>
      <c r="AN16" s="69">
        <f t="shared" si="11"/>
        <v>1.8940065957661292</v>
      </c>
      <c r="AO16" s="68"/>
      <c r="AP16" s="68"/>
      <c r="AQ16" s="71">
        <f t="shared" si="12"/>
        <v>0.69678618458455166</v>
      </c>
      <c r="AR16" s="71">
        <f t="shared" si="13"/>
        <v>0.25263270268159393</v>
      </c>
      <c r="AS16" s="71">
        <f t="shared" si="14"/>
        <v>6.7904576381430368E-2</v>
      </c>
      <c r="AT16" s="123">
        <f t="shared" si="15"/>
        <v>0.42867454208353784</v>
      </c>
      <c r="AU16" s="123">
        <f t="shared" si="16"/>
        <v>0.44800859003501525</v>
      </c>
      <c r="AV16" s="72"/>
      <c r="AW16" s="79"/>
      <c r="AX16" s="73">
        <f>IF(ISERROR(AQ16*100000000/'Calc-Units'!$E$21)," ",AQ16*100000000/'Calc-Units'!$E$21)</f>
        <v>2.634013434239624E-3</v>
      </c>
      <c r="AY16" s="73">
        <f>IF(ISERROR(AR16*100000000/'Calc-Units'!$D$21)," ",AR16*100000000/'Calc-Units'!$D$21)</f>
        <v>9.7673689659538666E-4</v>
      </c>
      <c r="AZ16" s="73">
        <f>IF(ISERROR(AS16*100000000/'Calc-Units'!$C$21)," ",AS16*100000000/'Calc-Units'!$C$21)</f>
        <v>3.9747469200088014E-4</v>
      </c>
      <c r="BA16" s="193">
        <f>IF(ISERROR(AT16*100000000/'Calc-Units'!$C$21)," ",AT16*100000000/'Calc-Units'!$C$21)</f>
        <v>2.5092164720413122E-3</v>
      </c>
      <c r="BC16" s="77"/>
      <c r="BD16" s="77"/>
    </row>
    <row r="17" spans="1:56" s="80" customFormat="1">
      <c r="A17" s="81"/>
      <c r="B17" s="2261"/>
      <c r="C17" s="104" t="s">
        <v>64</v>
      </c>
      <c r="D17" s="108">
        <f>'RRP 1.3'!O$12</f>
        <v>1.8430952204672004</v>
      </c>
      <c r="E17" s="108">
        <v>0</v>
      </c>
      <c r="F17" s="108">
        <v>0</v>
      </c>
      <c r="G17" s="108">
        <v>0</v>
      </c>
      <c r="H17" s="108">
        <v>0</v>
      </c>
      <c r="I17" s="108">
        <f t="shared" si="0"/>
        <v>1.8430952204672004</v>
      </c>
      <c r="J17" s="76"/>
      <c r="K17" s="108" t="s">
        <v>484</v>
      </c>
      <c r="L17" s="118">
        <f>IF(ISERROR(VLOOKUP($K17,'Calc-Drivers'!$B$17:$G$27,L$42,FALSE))," ",VLOOKUP($K17,'Calc-Drivers'!$B$17:$G$27,L$42,FALSE))</f>
        <v>0.36789005177814615</v>
      </c>
      <c r="M17" s="118">
        <f>IF(ISERROR(VLOOKUP($K17,'Calc-Drivers'!$B$17:$G$27,M$42,FALSE))," ",VLOOKUP($K17,'Calc-Drivers'!$B$17:$G$27,M$42,FALSE))</f>
        <v>0.13338533416215667</v>
      </c>
      <c r="N17" s="118">
        <f>IF(ISERROR(VLOOKUP($K17,'Calc-Drivers'!$B$17:$G$27,N$42,FALSE))," ",VLOOKUP($K17,'Calc-Drivers'!$B$17:$G$27,N$42,FALSE))</f>
        <v>3.585234419627923E-2</v>
      </c>
      <c r="O17" s="118">
        <f>IF(ISERROR(VLOOKUP($K17,'Calc-Drivers'!$B$17:$G$27,O$42,FALSE))," ",VLOOKUP($K17,'Calc-Drivers'!$B$17:$G$27,O$42,FALSE))</f>
        <v>0.22633212737579628</v>
      </c>
      <c r="P17" s="118">
        <f>IF(ISERROR(VLOOKUP($K17,'Calc-Drivers'!$B$17:$G$27,P$42,FALSE))," ",VLOOKUP($K17,'Calc-Drivers'!$B$17:$G$27,P$42,FALSE))</f>
        <v>0.23654014248762154</v>
      </c>
      <c r="Q17" s="130"/>
      <c r="R17" s="70"/>
      <c r="S17" s="71">
        <f t="shared" si="1"/>
        <v>0.67805639608973212</v>
      </c>
      <c r="T17" s="71">
        <f t="shared" si="2"/>
        <v>0.24584187187469134</v>
      </c>
      <c r="U17" s="71">
        <f t="shared" si="3"/>
        <v>6.6079284230707219E-2</v>
      </c>
      <c r="V17" s="123">
        <f t="shared" si="4"/>
        <v>0.41715166220450373</v>
      </c>
      <c r="W17" s="123">
        <f t="shared" si="4"/>
        <v>0.4359660060675658</v>
      </c>
      <c r="X17" s="72"/>
      <c r="Y17" s="77"/>
      <c r="Z17" s="71">
        <f t="shared" si="5"/>
        <v>0.67805639608973212</v>
      </c>
      <c r="AA17" s="71">
        <f t="shared" si="6"/>
        <v>0.24584187187469134</v>
      </c>
      <c r="AB17" s="71">
        <f t="shared" si="7"/>
        <v>6.6079284230707219E-2</v>
      </c>
      <c r="AC17" s="123">
        <f t="shared" si="8"/>
        <v>0.41715166220450373</v>
      </c>
      <c r="AD17" s="123">
        <f t="shared" si="9"/>
        <v>0.4359660060675658</v>
      </c>
      <c r="AE17" s="72"/>
      <c r="AF17" s="78"/>
      <c r="AG17" s="73">
        <f>IF(ISERROR(Z17*100000000/'Calc-Units'!$E$21)," ",Z17*100000000/'Calc-Units'!$E$21)</f>
        <v>2.5632104883614184E-3</v>
      </c>
      <c r="AH17" s="73">
        <f>IF(ISERROR(AA17*100000000/'Calc-Units'!$D$21)," ",AA17*100000000/'Calc-Units'!$D$21)</f>
        <v>9.5048196230844222E-4</v>
      </c>
      <c r="AI17" s="73">
        <f>IF(ISERROR(AB17*100000000/'Calc-Units'!$C$21)," ",AB17*100000000/'Calc-Units'!$C$21)</f>
        <v>3.8679047196620947E-4</v>
      </c>
      <c r="AJ17" s="193">
        <f>IF(ISERROR(AC17*100000000/'Calc-Units'!$C$21)," ",AC17*100000000/'Calc-Units'!$C$21)</f>
        <v>2.4417681000029486E-3</v>
      </c>
      <c r="AK17" s="79"/>
      <c r="AL17" s="75">
        <v>0.52569999999999995</v>
      </c>
      <c r="AM17" s="106">
        <f t="shared" si="10"/>
        <v>0.96891515739960721</v>
      </c>
      <c r="AN17" s="69">
        <f t="shared" si="11"/>
        <v>0.87418006306759322</v>
      </c>
      <c r="AO17" s="68"/>
      <c r="AP17" s="68"/>
      <c r="AQ17" s="71">
        <f t="shared" si="12"/>
        <v>0.32160214866535997</v>
      </c>
      <c r="AR17" s="71">
        <f t="shared" si="13"/>
        <v>0.11660279983016611</v>
      </c>
      <c r="AS17" s="71">
        <f t="shared" si="14"/>
        <v>3.1341404510624435E-2</v>
      </c>
      <c r="AT17" s="123">
        <f t="shared" si="15"/>
        <v>0.19785503338359614</v>
      </c>
      <c r="AU17" s="123">
        <f t="shared" si="16"/>
        <v>0.2067786766778465</v>
      </c>
      <c r="AV17" s="72"/>
      <c r="AW17" s="79"/>
      <c r="AX17" s="73">
        <f>IF(ISERROR(AQ17*100000000/'Calc-Units'!$E$21)," ",AQ17*100000000/'Calc-Units'!$E$21)</f>
        <v>1.2157307346298209E-3</v>
      </c>
      <c r="AY17" s="73">
        <f>IF(ISERROR(AR17*100000000/'Calc-Units'!$D$21)," ",AR17*100000000/'Calc-Units'!$D$21)</f>
        <v>4.5081359472289419E-4</v>
      </c>
      <c r="AZ17" s="73">
        <f>IF(ISERROR(AS17*100000000/'Calc-Units'!$C$21)," ",AS17*100000000/'Calc-Units'!$C$21)</f>
        <v>1.8345472085357314E-4</v>
      </c>
      <c r="BA17" s="193">
        <f>IF(ISERROR(AT17*100000000/'Calc-Units'!$C$21)," ",AT17*100000000/'Calc-Units'!$C$21)</f>
        <v>1.1581306098313985E-3</v>
      </c>
      <c r="BC17" s="77"/>
      <c r="BD17" s="77"/>
    </row>
    <row r="18" spans="1:56" s="80" customFormat="1">
      <c r="A18" s="81"/>
      <c r="B18" s="2261"/>
      <c r="C18" s="104" t="s">
        <v>220</v>
      </c>
      <c r="D18" s="108">
        <f>'RRP 1.3'!P$12</f>
        <v>1.4394826722359997</v>
      </c>
      <c r="E18" s="108">
        <v>0</v>
      </c>
      <c r="F18" s="108">
        <v>0</v>
      </c>
      <c r="G18" s="108">
        <v>0</v>
      </c>
      <c r="H18" s="108">
        <v>0</v>
      </c>
      <c r="I18" s="108">
        <f t="shared" si="0"/>
        <v>1.4394826722359997</v>
      </c>
      <c r="J18" s="76"/>
      <c r="K18" s="108" t="s">
        <v>484</v>
      </c>
      <c r="L18" s="118">
        <f>IF(ISERROR(VLOOKUP($K18,'Calc-Drivers'!$B$17:$G$27,L$42,FALSE))," ",VLOOKUP($K18,'Calc-Drivers'!$B$17:$G$27,L$42,FALSE))</f>
        <v>0.36789005177814615</v>
      </c>
      <c r="M18" s="118">
        <f>IF(ISERROR(VLOOKUP($K18,'Calc-Drivers'!$B$17:$G$27,M$42,FALSE))," ",VLOOKUP($K18,'Calc-Drivers'!$B$17:$G$27,M$42,FALSE))</f>
        <v>0.13338533416215667</v>
      </c>
      <c r="N18" s="118">
        <f>IF(ISERROR(VLOOKUP($K18,'Calc-Drivers'!$B$17:$G$27,N$42,FALSE))," ",VLOOKUP($K18,'Calc-Drivers'!$B$17:$G$27,N$42,FALSE))</f>
        <v>3.585234419627923E-2</v>
      </c>
      <c r="O18" s="118">
        <f>IF(ISERROR(VLOOKUP($K18,'Calc-Drivers'!$B$17:$G$27,O$42,FALSE))," ",VLOOKUP($K18,'Calc-Drivers'!$B$17:$G$27,O$42,FALSE))</f>
        <v>0.22633212737579628</v>
      </c>
      <c r="P18" s="118">
        <f>IF(ISERROR(VLOOKUP($K18,'Calc-Drivers'!$B$17:$G$27,P$42,FALSE))," ",VLOOKUP($K18,'Calc-Drivers'!$B$17:$G$27,P$42,FALSE))</f>
        <v>0.23654014248762154</v>
      </c>
      <c r="Q18" s="130"/>
      <c r="R18" s="70"/>
      <c r="S18" s="71">
        <f t="shared" si="1"/>
        <v>0.52957135482264617</v>
      </c>
      <c r="T18" s="71">
        <f t="shared" si="2"/>
        <v>0.19200587725683307</v>
      </c>
      <c r="U18" s="71">
        <f t="shared" si="3"/>
        <v>5.160882822958486E-2</v>
      </c>
      <c r="V18" s="123">
        <f t="shared" si="4"/>
        <v>0.32580117552776988</v>
      </c>
      <c r="W18" s="123">
        <f t="shared" si="4"/>
        <v>0.34049543639916557</v>
      </c>
      <c r="X18" s="72"/>
      <c r="Y18" s="77"/>
      <c r="Z18" s="71">
        <f t="shared" si="5"/>
        <v>0.52957135482264617</v>
      </c>
      <c r="AA18" s="71">
        <f t="shared" si="6"/>
        <v>0.19200587725683307</v>
      </c>
      <c r="AB18" s="71">
        <f t="shared" si="7"/>
        <v>5.160882822958486E-2</v>
      </c>
      <c r="AC18" s="123">
        <f t="shared" si="8"/>
        <v>0.32580117552776988</v>
      </c>
      <c r="AD18" s="123">
        <f t="shared" si="9"/>
        <v>0.34049543639916557</v>
      </c>
      <c r="AE18" s="72"/>
      <c r="AF18" s="78"/>
      <c r="AG18" s="73">
        <f>IF(ISERROR(Z18*100000000/'Calc-Units'!$E$21)," ",Z18*100000000/'Calc-Units'!$E$21)</f>
        <v>2.001902583391512E-3</v>
      </c>
      <c r="AH18" s="73">
        <f>IF(ISERROR(AA18*100000000/'Calc-Units'!$D$21)," ",AA18*100000000/'Calc-Units'!$D$21)</f>
        <v>7.4233946234696015E-4</v>
      </c>
      <c r="AI18" s="73">
        <f>IF(ISERROR(AB18*100000000/'Calc-Units'!$C$21)," ",AB18*100000000/'Calc-Units'!$C$21)</f>
        <v>3.0208866910316588E-4</v>
      </c>
      <c r="AJ18" s="193">
        <f>IF(ISERROR(AC18*100000000/'Calc-Units'!$C$21)," ",AC18*100000000/'Calc-Units'!$C$21)</f>
        <v>1.9070544107221369E-3</v>
      </c>
      <c r="AK18" s="79"/>
      <c r="AL18" s="75">
        <v>0.52569999999999995</v>
      </c>
      <c r="AM18" s="106">
        <f t="shared" si="10"/>
        <v>0.75673604079446499</v>
      </c>
      <c r="AN18" s="69">
        <f t="shared" si="11"/>
        <v>0.68274663144153469</v>
      </c>
      <c r="AO18" s="68"/>
      <c r="AP18" s="68"/>
      <c r="AQ18" s="71">
        <f t="shared" si="12"/>
        <v>0.25117569359238112</v>
      </c>
      <c r="AR18" s="71">
        <f t="shared" si="13"/>
        <v>9.1068387582915938E-2</v>
      </c>
      <c r="AS18" s="71">
        <f t="shared" si="14"/>
        <v>2.4478067229292102E-2</v>
      </c>
      <c r="AT18" s="123">
        <f t="shared" si="15"/>
        <v>0.15452749755282127</v>
      </c>
      <c r="AU18" s="123">
        <f t="shared" si="16"/>
        <v>0.16149698548412425</v>
      </c>
      <c r="AV18" s="72"/>
      <c r="AW18" s="79"/>
      <c r="AX18" s="73">
        <f>IF(ISERROR(AQ18*100000000/'Calc-Units'!$E$21)," ",AQ18*100000000/'Calc-Units'!$E$21)</f>
        <v>9.4950239530259422E-4</v>
      </c>
      <c r="AY18" s="73">
        <f>IF(ISERROR(AR18*100000000/'Calc-Units'!$D$21)," ",AR18*100000000/'Calc-Units'!$D$21)</f>
        <v>3.5209160699116324E-4</v>
      </c>
      <c r="AZ18" s="73">
        <f>IF(ISERROR(AS18*100000000/'Calc-Units'!$C$21)," ",AS18*100000000/'Calc-Units'!$C$21)</f>
        <v>1.432806557556316E-4</v>
      </c>
      <c r="BA18" s="193">
        <f>IF(ISERROR(AT18*100000000/'Calc-Units'!$C$21)," ",AT18*100000000/'Calc-Units'!$C$21)</f>
        <v>9.045159070055097E-4</v>
      </c>
      <c r="BC18" s="77"/>
      <c r="BD18" s="77"/>
    </row>
    <row r="19" spans="1:56" s="80" customFormat="1">
      <c r="A19" s="81"/>
      <c r="B19" s="2261"/>
      <c r="C19" s="104" t="s">
        <v>221</v>
      </c>
      <c r="D19" s="108">
        <f>'RRP 1.3'!Q$12</f>
        <v>1.3630810727301883</v>
      </c>
      <c r="E19" s="108">
        <v>0</v>
      </c>
      <c r="F19" s="108">
        <v>0</v>
      </c>
      <c r="G19" s="108">
        <v>0</v>
      </c>
      <c r="H19" s="108">
        <v>0</v>
      </c>
      <c r="I19" s="108">
        <f t="shared" si="0"/>
        <v>1.3630810727301883</v>
      </c>
      <c r="J19" s="76"/>
      <c r="K19" s="108" t="s">
        <v>484</v>
      </c>
      <c r="L19" s="118">
        <f>IF(ISERROR(VLOOKUP($K19,'Calc-Drivers'!$B$17:$G$27,L$42,FALSE))," ",VLOOKUP($K19,'Calc-Drivers'!$B$17:$G$27,L$42,FALSE))</f>
        <v>0.36789005177814615</v>
      </c>
      <c r="M19" s="118">
        <f>IF(ISERROR(VLOOKUP($K19,'Calc-Drivers'!$B$17:$G$27,M$42,FALSE))," ",VLOOKUP($K19,'Calc-Drivers'!$B$17:$G$27,M$42,FALSE))</f>
        <v>0.13338533416215667</v>
      </c>
      <c r="N19" s="118">
        <f>IF(ISERROR(VLOOKUP($K19,'Calc-Drivers'!$B$17:$G$27,N$42,FALSE))," ",VLOOKUP($K19,'Calc-Drivers'!$B$17:$G$27,N$42,FALSE))</f>
        <v>3.585234419627923E-2</v>
      </c>
      <c r="O19" s="118">
        <f>IF(ISERROR(VLOOKUP($K19,'Calc-Drivers'!$B$17:$G$27,O$42,FALSE))," ",VLOOKUP($K19,'Calc-Drivers'!$B$17:$G$27,O$42,FALSE))</f>
        <v>0.22633212737579628</v>
      </c>
      <c r="P19" s="118">
        <f>IF(ISERROR(VLOOKUP($K19,'Calc-Drivers'!$B$17:$G$27,P$42,FALSE))," ",VLOOKUP($K19,'Calc-Drivers'!$B$17:$G$27,P$42,FALSE))</f>
        <v>0.23654014248762154</v>
      </c>
      <c r="Q19" s="130"/>
      <c r="R19" s="70"/>
      <c r="S19" s="71">
        <f t="shared" si="1"/>
        <v>0.50146396642451996</v>
      </c>
      <c r="T19" s="71">
        <f t="shared" si="2"/>
        <v>0.18181502437622715</v>
      </c>
      <c r="U19" s="71">
        <f t="shared" si="3"/>
        <v>4.8869651786956236E-2</v>
      </c>
      <c r="V19" s="123">
        <f t="shared" si="4"/>
        <v>0.30850903897670601</v>
      </c>
      <c r="W19" s="123">
        <f t="shared" si="4"/>
        <v>0.32242339116577873</v>
      </c>
      <c r="X19" s="72"/>
      <c r="Y19" s="77"/>
      <c r="Z19" s="71">
        <f t="shared" si="5"/>
        <v>0.50146396642451996</v>
      </c>
      <c r="AA19" s="71">
        <f t="shared" si="6"/>
        <v>0.18181502437622715</v>
      </c>
      <c r="AB19" s="71">
        <f t="shared" si="7"/>
        <v>4.8869651786956236E-2</v>
      </c>
      <c r="AC19" s="123">
        <f t="shared" si="8"/>
        <v>0.30850903897670601</v>
      </c>
      <c r="AD19" s="123">
        <f t="shared" si="9"/>
        <v>0.32242339116577873</v>
      </c>
      <c r="AE19" s="72"/>
      <c r="AF19" s="78"/>
      <c r="AG19" s="73">
        <f>IF(ISERROR(Z19*100000000/'Calc-Units'!$E$21)," ",Z19*100000000/'Calc-Units'!$E$21)</f>
        <v>1.8956501342471625E-3</v>
      </c>
      <c r="AH19" s="73">
        <f>IF(ISERROR(AA19*100000000/'Calc-Units'!$D$21)," ",AA19*100000000/'Calc-Units'!$D$21)</f>
        <v>7.0293925045591108E-4</v>
      </c>
      <c r="AI19" s="73">
        <f>IF(ISERROR(AB19*100000000/'Calc-Units'!$C$21)," ",AB19*100000000/'Calc-Units'!$C$21)</f>
        <v>2.8605509123715895E-4</v>
      </c>
      <c r="AJ19" s="193">
        <f>IF(ISERROR(AC19*100000000/'Calc-Units'!$C$21)," ",AC19*100000000/'Calc-Units'!$C$21)</f>
        <v>1.8058360979671389E-3</v>
      </c>
      <c r="AK19" s="79"/>
      <c r="AL19" s="75">
        <v>0.52569999999999995</v>
      </c>
      <c r="AM19" s="106">
        <f t="shared" si="10"/>
        <v>0.71657171993425994</v>
      </c>
      <c r="AN19" s="69">
        <f t="shared" si="11"/>
        <v>0.64650935279592836</v>
      </c>
      <c r="AO19" s="68"/>
      <c r="AP19" s="68"/>
      <c r="AQ19" s="71">
        <f t="shared" si="12"/>
        <v>0.23784435927514985</v>
      </c>
      <c r="AR19" s="71">
        <f t="shared" si="13"/>
        <v>8.6234866061644544E-2</v>
      </c>
      <c r="AS19" s="71">
        <f t="shared" si="14"/>
        <v>2.3178875842553345E-2</v>
      </c>
      <c r="AT19" s="123">
        <f t="shared" si="15"/>
        <v>0.14632583718665168</v>
      </c>
      <c r="AU19" s="123">
        <f t="shared" si="16"/>
        <v>0.15292541442992888</v>
      </c>
      <c r="AV19" s="72"/>
      <c r="AW19" s="79"/>
      <c r="AX19" s="73">
        <f>IF(ISERROR(AQ19*100000000/'Calc-Units'!$E$21)," ",AQ19*100000000/'Calc-Units'!$E$21)</f>
        <v>8.9910685867342923E-4</v>
      </c>
      <c r="AY19" s="73">
        <f>IF(ISERROR(AR19*100000000/'Calc-Units'!$D$21)," ",AR19*100000000/'Calc-Units'!$D$21)</f>
        <v>3.3340408649123863E-4</v>
      </c>
      <c r="AZ19" s="73">
        <f>IF(ISERROR(AS19*100000000/'Calc-Units'!$C$21)," ",AS19*100000000/'Calc-Units'!$C$21)</f>
        <v>1.356759297737845E-4</v>
      </c>
      <c r="BA19" s="193">
        <f>IF(ISERROR(AT19*100000000/'Calc-Units'!$C$21)," ",AT19*100000000/'Calc-Units'!$C$21)</f>
        <v>8.5650806126581411E-4</v>
      </c>
      <c r="BC19" s="77"/>
      <c r="BD19" s="77"/>
    </row>
    <row r="20" spans="1:56" s="80" customFormat="1">
      <c r="A20" s="81"/>
      <c r="B20" s="2261"/>
      <c r="C20" s="104" t="s">
        <v>785</v>
      </c>
      <c r="D20" s="108">
        <f>'RRP 1.3'!R$12</f>
        <v>5.4399459945200013</v>
      </c>
      <c r="E20" s="108">
        <v>0</v>
      </c>
      <c r="F20" s="108">
        <v>0</v>
      </c>
      <c r="G20" s="108">
        <v>0</v>
      </c>
      <c r="H20" s="108">
        <v>0</v>
      </c>
      <c r="I20" s="108">
        <f t="shared" si="0"/>
        <v>5.4399459945200013</v>
      </c>
      <c r="J20" s="76"/>
      <c r="K20" s="108" t="s">
        <v>484</v>
      </c>
      <c r="L20" s="118">
        <f>IF(ISERROR(VLOOKUP($K20,'Calc-Drivers'!$B$17:$G$27,L$42,FALSE))," ",VLOOKUP($K20,'Calc-Drivers'!$B$17:$G$27,L$42,FALSE))</f>
        <v>0.36789005177814615</v>
      </c>
      <c r="M20" s="118">
        <f>IF(ISERROR(VLOOKUP($K20,'Calc-Drivers'!$B$17:$G$27,M$42,FALSE))," ",VLOOKUP($K20,'Calc-Drivers'!$B$17:$G$27,M$42,FALSE))</f>
        <v>0.13338533416215667</v>
      </c>
      <c r="N20" s="118">
        <f>IF(ISERROR(VLOOKUP($K20,'Calc-Drivers'!$B$17:$G$27,N$42,FALSE))," ",VLOOKUP($K20,'Calc-Drivers'!$B$17:$G$27,N$42,FALSE))</f>
        <v>3.585234419627923E-2</v>
      </c>
      <c r="O20" s="118">
        <f>IF(ISERROR(VLOOKUP($K20,'Calc-Drivers'!$B$17:$G$27,O$42,FALSE))," ",VLOOKUP($K20,'Calc-Drivers'!$B$17:$G$27,O$42,FALSE))</f>
        <v>0.22633212737579628</v>
      </c>
      <c r="P20" s="118">
        <f>IF(ISERROR(VLOOKUP($K20,'Calc-Drivers'!$B$17:$G$27,P$42,FALSE))," ",VLOOKUP($K20,'Calc-Drivers'!$B$17:$G$27,P$42,FALSE))</f>
        <v>0.23654014248762154</v>
      </c>
      <c r="Q20" s="130"/>
      <c r="R20" s="70"/>
      <c r="S20" s="71">
        <f t="shared" si="1"/>
        <v>2.0013020135942821</v>
      </c>
      <c r="T20" s="71">
        <f t="shared" si="2"/>
        <v>0.72560901430313607</v>
      </c>
      <c r="U20" s="71">
        <f t="shared" si="3"/>
        <v>0.19503481620470162</v>
      </c>
      <c r="V20" s="123">
        <f t="shared" si="4"/>
        <v>1.2312345497491537</v>
      </c>
      <c r="W20" s="123">
        <f t="shared" si="4"/>
        <v>1.2867656006687271</v>
      </c>
      <c r="X20" s="72"/>
      <c r="Y20" s="77"/>
      <c r="Z20" s="71">
        <f t="shared" si="5"/>
        <v>2.0013020135942821</v>
      </c>
      <c r="AA20" s="71">
        <f t="shared" si="6"/>
        <v>0.72560901430313607</v>
      </c>
      <c r="AB20" s="71">
        <f t="shared" si="7"/>
        <v>0.19503481620470162</v>
      </c>
      <c r="AC20" s="123">
        <f t="shared" si="8"/>
        <v>1.2312345497491537</v>
      </c>
      <c r="AD20" s="123">
        <f t="shared" si="9"/>
        <v>1.2867656006687271</v>
      </c>
      <c r="AE20" s="72"/>
      <c r="AF20" s="78"/>
      <c r="AG20" s="73">
        <f>IF(ISERROR(Z20*100000000/'Calc-Units'!$E$21)," ",Z20*100000000/'Calc-Units'!$E$21)</f>
        <v>7.5653859195287821E-3</v>
      </c>
      <c r="AH20" s="73">
        <f>IF(ISERROR(AA20*100000000/'Calc-Units'!$D$21)," ",AA20*100000000/'Calc-Units'!$D$21)</f>
        <v>2.8053735294330858E-3</v>
      </c>
      <c r="AI20" s="73">
        <f>IF(ISERROR(AB20*100000000/'Calc-Units'!$C$21)," ",AB20*100000000/'Calc-Units'!$C$21)</f>
        <v>1.1416226656795927E-3</v>
      </c>
      <c r="AJ20" s="193">
        <f>IF(ISERROR(AC20*100000000/'Calc-Units'!$C$21)," ",AC20*100000000/'Calc-Units'!$C$21)</f>
        <v>7.2069453860287621E-3</v>
      </c>
      <c r="AK20" s="79"/>
      <c r="AL20" s="75">
        <v>0.52569999999999995</v>
      </c>
      <c r="AM20" s="106">
        <f t="shared" si="10"/>
        <v>2.8597796093191645</v>
      </c>
      <c r="AN20" s="69">
        <f t="shared" si="11"/>
        <v>2.5801663852008367</v>
      </c>
      <c r="AO20" s="68"/>
      <c r="AP20" s="68"/>
      <c r="AQ20" s="71">
        <f t="shared" si="12"/>
        <v>0.94921754504776812</v>
      </c>
      <c r="AR20" s="71">
        <f t="shared" si="13"/>
        <v>0.34415635548397749</v>
      </c>
      <c r="AS20" s="71">
        <f t="shared" si="14"/>
        <v>9.2505013325889993E-2</v>
      </c>
      <c r="AT20" s="123">
        <f t="shared" si="15"/>
        <v>0.58397454694602369</v>
      </c>
      <c r="AU20" s="123">
        <f t="shared" si="16"/>
        <v>0.61031292439717733</v>
      </c>
      <c r="AV20" s="72"/>
      <c r="AW20" s="79"/>
      <c r="AX20" s="73">
        <f>IF(ISERROR(AQ20*100000000/'Calc-Units'!$E$21)," ",AQ20*100000000/'Calc-Units'!$E$21)</f>
        <v>3.5882625416325015E-3</v>
      </c>
      <c r="AY20" s="73">
        <f>IF(ISERROR(AR20*100000000/'Calc-Units'!$D$21)," ",AR20*100000000/'Calc-Units'!$D$21)</f>
        <v>1.3305886650101129E-3</v>
      </c>
      <c r="AZ20" s="73">
        <f>IF(ISERROR(AS20*100000000/'Calc-Units'!$C$21)," ",AS20*100000000/'Calc-Units'!$C$21)</f>
        <v>5.4147163033183086E-4</v>
      </c>
      <c r="BA20" s="193">
        <f>IF(ISERROR(AT20*100000000/'Calc-Units'!$C$21)," ",AT20*100000000/'Calc-Units'!$C$21)</f>
        <v>3.4182541965934424E-3</v>
      </c>
      <c r="BC20" s="77"/>
      <c r="BD20" s="77"/>
    </row>
    <row r="21" spans="1:56" s="80" customFormat="1">
      <c r="A21" s="81"/>
      <c r="B21" s="2261"/>
      <c r="C21" s="104" t="s">
        <v>663</v>
      </c>
      <c r="D21" s="108">
        <f>'RRP 1.3'!S$12</f>
        <v>11.413705956353251</v>
      </c>
      <c r="E21" s="108">
        <v>0</v>
      </c>
      <c r="F21" s="108">
        <v>0</v>
      </c>
      <c r="G21" s="108">
        <v>0</v>
      </c>
      <c r="H21" s="108">
        <v>0</v>
      </c>
      <c r="I21" s="108">
        <f t="shared" si="0"/>
        <v>11.413705956353251</v>
      </c>
      <c r="J21" s="76"/>
      <c r="K21" s="108" t="s">
        <v>473</v>
      </c>
      <c r="L21" s="118" t="str">
        <f>IF(ISERROR(VLOOKUP($K21,'Calc-Drivers'!$B$17:$G$27,L$42,FALSE))," ",VLOOKUP($K21,'Calc-Drivers'!$B$17:$G$27,L$42,FALSE))</f>
        <v xml:space="preserve"> </v>
      </c>
      <c r="M21" s="118" t="str">
        <f>IF(ISERROR(VLOOKUP($K21,'Calc-Drivers'!$B$17:$G$27,M$42,FALSE))," ",VLOOKUP($K21,'Calc-Drivers'!$B$17:$G$27,M$42,FALSE))</f>
        <v xml:space="preserve"> </v>
      </c>
      <c r="N21" s="118" t="str">
        <f>IF(ISERROR(VLOOKUP($K21,'Calc-Drivers'!$B$17:$G$27,N$42,FALSE))," ",VLOOKUP($K21,'Calc-Drivers'!$B$17:$G$27,N$42,FALSE))</f>
        <v xml:space="preserve"> </v>
      </c>
      <c r="O21" s="118" t="str">
        <f>IF(ISERROR(VLOOKUP($K21,'Calc-Drivers'!$B$17:$G$27,O$42,FALSE))," ",VLOOKUP($K21,'Calc-Drivers'!$B$17:$G$27,O$42,FALSE))</f>
        <v xml:space="preserve"> </v>
      </c>
      <c r="P21" s="118" t="str">
        <f>IF(ISERROR(VLOOKUP($K21,'Calc-Drivers'!$B$17:$G$27,P$42,FALSE))," ",VLOOKUP($K21,'Calc-Drivers'!$B$17:$G$27,P$42,FALSE))</f>
        <v xml:space="preserve"> </v>
      </c>
      <c r="Q21" s="130"/>
      <c r="R21" s="70"/>
      <c r="S21" s="71" t="str">
        <f t="shared" si="1"/>
        <v xml:space="preserve"> </v>
      </c>
      <c r="T21" s="71" t="str">
        <f t="shared" si="2"/>
        <v xml:space="preserve"> </v>
      </c>
      <c r="U21" s="71" t="str">
        <f t="shared" si="3"/>
        <v xml:space="preserve"> </v>
      </c>
      <c r="V21" s="123" t="str">
        <f t="shared" si="4"/>
        <v xml:space="preserve"> </v>
      </c>
      <c r="W21" s="123" t="str">
        <f t="shared" si="4"/>
        <v xml:space="preserve"> </v>
      </c>
      <c r="X21" s="72"/>
      <c r="Y21" s="77"/>
      <c r="Z21" s="71" t="str">
        <f t="shared" si="5"/>
        <v xml:space="preserve"> </v>
      </c>
      <c r="AA21" s="71" t="str">
        <f t="shared" si="6"/>
        <v xml:space="preserve"> </v>
      </c>
      <c r="AB21" s="71" t="str">
        <f t="shared" si="7"/>
        <v xml:space="preserve"> </v>
      </c>
      <c r="AC21" s="123" t="str">
        <f t="shared" si="8"/>
        <v xml:space="preserve"> </v>
      </c>
      <c r="AD21" s="123" t="str">
        <f t="shared" si="9"/>
        <v xml:space="preserve"> </v>
      </c>
      <c r="AE21" s="72"/>
      <c r="AF21" s="78"/>
      <c r="AG21" s="73" t="str">
        <f>IF(ISERROR(Z21*100000000/'Calc-Units'!$E$21)," ",Z21*100000000/'Calc-Units'!$E$21)</f>
        <v xml:space="preserve"> </v>
      </c>
      <c r="AH21" s="73" t="str">
        <f>IF(ISERROR(AA21*100000000/'Calc-Units'!$D$21)," ",AA21*100000000/'Calc-Units'!$D$21)</f>
        <v xml:space="preserve"> </v>
      </c>
      <c r="AI21" s="73" t="str">
        <f>IF(ISERROR(AB21*100000000/'Calc-Units'!$C$21)," ",AB21*100000000/'Calc-Units'!$C$21)</f>
        <v xml:space="preserve"> </v>
      </c>
      <c r="AJ21" s="193" t="str">
        <f>IF(ISERROR(AC21*100000000/'Calc-Units'!$C$21)," ",AC21*100000000/'Calc-Units'!$C$21)</f>
        <v xml:space="preserve"> </v>
      </c>
      <c r="AK21" s="79"/>
      <c r="AL21" s="75">
        <v>0.52569999999999995</v>
      </c>
      <c r="AM21" s="106">
        <f t="shared" si="10"/>
        <v>6.0001852212549034</v>
      </c>
      <c r="AN21" s="69">
        <f t="shared" si="11"/>
        <v>5.4135207350983476</v>
      </c>
      <c r="AO21" s="68"/>
      <c r="AP21" s="68"/>
      <c r="AQ21" s="71" t="str">
        <f t="shared" si="12"/>
        <v xml:space="preserve"> </v>
      </c>
      <c r="AR21" s="71" t="str">
        <f t="shared" si="13"/>
        <v xml:space="preserve"> </v>
      </c>
      <c r="AS21" s="71" t="str">
        <f t="shared" si="14"/>
        <v xml:space="preserve"> </v>
      </c>
      <c r="AT21" s="123" t="str">
        <f t="shared" si="15"/>
        <v xml:space="preserve"> </v>
      </c>
      <c r="AU21" s="123" t="str">
        <f t="shared" si="16"/>
        <v xml:space="preserve"> </v>
      </c>
      <c r="AV21" s="72"/>
      <c r="AW21" s="79"/>
      <c r="AX21" s="73" t="str">
        <f>IF(ISERROR(AQ21*100000000/'Calc-Units'!$E$21)," ",AQ21*100000000/'Calc-Units'!$E$21)</f>
        <v xml:space="preserve"> </v>
      </c>
      <c r="AY21" s="73" t="str">
        <f>IF(ISERROR(AR21*100000000/'Calc-Units'!$D$21)," ",AR21*100000000/'Calc-Units'!$D$21)</f>
        <v xml:space="preserve"> </v>
      </c>
      <c r="AZ21" s="73" t="str">
        <f>IF(ISERROR(AS21*100000000/'Calc-Units'!$C$21)," ",AS21*100000000/'Calc-Units'!$C$21)</f>
        <v xml:space="preserve"> </v>
      </c>
      <c r="BA21" s="193" t="str">
        <f>IF(ISERROR(AT21*100000000/'Calc-Units'!$C$21)," ",AT21*100000000/'Calc-Units'!$C$21)</f>
        <v xml:space="preserve"> </v>
      </c>
      <c r="BC21" s="77"/>
      <c r="BD21" s="77"/>
    </row>
    <row r="22" spans="1:56" s="80" customFormat="1">
      <c r="A22" s="81"/>
      <c r="B22" s="2261"/>
      <c r="C22" s="104" t="s">
        <v>784</v>
      </c>
      <c r="D22" s="108">
        <f>'RRP 1.3'!T$12</f>
        <v>5.5343552999991585</v>
      </c>
      <c r="E22" s="108">
        <v>0</v>
      </c>
      <c r="F22" s="108">
        <v>0</v>
      </c>
      <c r="G22" s="108">
        <v>0</v>
      </c>
      <c r="H22" s="108">
        <v>0</v>
      </c>
      <c r="I22" s="108">
        <f t="shared" si="0"/>
        <v>5.5343552999991585</v>
      </c>
      <c r="J22" s="76"/>
      <c r="K22" s="108" t="s">
        <v>473</v>
      </c>
      <c r="L22" s="118" t="str">
        <f>IF(ISERROR(VLOOKUP($K22,'Calc-Drivers'!$B$17:$G$27,L$42,FALSE))," ",VLOOKUP($K22,'Calc-Drivers'!$B$17:$G$27,L$42,FALSE))</f>
        <v xml:space="preserve"> </v>
      </c>
      <c r="M22" s="118" t="str">
        <f>IF(ISERROR(VLOOKUP($K22,'Calc-Drivers'!$B$17:$G$27,M$42,FALSE))," ",VLOOKUP($K22,'Calc-Drivers'!$B$17:$G$27,M$42,FALSE))</f>
        <v xml:space="preserve"> </v>
      </c>
      <c r="N22" s="118" t="str">
        <f>IF(ISERROR(VLOOKUP($K22,'Calc-Drivers'!$B$17:$G$27,N$42,FALSE))," ",VLOOKUP($K22,'Calc-Drivers'!$B$17:$G$27,N$42,FALSE))</f>
        <v xml:space="preserve"> </v>
      </c>
      <c r="O22" s="118" t="str">
        <f>IF(ISERROR(VLOOKUP($K22,'Calc-Drivers'!$B$17:$G$27,O$42,FALSE))," ",VLOOKUP($K22,'Calc-Drivers'!$B$17:$G$27,O$42,FALSE))</f>
        <v xml:space="preserve"> </v>
      </c>
      <c r="P22" s="118" t="str">
        <f>IF(ISERROR(VLOOKUP($K22,'Calc-Drivers'!$B$17:$G$27,P$42,FALSE))," ",VLOOKUP($K22,'Calc-Drivers'!$B$17:$G$27,P$42,FALSE))</f>
        <v xml:space="preserve"> </v>
      </c>
      <c r="Q22" s="130"/>
      <c r="R22" s="70"/>
      <c r="S22" s="71" t="str">
        <f t="shared" si="1"/>
        <v xml:space="preserve"> </v>
      </c>
      <c r="T22" s="71" t="str">
        <f t="shared" si="2"/>
        <v xml:space="preserve"> </v>
      </c>
      <c r="U22" s="71" t="str">
        <f t="shared" si="3"/>
        <v xml:space="preserve"> </v>
      </c>
      <c r="V22" s="123" t="str">
        <f t="shared" si="4"/>
        <v xml:space="preserve"> </v>
      </c>
      <c r="W22" s="123" t="str">
        <f t="shared" si="4"/>
        <v xml:space="preserve"> </v>
      </c>
      <c r="X22" s="72"/>
      <c r="Y22" s="77"/>
      <c r="Z22" s="71" t="str">
        <f t="shared" si="5"/>
        <v xml:space="preserve"> </v>
      </c>
      <c r="AA22" s="71" t="str">
        <f t="shared" si="6"/>
        <v xml:space="preserve"> </v>
      </c>
      <c r="AB22" s="71" t="str">
        <f t="shared" si="7"/>
        <v xml:space="preserve"> </v>
      </c>
      <c r="AC22" s="123" t="str">
        <f t="shared" si="8"/>
        <v xml:space="preserve"> </v>
      </c>
      <c r="AD22" s="123" t="str">
        <f t="shared" si="9"/>
        <v xml:space="preserve"> </v>
      </c>
      <c r="AE22" s="72"/>
      <c r="AF22" s="78"/>
      <c r="AG22" s="73" t="str">
        <f>IF(ISERROR(Z22*100000000/'Calc-Units'!$E$21)," ",Z22*100000000/'Calc-Units'!$E$21)</f>
        <v xml:space="preserve"> </v>
      </c>
      <c r="AH22" s="73" t="str">
        <f>IF(ISERROR(AA22*100000000/'Calc-Units'!$D$21)," ",AA22*100000000/'Calc-Units'!$D$21)</f>
        <v xml:space="preserve"> </v>
      </c>
      <c r="AI22" s="73" t="str">
        <f>IF(ISERROR(AB22*100000000/'Calc-Units'!$C$21)," ",AB22*100000000/'Calc-Units'!$C$21)</f>
        <v xml:space="preserve"> </v>
      </c>
      <c r="AJ22" s="193" t="str">
        <f>IF(ISERROR(AC22*100000000/'Calc-Units'!$C$21)," ",AC22*100000000/'Calc-Units'!$C$21)</f>
        <v xml:space="preserve"> </v>
      </c>
      <c r="AK22" s="79"/>
      <c r="AL22" s="75">
        <v>0.52569999999999995</v>
      </c>
      <c r="AM22" s="106">
        <f t="shared" si="10"/>
        <v>2.9094105812095572</v>
      </c>
      <c r="AN22" s="69">
        <f t="shared" si="11"/>
        <v>2.6249447187896013</v>
      </c>
      <c r="AO22" s="68"/>
      <c r="AP22" s="68"/>
      <c r="AQ22" s="71" t="str">
        <f t="shared" si="12"/>
        <v xml:space="preserve"> </v>
      </c>
      <c r="AR22" s="71" t="str">
        <f t="shared" si="13"/>
        <v xml:space="preserve"> </v>
      </c>
      <c r="AS22" s="71" t="str">
        <f t="shared" si="14"/>
        <v xml:space="preserve"> </v>
      </c>
      <c r="AT22" s="123" t="str">
        <f t="shared" si="15"/>
        <v xml:space="preserve"> </v>
      </c>
      <c r="AU22" s="123" t="str">
        <f t="shared" si="16"/>
        <v xml:space="preserve"> </v>
      </c>
      <c r="AV22" s="72"/>
      <c r="AW22" s="79"/>
      <c r="AX22" s="73" t="str">
        <f>IF(ISERROR(AQ22*100000000/'Calc-Units'!$E$21)," ",AQ22*100000000/'Calc-Units'!$E$21)</f>
        <v xml:space="preserve"> </v>
      </c>
      <c r="AY22" s="73" t="str">
        <f>IF(ISERROR(AR22*100000000/'Calc-Units'!$D$21)," ",AR22*100000000/'Calc-Units'!$D$21)</f>
        <v xml:space="preserve"> </v>
      </c>
      <c r="AZ22" s="73" t="str">
        <f>IF(ISERROR(AS22*100000000/'Calc-Units'!$C$21)," ",AS22*100000000/'Calc-Units'!$C$21)</f>
        <v xml:space="preserve"> </v>
      </c>
      <c r="BA22" s="193" t="str">
        <f>IF(ISERROR(AT22*100000000/'Calc-Units'!$C$21)," ",AT22*100000000/'Calc-Units'!$C$21)</f>
        <v xml:space="preserve"> </v>
      </c>
      <c r="BC22" s="77"/>
      <c r="BD22" s="77"/>
    </row>
    <row r="23" spans="1:56" s="80" customFormat="1">
      <c r="A23" s="81"/>
      <c r="B23" s="2261"/>
      <c r="C23" s="104" t="s">
        <v>73</v>
      </c>
      <c r="D23" s="108">
        <f>'RRP 1.3'!U$12</f>
        <v>1.3726373768207174</v>
      </c>
      <c r="E23" s="108">
        <v>0</v>
      </c>
      <c r="F23" s="108">
        <v>0</v>
      </c>
      <c r="G23" s="108">
        <v>0</v>
      </c>
      <c r="H23" s="108">
        <v>0</v>
      </c>
      <c r="I23" s="108">
        <f t="shared" si="0"/>
        <v>1.3726373768207174</v>
      </c>
      <c r="J23" s="76"/>
      <c r="K23" s="108" t="s">
        <v>484</v>
      </c>
      <c r="L23" s="118">
        <f>IF(ISERROR(VLOOKUP($K23,'Calc-Drivers'!$B$17:$G$27,L$42,FALSE))," ",VLOOKUP($K23,'Calc-Drivers'!$B$17:$G$27,L$42,FALSE))</f>
        <v>0.36789005177814615</v>
      </c>
      <c r="M23" s="118">
        <f>IF(ISERROR(VLOOKUP($K23,'Calc-Drivers'!$B$17:$G$27,M$42,FALSE))," ",VLOOKUP($K23,'Calc-Drivers'!$B$17:$G$27,M$42,FALSE))</f>
        <v>0.13338533416215667</v>
      </c>
      <c r="N23" s="118">
        <f>IF(ISERROR(VLOOKUP($K23,'Calc-Drivers'!$B$17:$G$27,N$42,FALSE))," ",VLOOKUP($K23,'Calc-Drivers'!$B$17:$G$27,N$42,FALSE))</f>
        <v>3.585234419627923E-2</v>
      </c>
      <c r="O23" s="118">
        <f>IF(ISERROR(VLOOKUP($K23,'Calc-Drivers'!$B$17:$G$27,O$42,FALSE))," ",VLOOKUP($K23,'Calc-Drivers'!$B$17:$G$27,O$42,FALSE))</f>
        <v>0.22633212737579628</v>
      </c>
      <c r="P23" s="118">
        <f>IF(ISERROR(VLOOKUP($K23,'Calc-Drivers'!$B$17:$G$27,P$42,FALSE))," ",VLOOKUP($K23,'Calc-Drivers'!$B$17:$G$27,P$42,FALSE))</f>
        <v>0.23654014248762154</v>
      </c>
      <c r="Q23" s="130"/>
      <c r="R23" s="70"/>
      <c r="S23" s="71">
        <f t="shared" si="1"/>
        <v>0.50497963563119241</v>
      </c>
      <c r="T23" s="71">
        <f t="shared" si="2"/>
        <v>0.18308969519069757</v>
      </c>
      <c r="U23" s="71">
        <f t="shared" si="3"/>
        <v>4.9212267690454198E-2</v>
      </c>
      <c r="V23" s="123">
        <f t="shared" si="4"/>
        <v>0.31067193761136547</v>
      </c>
      <c r="W23" s="123">
        <f t="shared" si="4"/>
        <v>0.32468384069700756</v>
      </c>
      <c r="X23" s="72"/>
      <c r="Y23" s="77"/>
      <c r="Z23" s="71">
        <f t="shared" si="5"/>
        <v>0.50497963563119241</v>
      </c>
      <c r="AA23" s="71">
        <f t="shared" si="6"/>
        <v>0.18308969519069757</v>
      </c>
      <c r="AB23" s="71">
        <f t="shared" si="7"/>
        <v>4.9212267690454198E-2</v>
      </c>
      <c r="AC23" s="123">
        <f t="shared" si="8"/>
        <v>0.31067193761136547</v>
      </c>
      <c r="AD23" s="123">
        <f t="shared" si="9"/>
        <v>0.32468384069700756</v>
      </c>
      <c r="AE23" s="72"/>
      <c r="AF23" s="78"/>
      <c r="AG23" s="73">
        <f>IF(ISERROR(Z23*100000000/'Calc-Units'!$E$21)," ",Z23*100000000/'Calc-Units'!$E$21)</f>
        <v>1.9089401794943125E-3</v>
      </c>
      <c r="AH23" s="73">
        <f>IF(ISERROR(AA23*100000000/'Calc-Units'!$D$21)," ",AA23*100000000/'Calc-Units'!$D$21)</f>
        <v>7.0786742484620655E-4</v>
      </c>
      <c r="AI23" s="73">
        <f>IF(ISERROR(AB23*100000000/'Calc-Units'!$C$21)," ",AB23*100000000/'Calc-Units'!$C$21)</f>
        <v>2.8806056948287403E-4</v>
      </c>
      <c r="AJ23" s="193">
        <f>IF(ISERROR(AC23*100000000/'Calc-Units'!$C$21)," ",AC23*100000000/'Calc-Units'!$C$21)</f>
        <v>1.8184964739602287E-3</v>
      </c>
      <c r="AK23" s="79"/>
      <c r="AL23" s="75">
        <v>0.52569999999999995</v>
      </c>
      <c r="AM23" s="106">
        <f t="shared" si="10"/>
        <v>0.7215954689946511</v>
      </c>
      <c r="AN23" s="69">
        <f t="shared" si="11"/>
        <v>0.6510419078260663</v>
      </c>
      <c r="AO23" s="68"/>
      <c r="AP23" s="68"/>
      <c r="AQ23" s="71">
        <f t="shared" si="12"/>
        <v>0.23951184117987459</v>
      </c>
      <c r="AR23" s="71">
        <f t="shared" si="13"/>
        <v>8.6839442428947866E-2</v>
      </c>
      <c r="AS23" s="71">
        <f t="shared" si="14"/>
        <v>2.3341378565582428E-2</v>
      </c>
      <c r="AT23" s="123">
        <f t="shared" si="15"/>
        <v>0.14735170000907066</v>
      </c>
      <c r="AU23" s="123">
        <f t="shared" si="16"/>
        <v>0.15399754564259072</v>
      </c>
      <c r="AV23" s="72"/>
      <c r="AW23" s="79"/>
      <c r="AX23" s="73">
        <f>IF(ISERROR(AQ23*100000000/'Calc-Units'!$E$21)," ",AQ23*100000000/'Calc-Units'!$E$21)</f>
        <v>9.054103271341525E-4</v>
      </c>
      <c r="AY23" s="73">
        <f>IF(ISERROR(AR23*100000000/'Calc-Units'!$D$21)," ",AR23*100000000/'Calc-Units'!$D$21)</f>
        <v>3.357415196045558E-4</v>
      </c>
      <c r="AZ23" s="73">
        <f>IF(ISERROR(AS23*100000000/'Calc-Units'!$C$21)," ",AS23*100000000/'Calc-Units'!$C$21)</f>
        <v>1.3662712810572715E-4</v>
      </c>
      <c r="BA23" s="193">
        <f>IF(ISERROR(AT23*100000000/'Calc-Units'!$C$21)," ",AT23*100000000/'Calc-Units'!$C$21)</f>
        <v>8.6251287759933669E-4</v>
      </c>
      <c r="BC23" s="77"/>
      <c r="BD23" s="77"/>
    </row>
    <row r="24" spans="1:56" s="80" customFormat="1">
      <c r="A24" s="81"/>
      <c r="B24" s="2261"/>
      <c r="C24" s="104" t="s">
        <v>505</v>
      </c>
      <c r="D24" s="108">
        <f>'RRP 1.3'!V$12</f>
        <v>1.9614634264481019</v>
      </c>
      <c r="E24" s="108">
        <v>0</v>
      </c>
      <c r="F24" s="108">
        <v>0</v>
      </c>
      <c r="G24" s="108">
        <v>0</v>
      </c>
      <c r="H24" s="108">
        <v>0</v>
      </c>
      <c r="I24" s="108">
        <f t="shared" si="0"/>
        <v>1.9614634264481019</v>
      </c>
      <c r="J24" s="76"/>
      <c r="K24" s="108" t="s">
        <v>484</v>
      </c>
      <c r="L24" s="118">
        <f>IF(ISERROR(VLOOKUP($K24,'Calc-Drivers'!$B$17:$G$27,L$42,FALSE))," ",VLOOKUP($K24,'Calc-Drivers'!$B$17:$G$27,L$42,FALSE))</f>
        <v>0.36789005177814615</v>
      </c>
      <c r="M24" s="118">
        <f>IF(ISERROR(VLOOKUP($K24,'Calc-Drivers'!$B$17:$G$27,M$42,FALSE))," ",VLOOKUP($K24,'Calc-Drivers'!$B$17:$G$27,M$42,FALSE))</f>
        <v>0.13338533416215667</v>
      </c>
      <c r="N24" s="118">
        <f>IF(ISERROR(VLOOKUP($K24,'Calc-Drivers'!$B$17:$G$27,N$42,FALSE))," ",VLOOKUP($K24,'Calc-Drivers'!$B$17:$G$27,N$42,FALSE))</f>
        <v>3.585234419627923E-2</v>
      </c>
      <c r="O24" s="118">
        <f>IF(ISERROR(VLOOKUP($K24,'Calc-Drivers'!$B$17:$G$27,O$42,FALSE))," ",VLOOKUP($K24,'Calc-Drivers'!$B$17:$G$27,O$42,FALSE))</f>
        <v>0.22633212737579628</v>
      </c>
      <c r="P24" s="118">
        <f>IF(ISERROR(VLOOKUP($K24,'Calc-Drivers'!$B$17:$G$27,P$42,FALSE))," ",VLOOKUP($K24,'Calc-Drivers'!$B$17:$G$27,P$42,FALSE))</f>
        <v>0.23654014248762154</v>
      </c>
      <c r="Q24" s="130"/>
      <c r="R24" s="70"/>
      <c r="S24" s="71">
        <f t="shared" si="1"/>
        <v>0.72160288151693219</v>
      </c>
      <c r="T24" s="71">
        <f t="shared" si="2"/>
        <v>0.26163045458362888</v>
      </c>
      <c r="U24" s="71">
        <f t="shared" si="3"/>
        <v>7.0323061893430586E-2</v>
      </c>
      <c r="V24" s="123">
        <f t="shared" si="4"/>
        <v>0.4439421900778176</v>
      </c>
      <c r="W24" s="123">
        <f t="shared" si="4"/>
        <v>0.46396483837629238</v>
      </c>
      <c r="X24" s="72"/>
      <c r="Y24" s="77"/>
      <c r="Z24" s="71">
        <f t="shared" si="5"/>
        <v>0.72160288151693219</v>
      </c>
      <c r="AA24" s="71">
        <f t="shared" si="6"/>
        <v>0.26163045458362888</v>
      </c>
      <c r="AB24" s="71">
        <f t="shared" si="7"/>
        <v>7.0323061893430586E-2</v>
      </c>
      <c r="AC24" s="123">
        <f t="shared" si="8"/>
        <v>0.4439421900778176</v>
      </c>
      <c r="AD24" s="123">
        <f t="shared" si="9"/>
        <v>0.46396483837629238</v>
      </c>
      <c r="AE24" s="72"/>
      <c r="AF24" s="78"/>
      <c r="AG24" s="73">
        <f>IF(ISERROR(Z24*100000000/'Calc-Units'!$E$21)," ",Z24*100000000/'Calc-Units'!$E$21)</f>
        <v>2.7278263061930458E-3</v>
      </c>
      <c r="AH24" s="73">
        <f>IF(ISERROR(AA24*100000000/'Calc-Units'!$D$21)," ",AA24*100000000/'Calc-Units'!$D$21)</f>
        <v>1.0115243020889873E-3</v>
      </c>
      <c r="AI24" s="73">
        <f>IF(ISERROR(AB24*100000000/'Calc-Units'!$C$21)," ",AB24*100000000/'Calc-Units'!$C$21)</f>
        <v>4.116311279175286E-4</v>
      </c>
      <c r="AJ24" s="193">
        <f>IF(ISERROR(AC24*100000000/'Calc-Units'!$C$21)," ",AC24*100000000/'Calc-Units'!$C$21)</f>
        <v>2.5985845825205901E-3</v>
      </c>
      <c r="AK24" s="79"/>
      <c r="AL24" s="75">
        <v>0.52569999999999995</v>
      </c>
      <c r="AM24" s="106">
        <f t="shared" si="10"/>
        <v>1.031141323283767</v>
      </c>
      <c r="AN24" s="69">
        <f t="shared" si="11"/>
        <v>0.93032210316433483</v>
      </c>
      <c r="AO24" s="68"/>
      <c r="AP24" s="68"/>
      <c r="AQ24" s="71">
        <f t="shared" si="12"/>
        <v>0.34225624670348098</v>
      </c>
      <c r="AR24" s="71">
        <f t="shared" si="13"/>
        <v>0.12409132460901519</v>
      </c>
      <c r="AS24" s="71">
        <f t="shared" si="14"/>
        <v>3.3354228256054129E-2</v>
      </c>
      <c r="AT24" s="123">
        <f t="shared" si="15"/>
        <v>0.21056178075390891</v>
      </c>
      <c r="AU24" s="123">
        <f t="shared" si="16"/>
        <v>0.22005852284187549</v>
      </c>
      <c r="AV24" s="72"/>
      <c r="AW24" s="79"/>
      <c r="AX24" s="73">
        <f>IF(ISERROR(AQ24*100000000/'Calc-Units'!$E$21)," ",AQ24*100000000/'Calc-Units'!$E$21)</f>
        <v>1.2938080170273617E-3</v>
      </c>
      <c r="AY24" s="73">
        <f>IF(ISERROR(AR24*100000000/'Calc-Units'!$D$21)," ",AR24*100000000/'Calc-Units'!$D$21)</f>
        <v>4.7976597648080669E-4</v>
      </c>
      <c r="AZ24" s="73">
        <f>IF(ISERROR(AS24*100000000/'Calc-Units'!$C$21)," ",AS24*100000000/'Calc-Units'!$C$21)</f>
        <v>1.9523664397128382E-4</v>
      </c>
      <c r="BA24" s="193">
        <f>IF(ISERROR(AT24*100000000/'Calc-Units'!$C$21)," ",AT24*100000000/'Calc-Units'!$C$21)</f>
        <v>1.2325086674895159E-3</v>
      </c>
      <c r="BC24" s="77"/>
      <c r="BD24" s="77"/>
    </row>
    <row r="25" spans="1:56" s="80" customFormat="1">
      <c r="A25" s="81"/>
      <c r="B25" s="2261"/>
      <c r="C25" s="104" t="s">
        <v>189</v>
      </c>
      <c r="D25" s="108">
        <f>'RRP 1.3'!W$12</f>
        <v>7.7816755968572568</v>
      </c>
      <c r="E25" s="108">
        <v>0</v>
      </c>
      <c r="F25" s="108">
        <v>0</v>
      </c>
      <c r="G25" s="108">
        <v>0</v>
      </c>
      <c r="H25" s="108">
        <v>0</v>
      </c>
      <c r="I25" s="108">
        <f t="shared" si="0"/>
        <v>7.7816755968572568</v>
      </c>
      <c r="J25" s="76"/>
      <c r="K25" s="108" t="s">
        <v>484</v>
      </c>
      <c r="L25" s="118">
        <f>IF(ISERROR(VLOOKUP($K25,'Calc-Drivers'!$B$17:$G$27,L$42,FALSE))," ",VLOOKUP($K25,'Calc-Drivers'!$B$17:$G$27,L$42,FALSE))</f>
        <v>0.36789005177814615</v>
      </c>
      <c r="M25" s="118">
        <f>IF(ISERROR(VLOOKUP($K25,'Calc-Drivers'!$B$17:$G$27,M$42,FALSE))," ",VLOOKUP($K25,'Calc-Drivers'!$B$17:$G$27,M$42,FALSE))</f>
        <v>0.13338533416215667</v>
      </c>
      <c r="N25" s="118">
        <f>IF(ISERROR(VLOOKUP($K25,'Calc-Drivers'!$B$17:$G$27,N$42,FALSE))," ",VLOOKUP($K25,'Calc-Drivers'!$B$17:$G$27,N$42,FALSE))</f>
        <v>3.585234419627923E-2</v>
      </c>
      <c r="O25" s="118">
        <f>IF(ISERROR(VLOOKUP($K25,'Calc-Drivers'!$B$17:$G$27,O$42,FALSE))," ",VLOOKUP($K25,'Calc-Drivers'!$B$17:$G$27,O$42,FALSE))</f>
        <v>0.22633212737579628</v>
      </c>
      <c r="P25" s="118">
        <f>IF(ISERROR(VLOOKUP($K25,'Calc-Drivers'!$B$17:$G$27,P$42,FALSE))," ",VLOOKUP($K25,'Calc-Drivers'!$B$17:$G$27,P$42,FALSE))</f>
        <v>0.23654014248762154</v>
      </c>
      <c r="Q25" s="130"/>
      <c r="R25" s="70"/>
      <c r="S25" s="71">
        <f t="shared" si="1"/>
        <v>2.8628010382485525</v>
      </c>
      <c r="T25" s="71">
        <f t="shared" si="2"/>
        <v>1.0379613998283053</v>
      </c>
      <c r="U25" s="71">
        <f t="shared" si="3"/>
        <v>0.27899131192231297</v>
      </c>
      <c r="V25" s="123">
        <f t="shared" si="4"/>
        <v>1.7612431923850222</v>
      </c>
      <c r="W25" s="123">
        <f t="shared" si="4"/>
        <v>1.8406786544730629</v>
      </c>
      <c r="X25" s="72"/>
      <c r="Y25" s="77"/>
      <c r="Z25" s="71">
        <f t="shared" si="5"/>
        <v>2.8628010382485525</v>
      </c>
      <c r="AA25" s="71">
        <f t="shared" si="6"/>
        <v>1.0379613998283053</v>
      </c>
      <c r="AB25" s="71">
        <f t="shared" si="7"/>
        <v>0.27899131192231297</v>
      </c>
      <c r="AC25" s="123">
        <f t="shared" si="8"/>
        <v>1.7612431923850222</v>
      </c>
      <c r="AD25" s="123">
        <f t="shared" si="9"/>
        <v>1.8406786544730629</v>
      </c>
      <c r="AE25" s="72"/>
      <c r="AF25" s="78"/>
      <c r="AG25" s="73">
        <f>IF(ISERROR(Z25*100000000/'Calc-Units'!$E$21)," ",Z25*100000000/'Calc-Units'!$E$21)</f>
        <v>1.082205210311085E-2</v>
      </c>
      <c r="AH25" s="73">
        <f>IF(ISERROR(AA25*100000000/'Calc-Units'!$D$21)," ",AA25*100000000/'Calc-Units'!$D$21)</f>
        <v>4.0130006356772661E-3</v>
      </c>
      <c r="AI25" s="73">
        <f>IF(ISERROR(AB25*100000000/'Calc-Units'!$C$21)," ",AB25*100000000/'Calc-Units'!$C$21)</f>
        <v>1.6330561456468799E-3</v>
      </c>
      <c r="AJ25" s="193">
        <f>IF(ISERROR(AC25*100000000/'Calc-Units'!$C$21)," ",AC25*100000000/'Calc-Units'!$C$21)</f>
        <v>1.0309313933417363E-2</v>
      </c>
      <c r="AK25" s="79"/>
      <c r="AL25" s="75">
        <v>0.52569999999999995</v>
      </c>
      <c r="AM25" s="106">
        <f t="shared" si="10"/>
        <v>4.0908268612678595</v>
      </c>
      <c r="AN25" s="69">
        <f t="shared" si="11"/>
        <v>3.6908487355893973</v>
      </c>
      <c r="AO25" s="68"/>
      <c r="AP25" s="68"/>
      <c r="AQ25" s="71">
        <f t="shared" si="12"/>
        <v>1.3578265324412886</v>
      </c>
      <c r="AR25" s="71">
        <f t="shared" si="13"/>
        <v>0.49230509193856525</v>
      </c>
      <c r="AS25" s="71">
        <f t="shared" si="14"/>
        <v>0.13232557924475305</v>
      </c>
      <c r="AT25" s="123">
        <f t="shared" si="15"/>
        <v>0.83535764614821617</v>
      </c>
      <c r="AU25" s="123">
        <f t="shared" si="16"/>
        <v>0.87303388581657382</v>
      </c>
      <c r="AV25" s="72"/>
      <c r="AW25" s="79"/>
      <c r="AX25" s="73">
        <f>IF(ISERROR(AQ25*100000000/'Calc-Units'!$E$21)," ",AQ25*100000000/'Calc-Units'!$E$21)</f>
        <v>5.1328993125054762E-3</v>
      </c>
      <c r="AY25" s="73">
        <f>IF(ISERROR(AR25*100000000/'Calc-Units'!$D$21)," ",AR25*100000000/'Calc-Units'!$D$21)</f>
        <v>1.9033662015017273E-3</v>
      </c>
      <c r="AZ25" s="73">
        <f>IF(ISERROR(AS25*100000000/'Calc-Units'!$C$21)," ",AS25*100000000/'Calc-Units'!$C$21)</f>
        <v>7.7455852988031514E-4</v>
      </c>
      <c r="BA25" s="193">
        <f>IF(ISERROR(AT25*100000000/'Calc-Units'!$C$21)," ",AT25*100000000/'Calc-Units'!$C$21)</f>
        <v>4.8897075986198552E-3</v>
      </c>
      <c r="BC25" s="77"/>
      <c r="BD25" s="77"/>
    </row>
    <row r="26" spans="1:56" s="80" customFormat="1">
      <c r="A26" s="84"/>
      <c r="B26" s="2262"/>
      <c r="C26" s="104" t="s">
        <v>474</v>
      </c>
      <c r="D26" s="108">
        <f>'RRP 1.3'!X$12</f>
        <v>1.536754324034403</v>
      </c>
      <c r="E26" s="108">
        <v>0</v>
      </c>
      <c r="F26" s="108">
        <v>0</v>
      </c>
      <c r="G26" s="108">
        <v>0</v>
      </c>
      <c r="H26" s="108">
        <v>0</v>
      </c>
      <c r="I26" s="108">
        <f t="shared" si="0"/>
        <v>1.536754324034403</v>
      </c>
      <c r="J26" s="76"/>
      <c r="K26" s="125" t="s">
        <v>484</v>
      </c>
      <c r="L26" s="118">
        <f>IF(ISERROR(VLOOKUP($K26,'Calc-Drivers'!$B$17:$G$27,L$42,FALSE))," ",VLOOKUP($K26,'Calc-Drivers'!$B$17:$G$27,L$42,FALSE))</f>
        <v>0.36789005177814615</v>
      </c>
      <c r="M26" s="118">
        <f>IF(ISERROR(VLOOKUP($K26,'Calc-Drivers'!$B$17:$G$27,M$42,FALSE))," ",VLOOKUP($K26,'Calc-Drivers'!$B$17:$G$27,M$42,FALSE))</f>
        <v>0.13338533416215667</v>
      </c>
      <c r="N26" s="118">
        <f>IF(ISERROR(VLOOKUP($K26,'Calc-Drivers'!$B$17:$G$27,N$42,FALSE))," ",VLOOKUP($K26,'Calc-Drivers'!$B$17:$G$27,N$42,FALSE))</f>
        <v>3.585234419627923E-2</v>
      </c>
      <c r="O26" s="118">
        <f>IF(ISERROR(VLOOKUP($K26,'Calc-Drivers'!$B$17:$G$27,O$42,FALSE))," ",VLOOKUP($K26,'Calc-Drivers'!$B$17:$G$27,O$42,FALSE))</f>
        <v>0.22633212737579628</v>
      </c>
      <c r="P26" s="118">
        <f>IF(ISERROR(VLOOKUP($K26,'Calc-Drivers'!$B$17:$G$27,P$42,FALSE))," ",VLOOKUP($K26,'Calc-Drivers'!$B$17:$G$27,P$42,FALSE))</f>
        <v>0.23654014248762154</v>
      </c>
      <c r="Q26" s="130"/>
      <c r="R26" s="70"/>
      <c r="S26" s="71">
        <f t="shared" si="1"/>
        <v>0.56535662783930651</v>
      </c>
      <c r="T26" s="71">
        <f t="shared" si="2"/>
        <v>0.20498048903646804</v>
      </c>
      <c r="U26" s="71">
        <f t="shared" si="3"/>
        <v>5.5096244970401845E-2</v>
      </c>
      <c r="V26" s="123">
        <f t="shared" si="4"/>
        <v>0.34781687541266021</v>
      </c>
      <c r="W26" s="123">
        <f t="shared" si="4"/>
        <v>0.36350408677556623</v>
      </c>
      <c r="X26" s="72"/>
      <c r="Y26" s="77"/>
      <c r="Z26" s="127">
        <f t="shared" si="5"/>
        <v>0.56535662783930651</v>
      </c>
      <c r="AA26" s="127">
        <f t="shared" si="6"/>
        <v>0.20498048903646804</v>
      </c>
      <c r="AB26" s="127">
        <f t="shared" si="7"/>
        <v>5.5096244970401845E-2</v>
      </c>
      <c r="AC26" s="124">
        <f t="shared" si="8"/>
        <v>0.34781687541266021</v>
      </c>
      <c r="AD26" s="124">
        <f t="shared" si="9"/>
        <v>0.36350408677556623</v>
      </c>
      <c r="AE26" s="72"/>
      <c r="AF26" s="78"/>
      <c r="AG26" s="194">
        <f>IF(ISERROR(Z26*100000000/'Calc-Units'!$E$21)," ",Z26*100000000/'Calc-Units'!$E$21)</f>
        <v>2.1371792176864595E-3</v>
      </c>
      <c r="AH26" s="194">
        <f>IF(ISERROR(AA26*100000000/'Calc-Units'!$D$21)," ",AA26*100000000/'Calc-Units'!$D$21)</f>
        <v>7.9250233480826124E-4</v>
      </c>
      <c r="AI26" s="194">
        <f>IF(ISERROR(AB26*100000000/'Calc-Units'!$C$21)," ",AB26*100000000/'Calc-Units'!$C$21)</f>
        <v>3.2250201926013722E-4</v>
      </c>
      <c r="AJ26" s="195">
        <f>IF(ISERROR(AC26*100000000/'Calc-Units'!$C$21)," ",AC26*100000000/'Calc-Units'!$C$21)</f>
        <v>2.035921771322057E-3</v>
      </c>
      <c r="AK26" s="79"/>
      <c r="AL26" s="224">
        <v>0.52569999999999995</v>
      </c>
      <c r="AM26" s="116">
        <f t="shared" si="10"/>
        <v>0.8078717481448856</v>
      </c>
      <c r="AN26" s="197">
        <f t="shared" si="11"/>
        <v>0.72888257588951744</v>
      </c>
      <c r="AO26" s="68"/>
      <c r="AP26" s="68"/>
      <c r="AQ26" s="127">
        <f t="shared" si="12"/>
        <v>0.26814864858418314</v>
      </c>
      <c r="AR26" s="127">
        <f t="shared" si="13"/>
        <v>9.7222245949996802E-2</v>
      </c>
      <c r="AS26" s="127">
        <f t="shared" si="14"/>
        <v>2.6132148989461597E-2</v>
      </c>
      <c r="AT26" s="124">
        <f t="shared" si="15"/>
        <v>0.16496954400822475</v>
      </c>
      <c r="AU26" s="124">
        <f t="shared" si="16"/>
        <v>0.17240998835765109</v>
      </c>
      <c r="AV26" s="72"/>
      <c r="AW26" s="79"/>
      <c r="AX26" s="194">
        <f>IF(ISERROR(AQ26*100000000/'Calc-Units'!$E$21)," ",AQ26*100000000/'Calc-Units'!$E$21)</f>
        <v>1.0136641029486878E-3</v>
      </c>
      <c r="AY26" s="194">
        <f>IF(ISERROR(AR26*100000000/'Calc-Units'!$D$21)," ",AR26*100000000/'Calc-Units'!$D$21)</f>
        <v>3.7588385739955834E-4</v>
      </c>
      <c r="AZ26" s="194">
        <f>IF(ISERROR(AS26*100000000/'Calc-Units'!$C$21)," ",AS26*100000000/'Calc-Units'!$C$21)</f>
        <v>1.5296270773508308E-4</v>
      </c>
      <c r="BA26" s="195">
        <f>IF(ISERROR(AT26*100000000/'Calc-Units'!$C$21)," ",AT26*100000000/'Calc-Units'!$C$21)</f>
        <v>9.656376961380517E-4</v>
      </c>
      <c r="BC26" s="77"/>
      <c r="BD26" s="77"/>
    </row>
    <row r="27" spans="1:56" s="65" customFormat="1" ht="12.75" customHeight="1">
      <c r="A27" s="83" t="s">
        <v>325</v>
      </c>
      <c r="B27" s="100"/>
      <c r="C27" s="83" t="s">
        <v>475</v>
      </c>
      <c r="D27" s="109">
        <f>'RRP 1.3'!Y$12</f>
        <v>2.24185108</v>
      </c>
      <c r="E27" s="109">
        <v>0</v>
      </c>
      <c r="F27" s="109">
        <v>0</v>
      </c>
      <c r="G27" s="109">
        <v>0</v>
      </c>
      <c r="H27" s="109">
        <v>0</v>
      </c>
      <c r="I27" s="109">
        <f t="shared" si="0"/>
        <v>2.24185108</v>
      </c>
      <c r="J27" s="68"/>
      <c r="K27" s="110" t="s">
        <v>473</v>
      </c>
      <c r="L27" s="118" t="str">
        <f>IF(ISERROR(VLOOKUP($K27,'Calc-Drivers'!$B$17:$G$27,L$42,FALSE))," ",VLOOKUP($K27,'Calc-Drivers'!$B$17:$G$27,L$42,FALSE))</f>
        <v xml:space="preserve"> </v>
      </c>
      <c r="M27" s="118" t="str">
        <f>IF(ISERROR(VLOOKUP($K27,'Calc-Drivers'!$B$17:$G$27,M$42,FALSE))," ",VLOOKUP($K27,'Calc-Drivers'!$B$17:$G$27,M$42,FALSE))</f>
        <v xml:space="preserve"> </v>
      </c>
      <c r="N27" s="118" t="str">
        <f>IF(ISERROR(VLOOKUP($K27,'Calc-Drivers'!$B$17:$G$27,N$42,FALSE))," ",VLOOKUP($K27,'Calc-Drivers'!$B$17:$G$27,N$42,FALSE))</f>
        <v xml:space="preserve"> </v>
      </c>
      <c r="O27" s="118" t="str">
        <f>IF(ISERROR(VLOOKUP($K27,'Calc-Drivers'!$B$17:$G$27,O$42,FALSE))," ",VLOOKUP($K27,'Calc-Drivers'!$B$17:$G$27,O$42,FALSE))</f>
        <v xml:space="preserve"> </v>
      </c>
      <c r="P27" s="118" t="str">
        <f>IF(ISERROR(VLOOKUP($K27,'Calc-Drivers'!$B$17:$G$27,P$42,FALSE))," ",VLOOKUP($K27,'Calc-Drivers'!$B$17:$G$27,P$42,FALSE))</f>
        <v xml:space="preserve"> </v>
      </c>
      <c r="Q27" s="130"/>
      <c r="R27" s="70"/>
      <c r="S27" s="126" t="str">
        <f t="shared" si="1"/>
        <v xml:space="preserve"> </v>
      </c>
      <c r="T27" s="126" t="str">
        <f t="shared" si="2"/>
        <v xml:space="preserve"> </v>
      </c>
      <c r="U27" s="126" t="str">
        <f t="shared" si="3"/>
        <v xml:space="preserve"> </v>
      </c>
      <c r="V27" s="122" t="str">
        <f t="shared" si="4"/>
        <v xml:space="preserve"> </v>
      </c>
      <c r="W27" s="122" t="str">
        <f t="shared" si="4"/>
        <v xml:space="preserve"> </v>
      </c>
      <c r="X27" s="72"/>
      <c r="Y27" s="66"/>
      <c r="Z27" s="126" t="str">
        <f t="shared" si="5"/>
        <v xml:space="preserve"> </v>
      </c>
      <c r="AA27" s="126" t="str">
        <f t="shared" si="6"/>
        <v xml:space="preserve"> </v>
      </c>
      <c r="AB27" s="126" t="str">
        <f t="shared" si="7"/>
        <v xml:space="preserve"> </v>
      </c>
      <c r="AC27" s="122" t="str">
        <f t="shared" si="8"/>
        <v xml:space="preserve"> </v>
      </c>
      <c r="AD27" s="122" t="str">
        <f t="shared" si="9"/>
        <v xml:space="preserve"> </v>
      </c>
      <c r="AE27" s="72"/>
      <c r="AF27" s="72"/>
      <c r="AG27" s="221" t="str">
        <f>IF(ISERROR(Z27*100000000/'Calc-Units'!$E$21)," ",Z27*100000000/'Calc-Units'!$E$21)</f>
        <v xml:space="preserve"> </v>
      </c>
      <c r="AH27" s="221" t="str">
        <f>IF(ISERROR(AA27*100000000/'Calc-Units'!$D$21)," ",AA27*100000000/'Calc-Units'!$D$21)</f>
        <v xml:space="preserve"> </v>
      </c>
      <c r="AI27" s="221" t="str">
        <f>IF(ISERROR(AB27*100000000/'Calc-Units'!$C$21)," ",AB27*100000000/'Calc-Units'!$C$21)</f>
        <v xml:space="preserve"> </v>
      </c>
      <c r="AJ27" s="222" t="str">
        <f>IF(ISERROR(AC27*100000000/'Calc-Units'!$C$21)," ",AC27*100000000/'Calc-Units'!$C$21)</f>
        <v xml:space="preserve"> </v>
      </c>
      <c r="AK27" s="74"/>
      <c r="AL27" s="82">
        <v>0</v>
      </c>
      <c r="AM27" s="106">
        <f t="shared" si="10"/>
        <v>0</v>
      </c>
      <c r="AN27" s="69">
        <f t="shared" si="11"/>
        <v>2.24185108</v>
      </c>
      <c r="AO27" s="68"/>
      <c r="AP27" s="68"/>
      <c r="AQ27" s="126" t="str">
        <f t="shared" si="12"/>
        <v xml:space="preserve"> </v>
      </c>
      <c r="AR27" s="126" t="str">
        <f t="shared" si="13"/>
        <v xml:space="preserve"> </v>
      </c>
      <c r="AS27" s="126" t="str">
        <f t="shared" si="14"/>
        <v xml:space="preserve"> </v>
      </c>
      <c r="AT27" s="122" t="str">
        <f t="shared" si="15"/>
        <v xml:space="preserve"> </v>
      </c>
      <c r="AU27" s="122" t="str">
        <f t="shared" si="16"/>
        <v xml:space="preserve"> </v>
      </c>
      <c r="AV27" s="72"/>
      <c r="AW27" s="74"/>
      <c r="AX27" s="221" t="str">
        <f>IF(ISERROR(AQ27*100000000/'Calc-Units'!$E$21)," ",AQ27*100000000/'Calc-Units'!$E$21)</f>
        <v xml:space="preserve"> </v>
      </c>
      <c r="AY27" s="221" t="str">
        <f>IF(ISERROR(AR27*100000000/'Calc-Units'!$D$21)," ",AR27*100000000/'Calc-Units'!$D$21)</f>
        <v xml:space="preserve"> </v>
      </c>
      <c r="AZ27" s="221" t="str">
        <f>IF(ISERROR(AS27*100000000/'Calc-Units'!$C$21)," ",AS27*100000000/'Calc-Units'!$C$21)</f>
        <v xml:space="preserve"> </v>
      </c>
      <c r="BA27" s="222" t="str">
        <f>IF(ISERROR(AT27*100000000/'Calc-Units'!$C$21)," ",AT27*100000000/'Calc-Units'!$C$21)</f>
        <v xml:space="preserve"> </v>
      </c>
      <c r="BC27" s="77"/>
      <c r="BD27" s="66"/>
    </row>
    <row r="28" spans="1:56" s="65" customFormat="1">
      <c r="A28" s="81"/>
      <c r="B28" s="101"/>
      <c r="C28" s="81" t="s">
        <v>476</v>
      </c>
      <c r="D28" s="110">
        <f>'RRP 1.3'!Z$12</f>
        <v>7.62</v>
      </c>
      <c r="E28" s="110">
        <v>0</v>
      </c>
      <c r="F28" s="110">
        <v>0</v>
      </c>
      <c r="G28" s="110">
        <v>0</v>
      </c>
      <c r="H28" s="110">
        <v>0</v>
      </c>
      <c r="I28" s="110">
        <f t="shared" si="0"/>
        <v>7.62</v>
      </c>
      <c r="J28" s="68"/>
      <c r="K28" s="109" t="s">
        <v>473</v>
      </c>
      <c r="L28" s="191" t="str">
        <f>IF(ISERROR(VLOOKUP($K28,'Calc-Drivers'!$B$17:$G$27,L$42,FALSE))," ",VLOOKUP($K28,'Calc-Drivers'!$B$17:$G$27,L$42,FALSE))</f>
        <v xml:space="preserve"> </v>
      </c>
      <c r="M28" s="191" t="str">
        <f>IF(ISERROR(VLOOKUP($K28,'Calc-Drivers'!$B$17:$G$27,M$42,FALSE))," ",VLOOKUP($K28,'Calc-Drivers'!$B$17:$G$27,M$42,FALSE))</f>
        <v xml:space="preserve"> </v>
      </c>
      <c r="N28" s="191" t="str">
        <f>IF(ISERROR(VLOOKUP($K28,'Calc-Drivers'!$B$17:$G$27,N$42,FALSE))," ",VLOOKUP($K28,'Calc-Drivers'!$B$17:$G$27,N$42,FALSE))</f>
        <v xml:space="preserve"> </v>
      </c>
      <c r="O28" s="191" t="str">
        <f>IF(ISERROR(VLOOKUP($K28,'Calc-Drivers'!$B$17:$G$27,O$42,FALSE))," ",VLOOKUP($K28,'Calc-Drivers'!$B$17:$G$27,O$42,FALSE))</f>
        <v xml:space="preserve"> </v>
      </c>
      <c r="P28" s="191" t="str">
        <f>IF(ISERROR(VLOOKUP($K28,'Calc-Drivers'!$B$17:$G$27,P$42,FALSE))," ",VLOOKUP($K28,'Calc-Drivers'!$B$17:$G$27,P$42,FALSE))</f>
        <v xml:space="preserve"> </v>
      </c>
      <c r="Q28" s="130"/>
      <c r="R28" s="70"/>
      <c r="S28" s="71" t="str">
        <f t="shared" si="1"/>
        <v xml:space="preserve"> </v>
      </c>
      <c r="T28" s="71" t="str">
        <f t="shared" si="2"/>
        <v xml:space="preserve"> </v>
      </c>
      <c r="U28" s="71" t="str">
        <f t="shared" si="3"/>
        <v xml:space="preserve"> </v>
      </c>
      <c r="V28" s="123" t="str">
        <f t="shared" si="4"/>
        <v xml:space="preserve"> </v>
      </c>
      <c r="W28" s="123" t="str">
        <f t="shared" si="4"/>
        <v xml:space="preserve"> </v>
      </c>
      <c r="X28" s="72"/>
      <c r="Y28" s="66"/>
      <c r="Z28" s="71" t="str">
        <f t="shared" si="5"/>
        <v xml:space="preserve"> </v>
      </c>
      <c r="AA28" s="71" t="str">
        <f t="shared" si="6"/>
        <v xml:space="preserve"> </v>
      </c>
      <c r="AB28" s="71" t="str">
        <f t="shared" si="7"/>
        <v xml:space="preserve"> </v>
      </c>
      <c r="AC28" s="123" t="str">
        <f t="shared" si="8"/>
        <v xml:space="preserve"> </v>
      </c>
      <c r="AD28" s="123" t="str">
        <f t="shared" si="9"/>
        <v xml:space="preserve"> </v>
      </c>
      <c r="AE28" s="72"/>
      <c r="AF28" s="72"/>
      <c r="AG28" s="73" t="str">
        <f>IF(ISERROR(Z28*100000000/'Calc-Units'!$E$21)," ",Z28*100000000/'Calc-Units'!$E$21)</f>
        <v xml:space="preserve"> </v>
      </c>
      <c r="AH28" s="73" t="str">
        <f>IF(ISERROR(AA28*100000000/'Calc-Units'!$D$21)," ",AA28*100000000/'Calc-Units'!$D$21)</f>
        <v xml:space="preserve"> </v>
      </c>
      <c r="AI28" s="73" t="str">
        <f>IF(ISERROR(AB28*100000000/'Calc-Units'!$C$21)," ",AB28*100000000/'Calc-Units'!$C$21)</f>
        <v xml:space="preserve"> </v>
      </c>
      <c r="AJ28" s="193" t="str">
        <f>IF(ISERROR(AC28*100000000/'Calc-Units'!$C$21)," ",AC28*100000000/'Calc-Units'!$C$21)</f>
        <v xml:space="preserve"> </v>
      </c>
      <c r="AK28" s="74"/>
      <c r="AL28" s="82">
        <v>0.57699999999999996</v>
      </c>
      <c r="AM28" s="106">
        <f t="shared" si="10"/>
        <v>4.3967399999999994</v>
      </c>
      <c r="AN28" s="69">
        <f t="shared" si="11"/>
        <v>3.2232600000000002</v>
      </c>
      <c r="AO28" s="68"/>
      <c r="AP28" s="68"/>
      <c r="AQ28" s="71" t="str">
        <f t="shared" si="12"/>
        <v xml:space="preserve"> </v>
      </c>
      <c r="AR28" s="71" t="str">
        <f t="shared" si="13"/>
        <v xml:space="preserve"> </v>
      </c>
      <c r="AS28" s="71" t="str">
        <f t="shared" si="14"/>
        <v xml:space="preserve"> </v>
      </c>
      <c r="AT28" s="123" t="str">
        <f t="shared" si="15"/>
        <v xml:space="preserve"> </v>
      </c>
      <c r="AU28" s="123" t="str">
        <f t="shared" si="16"/>
        <v xml:space="preserve"> </v>
      </c>
      <c r="AV28" s="72"/>
      <c r="AW28" s="74"/>
      <c r="AX28" s="73" t="str">
        <f>IF(ISERROR(AQ28*100000000/'Calc-Units'!$E$21)," ",AQ28*100000000/'Calc-Units'!$E$21)</f>
        <v xml:space="preserve"> </v>
      </c>
      <c r="AY28" s="73" t="str">
        <f>IF(ISERROR(AR28*100000000/'Calc-Units'!$D$21)," ",AR28*100000000/'Calc-Units'!$D$21)</f>
        <v xml:space="preserve"> </v>
      </c>
      <c r="AZ28" s="73" t="str">
        <f>IF(ISERROR(AS28*100000000/'Calc-Units'!$C$21)," ",AS28*100000000/'Calc-Units'!$C$21)</f>
        <v xml:space="preserve"> </v>
      </c>
      <c r="BA28" s="193" t="str">
        <f>IF(ISERROR(AT28*100000000/'Calc-Units'!$C$21)," ",AT28*100000000/'Calc-Units'!$C$21)</f>
        <v xml:space="preserve"> </v>
      </c>
      <c r="BC28" s="77"/>
      <c r="BD28" s="66"/>
    </row>
    <row r="29" spans="1:56" s="65" customFormat="1">
      <c r="A29" s="81"/>
      <c r="B29" s="101"/>
      <c r="C29" s="81" t="s">
        <v>774</v>
      </c>
      <c r="D29" s="110">
        <f>'RRP 1.3'!AA$12</f>
        <v>0.81564207</v>
      </c>
      <c r="E29" s="110">
        <v>0</v>
      </c>
      <c r="F29" s="110">
        <v>0</v>
      </c>
      <c r="G29" s="110">
        <v>0</v>
      </c>
      <c r="H29" s="110">
        <v>0</v>
      </c>
      <c r="I29" s="110">
        <f t="shared" si="0"/>
        <v>0.81564207</v>
      </c>
      <c r="J29" s="68"/>
      <c r="K29" s="110" t="s">
        <v>473</v>
      </c>
      <c r="L29" s="118" t="str">
        <f>IF(ISERROR(VLOOKUP($K29,'Calc-Drivers'!$B$17:$G$27,L$42,FALSE))," ",VLOOKUP($K29,'Calc-Drivers'!$B$17:$G$27,L$42,FALSE))</f>
        <v xml:space="preserve"> </v>
      </c>
      <c r="M29" s="118" t="str">
        <f>IF(ISERROR(VLOOKUP($K29,'Calc-Drivers'!$B$17:$G$27,M$42,FALSE))," ",VLOOKUP($K29,'Calc-Drivers'!$B$17:$G$27,M$42,FALSE))</f>
        <v xml:space="preserve"> </v>
      </c>
      <c r="N29" s="118" t="str">
        <f>IF(ISERROR(VLOOKUP($K29,'Calc-Drivers'!$B$17:$G$27,N$42,FALSE))," ",VLOOKUP($K29,'Calc-Drivers'!$B$17:$G$27,N$42,FALSE))</f>
        <v xml:space="preserve"> </v>
      </c>
      <c r="O29" s="118" t="str">
        <f>IF(ISERROR(VLOOKUP($K29,'Calc-Drivers'!$B$17:$G$27,O$42,FALSE))," ",VLOOKUP($K29,'Calc-Drivers'!$B$17:$G$27,O$42,FALSE))</f>
        <v xml:space="preserve"> </v>
      </c>
      <c r="P29" s="118" t="str">
        <f>IF(ISERROR(VLOOKUP($K29,'Calc-Drivers'!$B$17:$G$27,P$42,FALSE))," ",VLOOKUP($K29,'Calc-Drivers'!$B$17:$G$27,P$42,FALSE))</f>
        <v xml:space="preserve"> </v>
      </c>
      <c r="Q29" s="130"/>
      <c r="R29" s="70"/>
      <c r="S29" s="71" t="str">
        <f t="shared" si="1"/>
        <v xml:space="preserve"> </v>
      </c>
      <c r="T29" s="71" t="str">
        <f t="shared" si="2"/>
        <v xml:space="preserve"> </v>
      </c>
      <c r="U29" s="71" t="str">
        <f t="shared" si="3"/>
        <v xml:space="preserve"> </v>
      </c>
      <c r="V29" s="123" t="str">
        <f t="shared" si="4"/>
        <v xml:space="preserve"> </v>
      </c>
      <c r="W29" s="123" t="str">
        <f t="shared" si="4"/>
        <v xml:space="preserve"> </v>
      </c>
      <c r="X29" s="72"/>
      <c r="Y29" s="66"/>
      <c r="Z29" s="71" t="str">
        <f t="shared" si="5"/>
        <v xml:space="preserve"> </v>
      </c>
      <c r="AA29" s="71" t="str">
        <f t="shared" si="6"/>
        <v xml:space="preserve"> </v>
      </c>
      <c r="AB29" s="71" t="str">
        <f t="shared" si="7"/>
        <v xml:space="preserve"> </v>
      </c>
      <c r="AC29" s="123" t="str">
        <f t="shared" si="8"/>
        <v xml:space="preserve"> </v>
      </c>
      <c r="AD29" s="123" t="str">
        <f t="shared" si="9"/>
        <v xml:space="preserve"> </v>
      </c>
      <c r="AE29" s="72"/>
      <c r="AF29" s="72"/>
      <c r="AG29" s="73" t="str">
        <f>IF(ISERROR(Z29*100000000/'Calc-Units'!$E$21)," ",Z29*100000000/'Calc-Units'!$E$21)</f>
        <v xml:space="preserve"> </v>
      </c>
      <c r="AH29" s="73" t="str">
        <f>IF(ISERROR(AA29*100000000/'Calc-Units'!$D$21)," ",AA29*100000000/'Calc-Units'!$D$21)</f>
        <v xml:space="preserve"> </v>
      </c>
      <c r="AI29" s="73" t="str">
        <f>IF(ISERROR(AB29*100000000/'Calc-Units'!$C$21)," ",AB29*100000000/'Calc-Units'!$C$21)</f>
        <v xml:space="preserve"> </v>
      </c>
      <c r="AJ29" s="193" t="str">
        <f>IF(ISERROR(AC29*100000000/'Calc-Units'!$C$21)," ",AC29*100000000/'Calc-Units'!$C$21)</f>
        <v xml:space="preserve"> </v>
      </c>
      <c r="AK29" s="74"/>
      <c r="AL29" s="82">
        <v>0</v>
      </c>
      <c r="AM29" s="106">
        <f t="shared" si="10"/>
        <v>0</v>
      </c>
      <c r="AN29" s="69">
        <f t="shared" si="11"/>
        <v>0.81564207</v>
      </c>
      <c r="AO29" s="68"/>
      <c r="AP29" s="68"/>
      <c r="AQ29" s="71" t="str">
        <f t="shared" si="12"/>
        <v xml:space="preserve"> </v>
      </c>
      <c r="AR29" s="71" t="str">
        <f t="shared" si="13"/>
        <v xml:space="preserve"> </v>
      </c>
      <c r="AS29" s="71" t="str">
        <f t="shared" si="14"/>
        <v xml:space="preserve"> </v>
      </c>
      <c r="AT29" s="123" t="str">
        <f t="shared" si="15"/>
        <v xml:space="preserve"> </v>
      </c>
      <c r="AU29" s="123" t="str">
        <f t="shared" si="16"/>
        <v xml:space="preserve"> </v>
      </c>
      <c r="AV29" s="72"/>
      <c r="AW29" s="74"/>
      <c r="AX29" s="73" t="str">
        <f>IF(ISERROR(AQ29*100000000/'Calc-Units'!$E$21)," ",AQ29*100000000/'Calc-Units'!$E$21)</f>
        <v xml:space="preserve"> </v>
      </c>
      <c r="AY29" s="73" t="str">
        <f>IF(ISERROR(AR29*100000000/'Calc-Units'!$D$21)," ",AR29*100000000/'Calc-Units'!$D$21)</f>
        <v xml:space="preserve"> </v>
      </c>
      <c r="AZ29" s="73" t="str">
        <f>IF(ISERROR(AS29*100000000/'Calc-Units'!$C$21)," ",AS29*100000000/'Calc-Units'!$C$21)</f>
        <v xml:space="preserve"> </v>
      </c>
      <c r="BA29" s="193" t="str">
        <f>IF(ISERROR(AT29*100000000/'Calc-Units'!$C$21)," ",AT29*100000000/'Calc-Units'!$C$21)</f>
        <v xml:space="preserve"> </v>
      </c>
      <c r="BC29" s="66"/>
      <c r="BD29" s="66"/>
    </row>
    <row r="30" spans="1:56" s="65" customFormat="1">
      <c r="A30" s="81"/>
      <c r="B30" s="101"/>
      <c r="C30" s="81" t="s">
        <v>775</v>
      </c>
      <c r="D30" s="110">
        <f>'RRP 1.3'!AB$12</f>
        <v>12.183907341469606</v>
      </c>
      <c r="E30" s="110">
        <v>0</v>
      </c>
      <c r="F30" s="110">
        <v>0</v>
      </c>
      <c r="G30" s="110">
        <v>0</v>
      </c>
      <c r="H30" s="110">
        <v>0</v>
      </c>
      <c r="I30" s="110">
        <f t="shared" si="0"/>
        <v>12.183907341469606</v>
      </c>
      <c r="J30" s="68"/>
      <c r="K30" s="110" t="s">
        <v>473</v>
      </c>
      <c r="L30" s="118" t="str">
        <f>IF(ISERROR(VLOOKUP($K30,'Calc-Drivers'!$B$17:$G$27,L$42,FALSE))," ",VLOOKUP($K30,'Calc-Drivers'!$B$17:$G$27,L$42,FALSE))</f>
        <v xml:space="preserve"> </v>
      </c>
      <c r="M30" s="118" t="str">
        <f>IF(ISERROR(VLOOKUP($K30,'Calc-Drivers'!$B$17:$G$27,M$42,FALSE))," ",VLOOKUP($K30,'Calc-Drivers'!$B$17:$G$27,M$42,FALSE))</f>
        <v xml:space="preserve"> </v>
      </c>
      <c r="N30" s="118" t="str">
        <f>IF(ISERROR(VLOOKUP($K30,'Calc-Drivers'!$B$17:$G$27,N$42,FALSE))," ",VLOOKUP($K30,'Calc-Drivers'!$B$17:$G$27,N$42,FALSE))</f>
        <v xml:space="preserve"> </v>
      </c>
      <c r="O30" s="118" t="str">
        <f>IF(ISERROR(VLOOKUP($K30,'Calc-Drivers'!$B$17:$G$27,O$42,FALSE))," ",VLOOKUP($K30,'Calc-Drivers'!$B$17:$G$27,O$42,FALSE))</f>
        <v xml:space="preserve"> </v>
      </c>
      <c r="P30" s="118" t="str">
        <f>IF(ISERROR(VLOOKUP($K30,'Calc-Drivers'!$B$17:$G$27,P$42,FALSE))," ",VLOOKUP($K30,'Calc-Drivers'!$B$17:$G$27,P$42,FALSE))</f>
        <v xml:space="preserve"> </v>
      </c>
      <c r="Q30" s="130"/>
      <c r="R30" s="70"/>
      <c r="S30" s="71" t="str">
        <f t="shared" si="1"/>
        <v xml:space="preserve"> </v>
      </c>
      <c r="T30" s="71" t="str">
        <f t="shared" si="2"/>
        <v xml:space="preserve"> </v>
      </c>
      <c r="U30" s="71" t="str">
        <f t="shared" si="3"/>
        <v xml:space="preserve"> </v>
      </c>
      <c r="V30" s="123" t="str">
        <f t="shared" si="4"/>
        <v xml:space="preserve"> </v>
      </c>
      <c r="W30" s="123" t="str">
        <f t="shared" si="4"/>
        <v xml:space="preserve"> </v>
      </c>
      <c r="X30" s="72"/>
      <c r="Y30" s="66"/>
      <c r="Z30" s="71" t="str">
        <f t="shared" si="5"/>
        <v xml:space="preserve"> </v>
      </c>
      <c r="AA30" s="71" t="str">
        <f t="shared" si="6"/>
        <v xml:space="preserve"> </v>
      </c>
      <c r="AB30" s="71" t="str">
        <f t="shared" si="7"/>
        <v xml:space="preserve"> </v>
      </c>
      <c r="AC30" s="123" t="str">
        <f t="shared" si="8"/>
        <v xml:space="preserve"> </v>
      </c>
      <c r="AD30" s="123" t="str">
        <f t="shared" si="9"/>
        <v xml:space="preserve"> </v>
      </c>
      <c r="AE30" s="72"/>
      <c r="AF30" s="72"/>
      <c r="AG30" s="73" t="str">
        <f>IF(ISERROR(Z30*100000000/'Calc-Units'!$E$21)," ",Z30*100000000/'Calc-Units'!$E$21)</f>
        <v xml:space="preserve"> </v>
      </c>
      <c r="AH30" s="73" t="str">
        <f>IF(ISERROR(AA30*100000000/'Calc-Units'!$D$21)," ",AA30*100000000/'Calc-Units'!$D$21)</f>
        <v xml:space="preserve"> </v>
      </c>
      <c r="AI30" s="73" t="str">
        <f>IF(ISERROR(AB30*100000000/'Calc-Units'!$C$21)," ",AB30*100000000/'Calc-Units'!$C$21)</f>
        <v xml:space="preserve"> </v>
      </c>
      <c r="AJ30" s="193" t="str">
        <f>IF(ISERROR(AC30*100000000/'Calc-Units'!$C$21)," ",AC30*100000000/'Calc-Units'!$C$21)</f>
        <v xml:space="preserve"> </v>
      </c>
      <c r="AK30" s="74"/>
      <c r="AL30" s="82">
        <v>0</v>
      </c>
      <c r="AM30" s="106">
        <f t="shared" si="10"/>
        <v>0</v>
      </c>
      <c r="AN30" s="69">
        <f t="shared" si="11"/>
        <v>12.183907341469606</v>
      </c>
      <c r="AO30" s="68"/>
      <c r="AP30" s="68"/>
      <c r="AQ30" s="71" t="str">
        <f t="shared" si="12"/>
        <v xml:space="preserve"> </v>
      </c>
      <c r="AR30" s="71" t="str">
        <f t="shared" si="13"/>
        <v xml:space="preserve"> </v>
      </c>
      <c r="AS30" s="71" t="str">
        <f t="shared" si="14"/>
        <v xml:space="preserve"> </v>
      </c>
      <c r="AT30" s="123" t="str">
        <f t="shared" si="15"/>
        <v xml:space="preserve"> </v>
      </c>
      <c r="AU30" s="123" t="str">
        <f t="shared" si="16"/>
        <v xml:space="preserve"> </v>
      </c>
      <c r="AV30" s="72"/>
      <c r="AW30" s="74"/>
      <c r="AX30" s="73" t="str">
        <f>IF(ISERROR(AQ30*100000000/'Calc-Units'!$E$21)," ",AQ30*100000000/'Calc-Units'!$E$21)</f>
        <v xml:space="preserve"> </v>
      </c>
      <c r="AY30" s="73" t="str">
        <f>IF(ISERROR(AR30*100000000/'Calc-Units'!$D$21)," ",AR30*100000000/'Calc-Units'!$D$21)</f>
        <v xml:space="preserve"> </v>
      </c>
      <c r="AZ30" s="73" t="str">
        <f>IF(ISERROR(AS30*100000000/'Calc-Units'!$C$21)," ",AS30*100000000/'Calc-Units'!$C$21)</f>
        <v xml:space="preserve"> </v>
      </c>
      <c r="BA30" s="193" t="str">
        <f>IF(ISERROR(AT30*100000000/'Calc-Units'!$C$21)," ",AT30*100000000/'Calc-Units'!$C$21)</f>
        <v xml:space="preserve"> </v>
      </c>
      <c r="BC30" s="66"/>
      <c r="BD30" s="66"/>
    </row>
    <row r="31" spans="1:56" s="65" customFormat="1">
      <c r="A31" s="81"/>
      <c r="B31" s="101"/>
      <c r="C31" s="81" t="s">
        <v>760</v>
      </c>
      <c r="D31" s="110">
        <f>'RRP 1.3'!AC$12</f>
        <v>1.3999999737279722E-7</v>
      </c>
      <c r="E31" s="110">
        <v>0</v>
      </c>
      <c r="F31" s="110">
        <v>0</v>
      </c>
      <c r="G31" s="110">
        <v>0</v>
      </c>
      <c r="H31" s="110">
        <v>0</v>
      </c>
      <c r="I31" s="110">
        <f t="shared" si="0"/>
        <v>1.3999999737279722E-7</v>
      </c>
      <c r="J31" s="68"/>
      <c r="K31" s="110" t="s">
        <v>473</v>
      </c>
      <c r="L31" s="118" t="str">
        <f>IF(ISERROR(VLOOKUP($K31,'Calc-Drivers'!$B$17:$G$27,L$42,FALSE))," ",VLOOKUP($K31,'Calc-Drivers'!$B$17:$G$27,L$42,FALSE))</f>
        <v xml:space="preserve"> </v>
      </c>
      <c r="M31" s="118" t="str">
        <f>IF(ISERROR(VLOOKUP($K31,'Calc-Drivers'!$B$17:$G$27,M$42,FALSE))," ",VLOOKUP($K31,'Calc-Drivers'!$B$17:$G$27,M$42,FALSE))</f>
        <v xml:space="preserve"> </v>
      </c>
      <c r="N31" s="118" t="str">
        <f>IF(ISERROR(VLOOKUP($K31,'Calc-Drivers'!$B$17:$G$27,N$42,FALSE))," ",VLOOKUP($K31,'Calc-Drivers'!$B$17:$G$27,N$42,FALSE))</f>
        <v xml:space="preserve"> </v>
      </c>
      <c r="O31" s="118" t="str">
        <f>IF(ISERROR(VLOOKUP($K31,'Calc-Drivers'!$B$17:$G$27,O$42,FALSE))," ",VLOOKUP($K31,'Calc-Drivers'!$B$17:$G$27,O$42,FALSE))</f>
        <v xml:space="preserve"> </v>
      </c>
      <c r="P31" s="118" t="str">
        <f>IF(ISERROR(VLOOKUP($K31,'Calc-Drivers'!$B$17:$G$27,P$42,FALSE))," ",VLOOKUP($K31,'Calc-Drivers'!$B$17:$G$27,P$42,FALSE))</f>
        <v xml:space="preserve"> </v>
      </c>
      <c r="Q31" s="130"/>
      <c r="R31" s="70"/>
      <c r="S31" s="71" t="str">
        <f t="shared" si="1"/>
        <v xml:space="preserve"> </v>
      </c>
      <c r="T31" s="71" t="str">
        <f t="shared" si="2"/>
        <v xml:space="preserve"> </v>
      </c>
      <c r="U31" s="71" t="str">
        <f t="shared" si="3"/>
        <v xml:space="preserve"> </v>
      </c>
      <c r="V31" s="123" t="str">
        <f t="shared" si="4"/>
        <v xml:space="preserve"> </v>
      </c>
      <c r="W31" s="123" t="str">
        <f t="shared" si="4"/>
        <v xml:space="preserve"> </v>
      </c>
      <c r="X31" s="72"/>
      <c r="Y31" s="66"/>
      <c r="Z31" s="71" t="str">
        <f t="shared" si="5"/>
        <v xml:space="preserve"> </v>
      </c>
      <c r="AA31" s="71" t="str">
        <f t="shared" si="6"/>
        <v xml:space="preserve"> </v>
      </c>
      <c r="AB31" s="71" t="str">
        <f t="shared" si="7"/>
        <v xml:space="preserve"> </v>
      </c>
      <c r="AC31" s="123" t="str">
        <f t="shared" si="8"/>
        <v xml:space="preserve"> </v>
      </c>
      <c r="AD31" s="123" t="str">
        <f t="shared" si="9"/>
        <v xml:space="preserve"> </v>
      </c>
      <c r="AE31" s="72"/>
      <c r="AF31" s="72"/>
      <c r="AG31" s="73" t="str">
        <f>IF(ISERROR(Z31*100000000/'Calc-Units'!$E$21)," ",Z31*100000000/'Calc-Units'!$E$21)</f>
        <v xml:space="preserve"> </v>
      </c>
      <c r="AH31" s="73" t="str">
        <f>IF(ISERROR(AA31*100000000/'Calc-Units'!$D$21)," ",AA31*100000000/'Calc-Units'!$D$21)</f>
        <v xml:space="preserve"> </v>
      </c>
      <c r="AI31" s="73" t="str">
        <f>IF(ISERROR(AB31*100000000/'Calc-Units'!$C$21)," ",AB31*100000000/'Calc-Units'!$C$21)</f>
        <v xml:space="preserve"> </v>
      </c>
      <c r="AJ31" s="193" t="str">
        <f>IF(ISERROR(AC31*100000000/'Calc-Units'!$C$21)," ",AC31*100000000/'Calc-Units'!$C$21)</f>
        <v xml:space="preserve"> </v>
      </c>
      <c r="AK31" s="74"/>
      <c r="AL31" s="82">
        <v>0</v>
      </c>
      <c r="AM31" s="106">
        <f t="shared" si="10"/>
        <v>0</v>
      </c>
      <c r="AN31" s="69">
        <f t="shared" si="11"/>
        <v>1.3999999737279722E-7</v>
      </c>
      <c r="AO31" s="68"/>
      <c r="AP31" s="68"/>
      <c r="AQ31" s="71" t="str">
        <f t="shared" si="12"/>
        <v xml:space="preserve"> </v>
      </c>
      <c r="AR31" s="71" t="str">
        <f t="shared" si="13"/>
        <v xml:space="preserve"> </v>
      </c>
      <c r="AS31" s="71" t="str">
        <f t="shared" si="14"/>
        <v xml:space="preserve"> </v>
      </c>
      <c r="AT31" s="123" t="str">
        <f t="shared" si="15"/>
        <v xml:space="preserve"> </v>
      </c>
      <c r="AU31" s="123" t="str">
        <f t="shared" si="16"/>
        <v xml:space="preserve"> </v>
      </c>
      <c r="AV31" s="72"/>
      <c r="AW31" s="74"/>
      <c r="AX31" s="73" t="str">
        <f>IF(ISERROR(AQ31*100000000/'Calc-Units'!$E$21)," ",AQ31*100000000/'Calc-Units'!$E$21)</f>
        <v xml:space="preserve"> </v>
      </c>
      <c r="AY31" s="73" t="str">
        <f>IF(ISERROR(AR31*100000000/'Calc-Units'!$D$21)," ",AR31*100000000/'Calc-Units'!$D$21)</f>
        <v xml:space="preserve"> </v>
      </c>
      <c r="AZ31" s="73" t="str">
        <f>IF(ISERROR(AS31*100000000/'Calc-Units'!$C$21)," ",AS31*100000000/'Calc-Units'!$C$21)</f>
        <v xml:space="preserve"> </v>
      </c>
      <c r="BA31" s="193" t="str">
        <f>IF(ISERROR(AT31*100000000/'Calc-Units'!$C$21)," ",AT31*100000000/'Calc-Units'!$C$21)</f>
        <v xml:space="preserve"> </v>
      </c>
      <c r="BC31" s="66"/>
      <c r="BD31" s="66"/>
    </row>
    <row r="32" spans="1:56" s="65" customFormat="1">
      <c r="A32" s="81"/>
      <c r="B32" s="101"/>
      <c r="C32" s="81" t="s">
        <v>58</v>
      </c>
      <c r="D32" s="110">
        <f>'RRP 1.3'!AD$12</f>
        <v>1.0147458008000003</v>
      </c>
      <c r="E32" s="110">
        <v>0</v>
      </c>
      <c r="F32" s="110">
        <v>0</v>
      </c>
      <c r="G32" s="110">
        <v>0</v>
      </c>
      <c r="H32" s="110">
        <v>0</v>
      </c>
      <c r="I32" s="110">
        <f t="shared" si="0"/>
        <v>1.0147458008000003</v>
      </c>
      <c r="J32" s="68"/>
      <c r="K32" s="110" t="s">
        <v>473</v>
      </c>
      <c r="L32" s="118" t="str">
        <f>IF(ISERROR(VLOOKUP($K32,'Calc-Drivers'!$B$17:$G$27,L$42,FALSE))," ",VLOOKUP($K32,'Calc-Drivers'!$B$17:$G$27,L$42,FALSE))</f>
        <v xml:space="preserve"> </v>
      </c>
      <c r="M32" s="118" t="str">
        <f>IF(ISERROR(VLOOKUP($K32,'Calc-Drivers'!$B$17:$G$27,M$42,FALSE))," ",VLOOKUP($K32,'Calc-Drivers'!$B$17:$G$27,M$42,FALSE))</f>
        <v xml:space="preserve"> </v>
      </c>
      <c r="N32" s="118" t="str">
        <f>IF(ISERROR(VLOOKUP($K32,'Calc-Drivers'!$B$17:$G$27,N$42,FALSE))," ",VLOOKUP($K32,'Calc-Drivers'!$B$17:$G$27,N$42,FALSE))</f>
        <v xml:space="preserve"> </v>
      </c>
      <c r="O32" s="118" t="str">
        <f>IF(ISERROR(VLOOKUP($K32,'Calc-Drivers'!$B$17:$G$27,O$42,FALSE))," ",VLOOKUP($K32,'Calc-Drivers'!$B$17:$G$27,O$42,FALSE))</f>
        <v xml:space="preserve"> </v>
      </c>
      <c r="P32" s="118" t="str">
        <f>IF(ISERROR(VLOOKUP($K32,'Calc-Drivers'!$B$17:$G$27,P$42,FALSE))," ",VLOOKUP($K32,'Calc-Drivers'!$B$17:$G$27,P$42,FALSE))</f>
        <v xml:space="preserve"> </v>
      </c>
      <c r="Q32" s="130"/>
      <c r="R32" s="70"/>
      <c r="S32" s="71" t="str">
        <f t="shared" si="1"/>
        <v xml:space="preserve"> </v>
      </c>
      <c r="T32" s="71" t="str">
        <f t="shared" si="2"/>
        <v xml:space="preserve"> </v>
      </c>
      <c r="U32" s="71" t="str">
        <f t="shared" si="3"/>
        <v xml:space="preserve"> </v>
      </c>
      <c r="V32" s="123" t="str">
        <f t="shared" si="4"/>
        <v xml:space="preserve"> </v>
      </c>
      <c r="W32" s="123" t="str">
        <f t="shared" si="4"/>
        <v xml:space="preserve"> </v>
      </c>
      <c r="X32" s="72"/>
      <c r="Y32" s="66"/>
      <c r="Z32" s="71" t="str">
        <f t="shared" si="5"/>
        <v xml:space="preserve"> </v>
      </c>
      <c r="AA32" s="71" t="str">
        <f t="shared" si="6"/>
        <v xml:space="preserve"> </v>
      </c>
      <c r="AB32" s="71" t="str">
        <f t="shared" si="7"/>
        <v xml:space="preserve"> </v>
      </c>
      <c r="AC32" s="123" t="str">
        <f t="shared" si="8"/>
        <v xml:space="preserve"> </v>
      </c>
      <c r="AD32" s="123" t="str">
        <f t="shared" si="9"/>
        <v xml:space="preserve"> </v>
      </c>
      <c r="AE32" s="72"/>
      <c r="AF32" s="72"/>
      <c r="AG32" s="73" t="str">
        <f>IF(ISERROR(Z32*100000000/'Calc-Units'!$E$21)," ",Z32*100000000/'Calc-Units'!$E$21)</f>
        <v xml:space="preserve"> </v>
      </c>
      <c r="AH32" s="73" t="str">
        <f>IF(ISERROR(AA32*100000000/'Calc-Units'!$D$21)," ",AA32*100000000/'Calc-Units'!$D$21)</f>
        <v xml:space="preserve"> </v>
      </c>
      <c r="AI32" s="73" t="str">
        <f>IF(ISERROR(AB32*100000000/'Calc-Units'!$C$21)," ",AB32*100000000/'Calc-Units'!$C$21)</f>
        <v xml:space="preserve"> </v>
      </c>
      <c r="AJ32" s="193" t="str">
        <f>IF(ISERROR(AC32*100000000/'Calc-Units'!$C$21)," ",AC32*100000000/'Calc-Units'!$C$21)</f>
        <v xml:space="preserve"> </v>
      </c>
      <c r="AK32" s="74"/>
      <c r="AL32" s="82">
        <v>0</v>
      </c>
      <c r="AM32" s="106">
        <f t="shared" si="10"/>
        <v>0</v>
      </c>
      <c r="AN32" s="69">
        <f t="shared" si="11"/>
        <v>1.0147458008000003</v>
      </c>
      <c r="AO32" s="68"/>
      <c r="AP32" s="68"/>
      <c r="AQ32" s="71" t="str">
        <f t="shared" si="12"/>
        <v xml:space="preserve"> </v>
      </c>
      <c r="AR32" s="71" t="str">
        <f t="shared" si="13"/>
        <v xml:space="preserve"> </v>
      </c>
      <c r="AS32" s="71" t="str">
        <f t="shared" si="14"/>
        <v xml:space="preserve"> </v>
      </c>
      <c r="AT32" s="123" t="str">
        <f t="shared" si="15"/>
        <v xml:space="preserve"> </v>
      </c>
      <c r="AU32" s="123" t="str">
        <f t="shared" si="16"/>
        <v xml:space="preserve"> </v>
      </c>
      <c r="AV32" s="72"/>
      <c r="AW32" s="74"/>
      <c r="AX32" s="73" t="str">
        <f>IF(ISERROR(AQ32*100000000/'Calc-Units'!$E$21)," ",AQ32*100000000/'Calc-Units'!$E$21)</f>
        <v xml:space="preserve"> </v>
      </c>
      <c r="AY32" s="73" t="str">
        <f>IF(ISERROR(AR32*100000000/'Calc-Units'!$D$21)," ",AR32*100000000/'Calc-Units'!$D$21)</f>
        <v xml:space="preserve"> </v>
      </c>
      <c r="AZ32" s="73" t="str">
        <f>IF(ISERROR(AS32*100000000/'Calc-Units'!$C$21)," ",AS32*100000000/'Calc-Units'!$C$21)</f>
        <v xml:space="preserve"> </v>
      </c>
      <c r="BA32" s="193" t="str">
        <f>IF(ISERROR(AT32*100000000/'Calc-Units'!$C$21)," ",AT32*100000000/'Calc-Units'!$C$21)</f>
        <v xml:space="preserve"> </v>
      </c>
      <c r="BC32" s="66"/>
      <c r="BD32" s="66"/>
    </row>
    <row r="33" spans="1:56" s="65" customFormat="1">
      <c r="A33" s="81"/>
      <c r="B33" s="101"/>
      <c r="C33" s="81" t="s">
        <v>761</v>
      </c>
      <c r="D33" s="110">
        <f>'RRP 1.3'!AE$12</f>
        <v>-5.1969463263321618</v>
      </c>
      <c r="E33" s="110">
        <v>0</v>
      </c>
      <c r="F33" s="110">
        <v>0</v>
      </c>
      <c r="G33" s="110">
        <v>0</v>
      </c>
      <c r="H33" s="110">
        <v>0</v>
      </c>
      <c r="I33" s="110">
        <f t="shared" si="0"/>
        <v>-5.1969463263321618</v>
      </c>
      <c r="J33" s="68"/>
      <c r="K33" s="110" t="s">
        <v>473</v>
      </c>
      <c r="L33" s="118" t="str">
        <f>IF(ISERROR(VLOOKUP($K33,'Calc-Drivers'!$B$17:$G$27,L$42,FALSE))," ",VLOOKUP($K33,'Calc-Drivers'!$B$17:$G$27,L$42,FALSE))</f>
        <v xml:space="preserve"> </v>
      </c>
      <c r="M33" s="118" t="str">
        <f>IF(ISERROR(VLOOKUP($K33,'Calc-Drivers'!$B$17:$G$27,M$42,FALSE))," ",VLOOKUP($K33,'Calc-Drivers'!$B$17:$G$27,M$42,FALSE))</f>
        <v xml:space="preserve"> </v>
      </c>
      <c r="N33" s="118" t="str">
        <f>IF(ISERROR(VLOOKUP($K33,'Calc-Drivers'!$B$17:$G$27,N$42,FALSE))," ",VLOOKUP($K33,'Calc-Drivers'!$B$17:$G$27,N$42,FALSE))</f>
        <v xml:space="preserve"> </v>
      </c>
      <c r="O33" s="118" t="str">
        <f>IF(ISERROR(VLOOKUP($K33,'Calc-Drivers'!$B$17:$G$27,O$42,FALSE))," ",VLOOKUP($K33,'Calc-Drivers'!$B$17:$G$27,O$42,FALSE))</f>
        <v xml:space="preserve"> </v>
      </c>
      <c r="P33" s="118" t="str">
        <f>IF(ISERROR(VLOOKUP($K33,'Calc-Drivers'!$B$17:$G$27,P$42,FALSE))," ",VLOOKUP($K33,'Calc-Drivers'!$B$17:$G$27,P$42,FALSE))</f>
        <v xml:space="preserve"> </v>
      </c>
      <c r="Q33" s="130"/>
      <c r="R33" s="70"/>
      <c r="S33" s="71" t="str">
        <f t="shared" si="1"/>
        <v xml:space="preserve"> </v>
      </c>
      <c r="T33" s="71" t="str">
        <f t="shared" si="2"/>
        <v xml:space="preserve"> </v>
      </c>
      <c r="U33" s="71" t="str">
        <f t="shared" si="3"/>
        <v xml:space="preserve"> </v>
      </c>
      <c r="V33" s="123" t="str">
        <f t="shared" si="4"/>
        <v xml:space="preserve"> </v>
      </c>
      <c r="W33" s="123" t="str">
        <f t="shared" si="4"/>
        <v xml:space="preserve"> </v>
      </c>
      <c r="X33" s="72"/>
      <c r="Y33" s="66"/>
      <c r="Z33" s="71" t="str">
        <f t="shared" si="5"/>
        <v xml:space="preserve"> </v>
      </c>
      <c r="AA33" s="71" t="str">
        <f t="shared" si="6"/>
        <v xml:space="preserve"> </v>
      </c>
      <c r="AB33" s="71" t="str">
        <f t="shared" si="7"/>
        <v xml:space="preserve"> </v>
      </c>
      <c r="AC33" s="123" t="str">
        <f t="shared" si="8"/>
        <v xml:space="preserve"> </v>
      </c>
      <c r="AD33" s="123" t="str">
        <f t="shared" si="9"/>
        <v xml:space="preserve"> </v>
      </c>
      <c r="AE33" s="72"/>
      <c r="AF33" s="72"/>
      <c r="AG33" s="73" t="str">
        <f>IF(ISERROR(Z33*100000000/'Calc-Units'!$E$21)," ",Z33*100000000/'Calc-Units'!$E$21)</f>
        <v xml:space="preserve"> </v>
      </c>
      <c r="AH33" s="73" t="str">
        <f>IF(ISERROR(AA33*100000000/'Calc-Units'!$D$21)," ",AA33*100000000/'Calc-Units'!$D$21)</f>
        <v xml:space="preserve"> </v>
      </c>
      <c r="AI33" s="73" t="str">
        <f>IF(ISERROR(AB33*100000000/'Calc-Units'!$C$21)," ",AB33*100000000/'Calc-Units'!$C$21)</f>
        <v xml:space="preserve"> </v>
      </c>
      <c r="AJ33" s="193" t="str">
        <f>IF(ISERROR(AC33*100000000/'Calc-Units'!$C$21)," ",AC33*100000000/'Calc-Units'!$C$21)</f>
        <v xml:space="preserve"> </v>
      </c>
      <c r="AK33" s="74"/>
      <c r="AL33" s="82">
        <v>0</v>
      </c>
      <c r="AM33" s="106">
        <f t="shared" si="10"/>
        <v>0</v>
      </c>
      <c r="AN33" s="69">
        <f t="shared" si="11"/>
        <v>-5.1969463263321618</v>
      </c>
      <c r="AO33" s="68"/>
      <c r="AP33" s="68"/>
      <c r="AQ33" s="71" t="str">
        <f t="shared" si="12"/>
        <v xml:space="preserve"> </v>
      </c>
      <c r="AR33" s="71" t="str">
        <f t="shared" si="13"/>
        <v xml:space="preserve"> </v>
      </c>
      <c r="AS33" s="71" t="str">
        <f t="shared" si="14"/>
        <v xml:space="preserve"> </v>
      </c>
      <c r="AT33" s="123" t="str">
        <f t="shared" si="15"/>
        <v xml:space="preserve"> </v>
      </c>
      <c r="AU33" s="123" t="str">
        <f t="shared" si="16"/>
        <v xml:space="preserve"> </v>
      </c>
      <c r="AV33" s="72"/>
      <c r="AW33" s="74"/>
      <c r="AX33" s="73" t="str">
        <f>IF(ISERROR(AQ33*100000000/'Calc-Units'!$E$21)," ",AQ33*100000000/'Calc-Units'!$E$21)</f>
        <v xml:space="preserve"> </v>
      </c>
      <c r="AY33" s="73" t="str">
        <f>IF(ISERROR(AR33*100000000/'Calc-Units'!$D$21)," ",AR33*100000000/'Calc-Units'!$D$21)</f>
        <v xml:space="preserve"> </v>
      </c>
      <c r="AZ33" s="73" t="str">
        <f>IF(ISERROR(AS33*100000000/'Calc-Units'!$C$21)," ",AS33*100000000/'Calc-Units'!$C$21)</f>
        <v xml:space="preserve"> </v>
      </c>
      <c r="BA33" s="193" t="str">
        <f>IF(ISERROR(AT33*100000000/'Calc-Units'!$C$21)," ",AT33*100000000/'Calc-Units'!$C$21)</f>
        <v xml:space="preserve"> </v>
      </c>
      <c r="BC33" s="66"/>
      <c r="BD33" s="66"/>
    </row>
    <row r="34" spans="1:56" s="65" customFormat="1">
      <c r="A34" s="81"/>
      <c r="B34" s="101"/>
      <c r="C34" s="81" t="s">
        <v>762</v>
      </c>
      <c r="D34" s="110">
        <f>'RRP 1.3'!AF$12</f>
        <v>39.130465450300001</v>
      </c>
      <c r="E34" s="110">
        <v>0</v>
      </c>
      <c r="F34" s="110">
        <v>0</v>
      </c>
      <c r="G34" s="110">
        <v>0</v>
      </c>
      <c r="H34" s="110">
        <v>0</v>
      </c>
      <c r="I34" s="110">
        <f t="shared" si="0"/>
        <v>39.130465450300001</v>
      </c>
      <c r="J34" s="68"/>
      <c r="K34" s="110" t="s">
        <v>473</v>
      </c>
      <c r="L34" s="118" t="str">
        <f>IF(ISERROR(VLOOKUP($K34,'Calc-Drivers'!$B$17:$G$27,L$42,FALSE))," ",VLOOKUP($K34,'Calc-Drivers'!$B$17:$G$27,L$42,FALSE))</f>
        <v xml:space="preserve"> </v>
      </c>
      <c r="M34" s="118" t="str">
        <f>IF(ISERROR(VLOOKUP($K34,'Calc-Drivers'!$B$17:$G$27,M$42,FALSE))," ",VLOOKUP($K34,'Calc-Drivers'!$B$17:$G$27,M$42,FALSE))</f>
        <v xml:space="preserve"> </v>
      </c>
      <c r="N34" s="118" t="str">
        <f>IF(ISERROR(VLOOKUP($K34,'Calc-Drivers'!$B$17:$G$27,N$42,FALSE))," ",VLOOKUP($K34,'Calc-Drivers'!$B$17:$G$27,N$42,FALSE))</f>
        <v xml:space="preserve"> </v>
      </c>
      <c r="O34" s="118" t="str">
        <f>IF(ISERROR(VLOOKUP($K34,'Calc-Drivers'!$B$17:$G$27,O$42,FALSE))," ",VLOOKUP($K34,'Calc-Drivers'!$B$17:$G$27,O$42,FALSE))</f>
        <v xml:space="preserve"> </v>
      </c>
      <c r="P34" s="118" t="str">
        <f>IF(ISERROR(VLOOKUP($K34,'Calc-Drivers'!$B$17:$G$27,P$42,FALSE))," ",VLOOKUP($K34,'Calc-Drivers'!$B$17:$G$27,P$42,FALSE))</f>
        <v xml:space="preserve"> </v>
      </c>
      <c r="Q34" s="130"/>
      <c r="R34" s="70"/>
      <c r="S34" s="71" t="str">
        <f t="shared" si="1"/>
        <v xml:space="preserve"> </v>
      </c>
      <c r="T34" s="71" t="str">
        <f t="shared" si="2"/>
        <v xml:space="preserve"> </v>
      </c>
      <c r="U34" s="71" t="str">
        <f t="shared" si="3"/>
        <v xml:space="preserve"> </v>
      </c>
      <c r="V34" s="123" t="str">
        <f t="shared" si="4"/>
        <v xml:space="preserve"> </v>
      </c>
      <c r="W34" s="123" t="str">
        <f t="shared" si="4"/>
        <v xml:space="preserve"> </v>
      </c>
      <c r="X34" s="72"/>
      <c r="Y34" s="66"/>
      <c r="Z34" s="71" t="str">
        <f t="shared" si="5"/>
        <v xml:space="preserve"> </v>
      </c>
      <c r="AA34" s="71" t="str">
        <f t="shared" si="6"/>
        <v xml:space="preserve"> </v>
      </c>
      <c r="AB34" s="71" t="str">
        <f t="shared" si="7"/>
        <v xml:space="preserve"> </v>
      </c>
      <c r="AC34" s="123" t="str">
        <f t="shared" si="8"/>
        <v xml:space="preserve"> </v>
      </c>
      <c r="AD34" s="123" t="str">
        <f t="shared" si="9"/>
        <v xml:space="preserve"> </v>
      </c>
      <c r="AE34" s="72"/>
      <c r="AF34" s="72"/>
      <c r="AG34" s="73" t="str">
        <f>IF(ISERROR(Z34*100000000/'Calc-Units'!$E$21)," ",Z34*100000000/'Calc-Units'!$E$21)</f>
        <v xml:space="preserve"> </v>
      </c>
      <c r="AH34" s="73" t="str">
        <f>IF(ISERROR(AA34*100000000/'Calc-Units'!$D$21)," ",AA34*100000000/'Calc-Units'!$D$21)</f>
        <v xml:space="preserve"> </v>
      </c>
      <c r="AI34" s="73" t="str">
        <f>IF(ISERROR(AB34*100000000/'Calc-Units'!$C$21)," ",AB34*100000000/'Calc-Units'!$C$21)</f>
        <v xml:space="preserve"> </v>
      </c>
      <c r="AJ34" s="193" t="str">
        <f>IF(ISERROR(AC34*100000000/'Calc-Units'!$C$21)," ",AC34*100000000/'Calc-Units'!$C$21)</f>
        <v xml:space="preserve"> </v>
      </c>
      <c r="AK34" s="74"/>
      <c r="AL34" s="82">
        <v>0</v>
      </c>
      <c r="AM34" s="106">
        <f t="shared" si="10"/>
        <v>0</v>
      </c>
      <c r="AN34" s="69">
        <f t="shared" si="11"/>
        <v>39.130465450300001</v>
      </c>
      <c r="AO34" s="68"/>
      <c r="AP34" s="68"/>
      <c r="AQ34" s="71" t="str">
        <f t="shared" si="12"/>
        <v xml:space="preserve"> </v>
      </c>
      <c r="AR34" s="71" t="str">
        <f t="shared" si="13"/>
        <v xml:space="preserve"> </v>
      </c>
      <c r="AS34" s="71" t="str">
        <f t="shared" si="14"/>
        <v xml:space="preserve"> </v>
      </c>
      <c r="AT34" s="123" t="str">
        <f t="shared" si="15"/>
        <v xml:space="preserve"> </v>
      </c>
      <c r="AU34" s="123" t="str">
        <f t="shared" si="16"/>
        <v xml:space="preserve"> </v>
      </c>
      <c r="AV34" s="72"/>
      <c r="AW34" s="74"/>
      <c r="AX34" s="73" t="str">
        <f>IF(ISERROR(AQ34*100000000/'Calc-Units'!$E$21)," ",AQ34*100000000/'Calc-Units'!$E$21)</f>
        <v xml:space="preserve"> </v>
      </c>
      <c r="AY34" s="73" t="str">
        <f>IF(ISERROR(AR34*100000000/'Calc-Units'!$D$21)," ",AR34*100000000/'Calc-Units'!$D$21)</f>
        <v xml:space="preserve"> </v>
      </c>
      <c r="AZ34" s="73" t="str">
        <f>IF(ISERROR(AS34*100000000/'Calc-Units'!$C$21)," ",AS34*100000000/'Calc-Units'!$C$21)</f>
        <v xml:space="preserve"> </v>
      </c>
      <c r="BA34" s="193" t="str">
        <f>IF(ISERROR(AT34*100000000/'Calc-Units'!$C$21)," ",AT34*100000000/'Calc-Units'!$C$21)</f>
        <v xml:space="preserve"> </v>
      </c>
      <c r="BC34" s="66"/>
      <c r="BD34" s="66"/>
    </row>
    <row r="35" spans="1:56" s="65" customFormat="1">
      <c r="A35" s="81"/>
      <c r="B35" s="101"/>
      <c r="C35" s="81" t="s">
        <v>763</v>
      </c>
      <c r="D35" s="110">
        <f>'RRP 1.3'!AG$12</f>
        <v>20.184226800000001</v>
      </c>
      <c r="E35" s="110">
        <v>0</v>
      </c>
      <c r="F35" s="110">
        <v>0</v>
      </c>
      <c r="G35" s="110">
        <v>0</v>
      </c>
      <c r="H35" s="110">
        <v>0</v>
      </c>
      <c r="I35" s="110">
        <f t="shared" si="0"/>
        <v>20.184226800000001</v>
      </c>
      <c r="J35" s="68"/>
      <c r="K35" s="110" t="s">
        <v>473</v>
      </c>
      <c r="L35" s="118" t="str">
        <f>IF(ISERROR(VLOOKUP($K35,'Calc-Drivers'!$B$17:$G$27,L$42,FALSE))," ",VLOOKUP($K35,'Calc-Drivers'!$B$17:$G$27,L$42,FALSE))</f>
        <v xml:space="preserve"> </v>
      </c>
      <c r="M35" s="118" t="str">
        <f>IF(ISERROR(VLOOKUP($K35,'Calc-Drivers'!$B$17:$G$27,M$42,FALSE))," ",VLOOKUP($K35,'Calc-Drivers'!$B$17:$G$27,M$42,FALSE))</f>
        <v xml:space="preserve"> </v>
      </c>
      <c r="N35" s="118" t="str">
        <f>IF(ISERROR(VLOOKUP($K35,'Calc-Drivers'!$B$17:$G$27,N$42,FALSE))," ",VLOOKUP($K35,'Calc-Drivers'!$B$17:$G$27,N$42,FALSE))</f>
        <v xml:space="preserve"> </v>
      </c>
      <c r="O35" s="118" t="str">
        <f>IF(ISERROR(VLOOKUP($K35,'Calc-Drivers'!$B$17:$G$27,O$42,FALSE))," ",VLOOKUP($K35,'Calc-Drivers'!$B$17:$G$27,O$42,FALSE))</f>
        <v xml:space="preserve"> </v>
      </c>
      <c r="P35" s="118" t="str">
        <f>IF(ISERROR(VLOOKUP($K35,'Calc-Drivers'!$B$17:$G$27,P$42,FALSE))," ",VLOOKUP($K35,'Calc-Drivers'!$B$17:$G$27,P$42,FALSE))</f>
        <v xml:space="preserve"> </v>
      </c>
      <c r="Q35" s="130"/>
      <c r="R35" s="70"/>
      <c r="S35" s="71" t="str">
        <f t="shared" si="1"/>
        <v xml:space="preserve"> </v>
      </c>
      <c r="T35" s="71" t="str">
        <f t="shared" si="2"/>
        <v xml:space="preserve"> </v>
      </c>
      <c r="U35" s="71" t="str">
        <f t="shared" si="3"/>
        <v xml:space="preserve"> </v>
      </c>
      <c r="V35" s="123" t="str">
        <f t="shared" si="4"/>
        <v xml:space="preserve"> </v>
      </c>
      <c r="W35" s="123" t="str">
        <f t="shared" si="4"/>
        <v xml:space="preserve"> </v>
      </c>
      <c r="X35" s="72"/>
      <c r="Y35" s="66"/>
      <c r="Z35" s="71" t="str">
        <f t="shared" si="5"/>
        <v xml:space="preserve"> </v>
      </c>
      <c r="AA35" s="71" t="str">
        <f t="shared" si="6"/>
        <v xml:space="preserve"> </v>
      </c>
      <c r="AB35" s="71" t="str">
        <f t="shared" si="7"/>
        <v xml:space="preserve"> </v>
      </c>
      <c r="AC35" s="123" t="str">
        <f t="shared" si="8"/>
        <v xml:space="preserve"> </v>
      </c>
      <c r="AD35" s="123" t="str">
        <f t="shared" si="9"/>
        <v xml:space="preserve"> </v>
      </c>
      <c r="AE35" s="72"/>
      <c r="AF35" s="72"/>
      <c r="AG35" s="73" t="str">
        <f>IF(ISERROR(Z35*100000000/'Calc-Units'!$E$21)," ",Z35*100000000/'Calc-Units'!$E$21)</f>
        <v xml:space="preserve"> </v>
      </c>
      <c r="AH35" s="73" t="str">
        <f>IF(ISERROR(AA35*100000000/'Calc-Units'!$D$21)," ",AA35*100000000/'Calc-Units'!$D$21)</f>
        <v xml:space="preserve"> </v>
      </c>
      <c r="AI35" s="73" t="str">
        <f>IF(ISERROR(AB35*100000000/'Calc-Units'!$C$21)," ",AB35*100000000/'Calc-Units'!$C$21)</f>
        <v xml:space="preserve"> </v>
      </c>
      <c r="AJ35" s="193" t="str">
        <f>IF(ISERROR(AC35*100000000/'Calc-Units'!$C$21)," ",AC35*100000000/'Calc-Units'!$C$21)</f>
        <v xml:space="preserve"> </v>
      </c>
      <c r="AK35" s="74"/>
      <c r="AL35" s="82">
        <v>0</v>
      </c>
      <c r="AM35" s="106">
        <f t="shared" si="10"/>
        <v>0</v>
      </c>
      <c r="AN35" s="69">
        <f t="shared" si="11"/>
        <v>20.184226800000001</v>
      </c>
      <c r="AO35" s="68"/>
      <c r="AP35" s="68"/>
      <c r="AQ35" s="71" t="str">
        <f t="shared" si="12"/>
        <v xml:space="preserve"> </v>
      </c>
      <c r="AR35" s="71" t="str">
        <f t="shared" si="13"/>
        <v xml:space="preserve"> </v>
      </c>
      <c r="AS35" s="71" t="str">
        <f t="shared" si="14"/>
        <v xml:space="preserve"> </v>
      </c>
      <c r="AT35" s="123" t="str">
        <f t="shared" si="15"/>
        <v xml:space="preserve"> </v>
      </c>
      <c r="AU35" s="123" t="str">
        <f t="shared" si="16"/>
        <v xml:space="preserve"> </v>
      </c>
      <c r="AV35" s="72"/>
      <c r="AW35" s="74"/>
      <c r="AX35" s="73" t="str">
        <f>IF(ISERROR(AQ35*100000000/'Calc-Units'!$E$21)," ",AQ35*100000000/'Calc-Units'!$E$21)</f>
        <v xml:space="preserve"> </v>
      </c>
      <c r="AY35" s="73" t="str">
        <f>IF(ISERROR(AR35*100000000/'Calc-Units'!$D$21)," ",AR35*100000000/'Calc-Units'!$D$21)</f>
        <v xml:space="preserve"> </v>
      </c>
      <c r="AZ35" s="73" t="str">
        <f>IF(ISERROR(AS35*100000000/'Calc-Units'!$C$21)," ",AS35*100000000/'Calc-Units'!$C$21)</f>
        <v xml:space="preserve"> </v>
      </c>
      <c r="BA35" s="193" t="str">
        <f>IF(ISERROR(AT35*100000000/'Calc-Units'!$C$21)," ",AT35*100000000/'Calc-Units'!$C$21)</f>
        <v xml:space="preserve"> </v>
      </c>
      <c r="BC35" s="66"/>
      <c r="BD35" s="66"/>
    </row>
    <row r="36" spans="1:56" s="65" customFormat="1">
      <c r="A36" s="81"/>
      <c r="B36" s="101"/>
      <c r="C36" s="81" t="s">
        <v>645</v>
      </c>
      <c r="D36" s="110">
        <f>'RRP 1.3'!AH$12</f>
        <v>8</v>
      </c>
      <c r="E36" s="110">
        <v>0</v>
      </c>
      <c r="F36" s="110">
        <v>0</v>
      </c>
      <c r="G36" s="110">
        <v>0</v>
      </c>
      <c r="H36" s="110">
        <v>0</v>
      </c>
      <c r="I36" s="110">
        <f t="shared" si="0"/>
        <v>8</v>
      </c>
      <c r="J36" s="68"/>
      <c r="K36" s="110" t="s">
        <v>473</v>
      </c>
      <c r="L36" s="118" t="str">
        <f>IF(ISERROR(VLOOKUP($K36,'Calc-Drivers'!$B$17:$G$27,L$42,FALSE))," ",VLOOKUP($K36,'Calc-Drivers'!$B$17:$G$27,L$42,FALSE))</f>
        <v xml:space="preserve"> </v>
      </c>
      <c r="M36" s="118" t="str">
        <f>IF(ISERROR(VLOOKUP($K36,'Calc-Drivers'!$B$17:$G$27,M$42,FALSE))," ",VLOOKUP($K36,'Calc-Drivers'!$B$17:$G$27,M$42,FALSE))</f>
        <v xml:space="preserve"> </v>
      </c>
      <c r="N36" s="118" t="str">
        <f>IF(ISERROR(VLOOKUP($K36,'Calc-Drivers'!$B$17:$G$27,N$42,FALSE))," ",VLOOKUP($K36,'Calc-Drivers'!$B$17:$G$27,N$42,FALSE))</f>
        <v xml:space="preserve"> </v>
      </c>
      <c r="O36" s="118" t="str">
        <f>IF(ISERROR(VLOOKUP($K36,'Calc-Drivers'!$B$17:$G$27,O$42,FALSE))," ",VLOOKUP($K36,'Calc-Drivers'!$B$17:$G$27,O$42,FALSE))</f>
        <v xml:space="preserve"> </v>
      </c>
      <c r="P36" s="118" t="str">
        <f>IF(ISERROR(VLOOKUP($K36,'Calc-Drivers'!$B$17:$G$27,P$42,FALSE))," ",VLOOKUP($K36,'Calc-Drivers'!$B$17:$G$27,P$42,FALSE))</f>
        <v xml:space="preserve"> </v>
      </c>
      <c r="Q36" s="130"/>
      <c r="R36" s="70"/>
      <c r="S36" s="71" t="str">
        <f t="shared" si="1"/>
        <v xml:space="preserve"> </v>
      </c>
      <c r="T36" s="71" t="str">
        <f t="shared" si="2"/>
        <v xml:space="preserve"> </v>
      </c>
      <c r="U36" s="71" t="str">
        <f t="shared" si="3"/>
        <v xml:space="preserve"> </v>
      </c>
      <c r="V36" s="123" t="str">
        <f t="shared" si="4"/>
        <v xml:space="preserve"> </v>
      </c>
      <c r="W36" s="123" t="str">
        <f t="shared" si="4"/>
        <v xml:space="preserve"> </v>
      </c>
      <c r="X36" s="72"/>
      <c r="Y36" s="66"/>
      <c r="Z36" s="71" t="str">
        <f t="shared" si="5"/>
        <v xml:space="preserve"> </v>
      </c>
      <c r="AA36" s="71" t="str">
        <f t="shared" si="6"/>
        <v xml:space="preserve"> </v>
      </c>
      <c r="AB36" s="71" t="str">
        <f t="shared" si="7"/>
        <v xml:space="preserve"> </v>
      </c>
      <c r="AC36" s="123" t="str">
        <f t="shared" si="8"/>
        <v xml:space="preserve"> </v>
      </c>
      <c r="AD36" s="123" t="str">
        <f t="shared" si="9"/>
        <v xml:space="preserve"> </v>
      </c>
      <c r="AE36" s="72"/>
      <c r="AF36" s="72"/>
      <c r="AG36" s="73" t="str">
        <f>IF(ISERROR(Z36*100000000/'Calc-Units'!$E$21)," ",Z36*100000000/'Calc-Units'!$E$21)</f>
        <v xml:space="preserve"> </v>
      </c>
      <c r="AH36" s="73" t="str">
        <f>IF(ISERROR(AA36*100000000/'Calc-Units'!$D$21)," ",AA36*100000000/'Calc-Units'!$D$21)</f>
        <v xml:space="preserve"> </v>
      </c>
      <c r="AI36" s="73" t="str">
        <f>IF(ISERROR(AB36*100000000/'Calc-Units'!$C$21)," ",AB36*100000000/'Calc-Units'!$C$21)</f>
        <v xml:space="preserve"> </v>
      </c>
      <c r="AJ36" s="193" t="str">
        <f>IF(ISERROR(AC36*100000000/'Calc-Units'!$C$21)," ",AC36*100000000/'Calc-Units'!$C$21)</f>
        <v xml:space="preserve"> </v>
      </c>
      <c r="AK36" s="74"/>
      <c r="AL36" s="82">
        <v>0</v>
      </c>
      <c r="AM36" s="106">
        <f t="shared" si="10"/>
        <v>0</v>
      </c>
      <c r="AN36" s="69">
        <f t="shared" si="11"/>
        <v>8</v>
      </c>
      <c r="AO36" s="68"/>
      <c r="AP36" s="68"/>
      <c r="AQ36" s="71" t="str">
        <f t="shared" si="12"/>
        <v xml:space="preserve"> </v>
      </c>
      <c r="AR36" s="71" t="str">
        <f t="shared" si="13"/>
        <v xml:space="preserve"> </v>
      </c>
      <c r="AS36" s="71" t="str">
        <f t="shared" si="14"/>
        <v xml:space="preserve"> </v>
      </c>
      <c r="AT36" s="123" t="str">
        <f t="shared" si="15"/>
        <v xml:space="preserve"> </v>
      </c>
      <c r="AU36" s="123" t="str">
        <f t="shared" si="16"/>
        <v xml:space="preserve"> </v>
      </c>
      <c r="AV36" s="72"/>
      <c r="AW36" s="74"/>
      <c r="AX36" s="73" t="str">
        <f>IF(ISERROR(AQ36*100000000/'Calc-Units'!$E$21)," ",AQ36*100000000/'Calc-Units'!$E$21)</f>
        <v xml:space="preserve"> </v>
      </c>
      <c r="AY36" s="73" t="str">
        <f>IF(ISERROR(AR36*100000000/'Calc-Units'!$D$21)," ",AR36*100000000/'Calc-Units'!$D$21)</f>
        <v xml:space="preserve"> </v>
      </c>
      <c r="AZ36" s="73" t="str">
        <f>IF(ISERROR(AS36*100000000/'Calc-Units'!$C$21)," ",AS36*100000000/'Calc-Units'!$C$21)</f>
        <v xml:space="preserve"> </v>
      </c>
      <c r="BA36" s="193" t="str">
        <f>IF(ISERROR(AT36*100000000/'Calc-Units'!$C$21)," ",AT36*100000000/'Calc-Units'!$C$21)</f>
        <v xml:space="preserve"> </v>
      </c>
      <c r="BC36" s="66"/>
      <c r="BD36" s="66"/>
    </row>
    <row r="37" spans="1:56" s="65" customFormat="1">
      <c r="A37" s="81"/>
      <c r="B37" s="101"/>
      <c r="C37" s="81" t="s">
        <v>647</v>
      </c>
      <c r="D37" s="110">
        <f>'RRP 1.3'!AI$12</f>
        <v>-7.62</v>
      </c>
      <c r="E37" s="110">
        <v>0</v>
      </c>
      <c r="F37" s="110">
        <v>0</v>
      </c>
      <c r="G37" s="110">
        <v>0</v>
      </c>
      <c r="H37" s="110">
        <v>0</v>
      </c>
      <c r="I37" s="110">
        <f t="shared" si="0"/>
        <v>-7.62</v>
      </c>
      <c r="J37" s="68"/>
      <c r="K37" s="110" t="s">
        <v>473</v>
      </c>
      <c r="L37" s="118" t="str">
        <f>IF(ISERROR(VLOOKUP($K37,'Calc-Drivers'!$B$17:$G$27,L$42,FALSE))," ",VLOOKUP($K37,'Calc-Drivers'!$B$17:$G$27,L$42,FALSE))</f>
        <v xml:space="preserve"> </v>
      </c>
      <c r="M37" s="118" t="str">
        <f>IF(ISERROR(VLOOKUP($K37,'Calc-Drivers'!$B$17:$G$27,M$42,FALSE))," ",VLOOKUP($K37,'Calc-Drivers'!$B$17:$G$27,M$42,FALSE))</f>
        <v xml:space="preserve"> </v>
      </c>
      <c r="N37" s="118" t="str">
        <f>IF(ISERROR(VLOOKUP($K37,'Calc-Drivers'!$B$17:$G$27,N$42,FALSE))," ",VLOOKUP($K37,'Calc-Drivers'!$B$17:$G$27,N$42,FALSE))</f>
        <v xml:space="preserve"> </v>
      </c>
      <c r="O37" s="118" t="str">
        <f>IF(ISERROR(VLOOKUP($K37,'Calc-Drivers'!$B$17:$G$27,O$42,FALSE))," ",VLOOKUP($K37,'Calc-Drivers'!$B$17:$G$27,O$42,FALSE))</f>
        <v xml:space="preserve"> </v>
      </c>
      <c r="P37" s="118" t="str">
        <f>IF(ISERROR(VLOOKUP($K37,'Calc-Drivers'!$B$17:$G$27,P$42,FALSE))," ",VLOOKUP($K37,'Calc-Drivers'!$B$17:$G$27,P$42,FALSE))</f>
        <v xml:space="preserve"> </v>
      </c>
      <c r="Q37" s="130"/>
      <c r="R37" s="70"/>
      <c r="S37" s="71" t="str">
        <f t="shared" si="1"/>
        <v xml:space="preserve"> </v>
      </c>
      <c r="T37" s="71" t="str">
        <f t="shared" si="2"/>
        <v xml:space="preserve"> </v>
      </c>
      <c r="U37" s="71" t="str">
        <f t="shared" si="3"/>
        <v xml:space="preserve"> </v>
      </c>
      <c r="V37" s="123" t="str">
        <f t="shared" si="4"/>
        <v xml:space="preserve"> </v>
      </c>
      <c r="W37" s="123" t="str">
        <f t="shared" si="4"/>
        <v xml:space="preserve"> </v>
      </c>
      <c r="X37" s="72"/>
      <c r="Y37" s="66"/>
      <c r="Z37" s="71" t="str">
        <f t="shared" si="5"/>
        <v xml:space="preserve"> </v>
      </c>
      <c r="AA37" s="71" t="str">
        <f t="shared" si="6"/>
        <v xml:space="preserve"> </v>
      </c>
      <c r="AB37" s="71" t="str">
        <f t="shared" si="7"/>
        <v xml:space="preserve"> </v>
      </c>
      <c r="AC37" s="123" t="str">
        <f t="shared" si="8"/>
        <v xml:space="preserve"> </v>
      </c>
      <c r="AD37" s="123" t="str">
        <f t="shared" si="9"/>
        <v xml:space="preserve"> </v>
      </c>
      <c r="AE37" s="72"/>
      <c r="AF37" s="72"/>
      <c r="AG37" s="73" t="str">
        <f>IF(ISERROR(Z37*100000000/'Calc-Units'!$E$21)," ",Z37*100000000/'Calc-Units'!$E$21)</f>
        <v xml:space="preserve"> </v>
      </c>
      <c r="AH37" s="73" t="str">
        <f>IF(ISERROR(AA37*100000000/'Calc-Units'!$D$21)," ",AA37*100000000/'Calc-Units'!$D$21)</f>
        <v xml:space="preserve"> </v>
      </c>
      <c r="AI37" s="73" t="str">
        <f>IF(ISERROR(AB37*100000000/'Calc-Units'!$C$21)," ",AB37*100000000/'Calc-Units'!$C$21)</f>
        <v xml:space="preserve"> </v>
      </c>
      <c r="AJ37" s="193" t="str">
        <f>IF(ISERROR(AC37*100000000/'Calc-Units'!$C$21)," ",AC37*100000000/'Calc-Units'!$C$21)</f>
        <v xml:space="preserve"> </v>
      </c>
      <c r="AK37" s="74"/>
      <c r="AL37" s="82">
        <v>0</v>
      </c>
      <c r="AM37" s="106">
        <f t="shared" si="10"/>
        <v>0</v>
      </c>
      <c r="AN37" s="69">
        <f t="shared" si="11"/>
        <v>-7.62</v>
      </c>
      <c r="AO37" s="68"/>
      <c r="AP37" s="68"/>
      <c r="AQ37" s="71" t="str">
        <f t="shared" si="12"/>
        <v xml:space="preserve"> </v>
      </c>
      <c r="AR37" s="71" t="str">
        <f t="shared" si="13"/>
        <v xml:space="preserve"> </v>
      </c>
      <c r="AS37" s="71" t="str">
        <f t="shared" si="14"/>
        <v xml:space="preserve"> </v>
      </c>
      <c r="AT37" s="123" t="str">
        <f t="shared" si="15"/>
        <v xml:space="preserve"> </v>
      </c>
      <c r="AU37" s="123" t="str">
        <f t="shared" si="16"/>
        <v xml:space="preserve"> </v>
      </c>
      <c r="AV37" s="72"/>
      <c r="AW37" s="74"/>
      <c r="AX37" s="73" t="str">
        <f>IF(ISERROR(AQ37*100000000/'Calc-Units'!$E$21)," ",AQ37*100000000/'Calc-Units'!$E$21)</f>
        <v xml:space="preserve"> </v>
      </c>
      <c r="AY37" s="73" t="str">
        <f>IF(ISERROR(AR37*100000000/'Calc-Units'!$D$21)," ",AR37*100000000/'Calc-Units'!$D$21)</f>
        <v xml:space="preserve"> </v>
      </c>
      <c r="AZ37" s="73" t="str">
        <f>IF(ISERROR(AS37*100000000/'Calc-Units'!$C$21)," ",AS37*100000000/'Calc-Units'!$C$21)</f>
        <v xml:space="preserve"> </v>
      </c>
      <c r="BA37" s="193" t="str">
        <f>IF(ISERROR(AT37*100000000/'Calc-Units'!$C$21)," ",AT37*100000000/'Calc-Units'!$C$21)</f>
        <v xml:space="preserve"> </v>
      </c>
      <c r="BC37" s="66"/>
      <c r="BD37" s="66"/>
    </row>
    <row r="38" spans="1:56" s="65" customFormat="1">
      <c r="A38" s="81"/>
      <c r="B38" s="101"/>
      <c r="C38" s="84" t="s">
        <v>648</v>
      </c>
      <c r="D38" s="111">
        <f>'RRP 1.3'!AJ$12</f>
        <v>2.4709437074936318</v>
      </c>
      <c r="E38" s="111">
        <v>0</v>
      </c>
      <c r="F38" s="111">
        <v>0</v>
      </c>
      <c r="G38" s="111">
        <v>0</v>
      </c>
      <c r="H38" s="111">
        <v>0</v>
      </c>
      <c r="I38" s="111">
        <f t="shared" si="0"/>
        <v>2.4709437074936318</v>
      </c>
      <c r="J38" s="68"/>
      <c r="K38" s="111" t="s">
        <v>473</v>
      </c>
      <c r="L38" s="192" t="str">
        <f>IF(ISERROR(VLOOKUP($K38,'Calc-Drivers'!$B$17:$G$27,L$42,FALSE))," ",VLOOKUP($K38,'Calc-Drivers'!$B$17:$G$27,L$42,FALSE))</f>
        <v xml:space="preserve"> </v>
      </c>
      <c r="M38" s="192" t="str">
        <f>IF(ISERROR(VLOOKUP($K38,'Calc-Drivers'!$B$17:$G$27,M$42,FALSE))," ",VLOOKUP($K38,'Calc-Drivers'!$B$17:$G$27,M$42,FALSE))</f>
        <v xml:space="preserve"> </v>
      </c>
      <c r="N38" s="192" t="str">
        <f>IF(ISERROR(VLOOKUP($K38,'Calc-Drivers'!$B$17:$G$27,N$42,FALSE))," ",VLOOKUP($K38,'Calc-Drivers'!$B$17:$G$27,N$42,FALSE))</f>
        <v xml:space="preserve"> </v>
      </c>
      <c r="O38" s="192" t="str">
        <f>IF(ISERROR(VLOOKUP($K38,'Calc-Drivers'!$B$17:$G$27,O$42,FALSE))," ",VLOOKUP($K38,'Calc-Drivers'!$B$17:$G$27,O$42,FALSE))</f>
        <v xml:space="preserve"> </v>
      </c>
      <c r="P38" s="192" t="str">
        <f>IF(ISERROR(VLOOKUP($K38,'Calc-Drivers'!$B$17:$G$27,P$42,FALSE))," ",VLOOKUP($K38,'Calc-Drivers'!$B$17:$G$27,P$42,FALSE))</f>
        <v xml:space="preserve"> </v>
      </c>
      <c r="Q38" s="130"/>
      <c r="R38" s="70"/>
      <c r="S38" s="127" t="str">
        <f t="shared" si="1"/>
        <v xml:space="preserve"> </v>
      </c>
      <c r="T38" s="127" t="str">
        <f t="shared" si="2"/>
        <v xml:space="preserve"> </v>
      </c>
      <c r="U38" s="127" t="str">
        <f t="shared" si="3"/>
        <v xml:space="preserve"> </v>
      </c>
      <c r="V38" s="124" t="str">
        <f t="shared" si="4"/>
        <v xml:space="preserve"> </v>
      </c>
      <c r="W38" s="124" t="str">
        <f t="shared" si="4"/>
        <v xml:space="preserve"> </v>
      </c>
      <c r="X38" s="72"/>
      <c r="Y38" s="66"/>
      <c r="Z38" s="127" t="str">
        <f t="shared" si="5"/>
        <v xml:space="preserve"> </v>
      </c>
      <c r="AA38" s="127" t="str">
        <f t="shared" si="6"/>
        <v xml:space="preserve"> </v>
      </c>
      <c r="AB38" s="127" t="str">
        <f t="shared" si="7"/>
        <v xml:space="preserve"> </v>
      </c>
      <c r="AC38" s="124" t="str">
        <f t="shared" si="8"/>
        <v xml:space="preserve"> </v>
      </c>
      <c r="AD38" s="124" t="str">
        <f t="shared" si="9"/>
        <v xml:space="preserve"> </v>
      </c>
      <c r="AE38" s="72"/>
      <c r="AF38" s="72"/>
      <c r="AG38" s="194" t="str">
        <f>IF(ISERROR(Z38*100000000/'Calc-Units'!$E$21)," ",Z38*100000000/'Calc-Units'!$E$21)</f>
        <v xml:space="preserve"> </v>
      </c>
      <c r="AH38" s="194" t="str">
        <f>IF(ISERROR(AA38*100000000/'Calc-Units'!$D$21)," ",AA38*100000000/'Calc-Units'!$D$21)</f>
        <v xml:space="preserve"> </v>
      </c>
      <c r="AI38" s="194" t="str">
        <f>IF(ISERROR(AB38*100000000/'Calc-Units'!$C$21)," ",AB38*100000000/'Calc-Units'!$C$21)</f>
        <v xml:space="preserve"> </v>
      </c>
      <c r="AJ38" s="195" t="str">
        <f>IF(ISERROR(AC38*100000000/'Calc-Units'!$C$21)," ",AC38*100000000/'Calc-Units'!$C$21)</f>
        <v xml:space="preserve"> </v>
      </c>
      <c r="AK38" s="74"/>
      <c r="AL38" s="82">
        <v>0</v>
      </c>
      <c r="AM38" s="106">
        <f t="shared" si="10"/>
        <v>0</v>
      </c>
      <c r="AN38" s="69">
        <f t="shared" si="11"/>
        <v>2.4709437074936318</v>
      </c>
      <c r="AO38" s="68"/>
      <c r="AP38" s="68"/>
      <c r="AQ38" s="127" t="str">
        <f t="shared" si="12"/>
        <v xml:space="preserve"> </v>
      </c>
      <c r="AR38" s="127" t="str">
        <f t="shared" si="13"/>
        <v xml:space="preserve"> </v>
      </c>
      <c r="AS38" s="127" t="str">
        <f t="shared" si="14"/>
        <v xml:space="preserve"> </v>
      </c>
      <c r="AT38" s="124" t="str">
        <f t="shared" si="15"/>
        <v xml:space="preserve"> </v>
      </c>
      <c r="AU38" s="124" t="str">
        <f t="shared" si="16"/>
        <v xml:space="preserve"> </v>
      </c>
      <c r="AV38" s="72"/>
      <c r="AW38" s="74"/>
      <c r="AX38" s="194" t="str">
        <f>IF(ISERROR(AQ38*100000000/'Calc-Units'!$E$21)," ",AQ38*100000000/'Calc-Units'!$E$21)</f>
        <v xml:space="preserve"> </v>
      </c>
      <c r="AY38" s="194" t="str">
        <f>IF(ISERROR(AR38*100000000/'Calc-Units'!$D$21)," ",AR38*100000000/'Calc-Units'!$D$21)</f>
        <v xml:space="preserve"> </v>
      </c>
      <c r="AZ38" s="194" t="str">
        <f>IF(ISERROR(AS38*100000000/'Calc-Units'!$C$21)," ",AS38*100000000/'Calc-Units'!$C$21)</f>
        <v xml:space="preserve"> </v>
      </c>
      <c r="BA38" s="195" t="str">
        <f>IF(ISERROR(AT38*100000000/'Calc-Units'!$C$21)," ",AT38*100000000/'Calc-Units'!$C$21)</f>
        <v xml:space="preserve"> </v>
      </c>
      <c r="BC38" s="66"/>
      <c r="BD38" s="66"/>
    </row>
    <row r="39" spans="1:56" s="65" customFormat="1" ht="25.5">
      <c r="A39" s="105"/>
      <c r="B39" s="220"/>
      <c r="C39" s="105" t="s">
        <v>659</v>
      </c>
      <c r="D39" s="112">
        <f>SUM(D6:D38)</f>
        <v>299</v>
      </c>
      <c r="E39" s="112">
        <f>SUM(E6:E38)</f>
        <v>50.108008846344582</v>
      </c>
      <c r="F39" s="112">
        <f>SUM(F6:F38)</f>
        <v>48.765446533988381</v>
      </c>
      <c r="G39" s="112">
        <f>SUM(G6:G38)</f>
        <v>12.794773386254157</v>
      </c>
      <c r="H39" s="112">
        <f>SUM(H6:H38)</f>
        <v>19.401749813401153</v>
      </c>
      <c r="I39" s="112">
        <f t="shared" si="0"/>
        <v>167.93002142001174</v>
      </c>
      <c r="J39" s="72"/>
      <c r="K39" s="129"/>
      <c r="L39" s="129"/>
      <c r="M39" s="129"/>
      <c r="N39" s="129"/>
      <c r="O39" s="129"/>
      <c r="P39" s="129"/>
      <c r="Q39" s="129"/>
      <c r="R39" s="1102" t="s">
        <v>246</v>
      </c>
      <c r="S39" s="113">
        <f>SUM(S6:S38)</f>
        <v>25.802750216692882</v>
      </c>
      <c r="T39" s="113">
        <f>SUM(T6:T38)</f>
        <v>9.3552637352415875</v>
      </c>
      <c r="U39" s="113">
        <f>SUM(U6:U38)</f>
        <v>2.5145803141677798</v>
      </c>
      <c r="V39" s="113">
        <f>SUM(V6:V38)</f>
        <v>15.874284505557</v>
      </c>
      <c r="W39" s="112"/>
      <c r="X39" s="1005"/>
      <c r="Y39" s="1010" t="s">
        <v>679</v>
      </c>
      <c r="Z39" s="2246">
        <f>SUM(Z40:AD40)</f>
        <v>201.20710267991655</v>
      </c>
      <c r="AA39" s="2247"/>
      <c r="AB39" s="2247"/>
      <c r="AC39" s="2248"/>
      <c r="AD39" s="1013"/>
      <c r="AE39" s="1011"/>
      <c r="AF39" s="1015" t="s">
        <v>679</v>
      </c>
      <c r="AG39" s="2243">
        <f>SUM(AG40:AJ40)</f>
        <v>0.74973084985053262</v>
      </c>
      <c r="AH39" s="2244"/>
      <c r="AI39" s="2244"/>
      <c r="AJ39" s="2245"/>
      <c r="AK39" s="74"/>
      <c r="AL39" s="1019" t="s">
        <v>246</v>
      </c>
      <c r="AM39" s="112">
        <f>SUM(AM6:AM38)</f>
        <v>153.21038052366586</v>
      </c>
      <c r="AN39" s="1020">
        <f>SUM(AN6:AN38)</f>
        <v>145.78961947633414</v>
      </c>
      <c r="AO39" s="140"/>
      <c r="AP39" s="1010" t="s">
        <v>679</v>
      </c>
      <c r="AQ39" s="2243">
        <f>SUM(AQ40:AU40)</f>
        <v>61.303057958715144</v>
      </c>
      <c r="AR39" s="2252"/>
      <c r="AS39" s="2252"/>
      <c r="AT39" s="2252"/>
      <c r="AU39" s="2253"/>
      <c r="AV39" s="141"/>
      <c r="AW39" s="1015" t="s">
        <v>679</v>
      </c>
      <c r="AX39" s="1103">
        <f>SUM(AX40:BA40)</f>
        <v>0.21807760991747169</v>
      </c>
      <c r="AY39" s="1103"/>
      <c r="AZ39" s="1103"/>
      <c r="BA39" s="1103"/>
      <c r="BC39" s="66"/>
      <c r="BD39" s="66"/>
    </row>
    <row r="40" spans="1:56" s="1000" customFormat="1" ht="20.25" customHeight="1">
      <c r="A40" s="1111"/>
      <c r="B40" s="1112"/>
      <c r="C40" s="1113"/>
      <c r="D40" s="1114"/>
      <c r="E40" s="1114"/>
      <c r="F40" s="1114"/>
      <c r="G40" s="1114"/>
      <c r="H40" s="1114"/>
      <c r="I40" s="1114"/>
      <c r="J40" s="1011"/>
      <c r="K40" s="1115"/>
      <c r="L40" s="1115"/>
      <c r="M40" s="1115"/>
      <c r="N40" s="1115"/>
      <c r="O40" s="1115"/>
      <c r="P40" s="1115"/>
      <c r="Q40" s="1115"/>
      <c r="R40" s="1116"/>
      <c r="S40" s="1117"/>
      <c r="T40" s="1117"/>
      <c r="U40" s="1117"/>
      <c r="V40" s="1117"/>
      <c r="W40" s="1011"/>
      <c r="X40" s="1011"/>
      <c r="Y40" s="1015" t="s">
        <v>680</v>
      </c>
      <c r="Z40" s="1118">
        <f>SUM(Z6:Z38)</f>
        <v>75.910759063037446</v>
      </c>
      <c r="AA40" s="1118">
        <f>SUM(AA6:AA38)</f>
        <v>58.12071026922996</v>
      </c>
      <c r="AB40" s="1118">
        <f>SUM(AB6:AB38)</f>
        <v>15.309353700421937</v>
      </c>
      <c r="AC40" s="1118">
        <f>SUM(AC6:AC38)</f>
        <v>25.361219878410054</v>
      </c>
      <c r="AD40" s="1118">
        <f>SUM(AD6:AD38)</f>
        <v>26.505059768817137</v>
      </c>
      <c r="AE40" s="1011"/>
      <c r="AF40" s="1015" t="s">
        <v>680</v>
      </c>
      <c r="AG40" s="1103">
        <f>SUM(AG6:AG38)</f>
        <v>0.28696028078482227</v>
      </c>
      <c r="AH40" s="1103">
        <f>SUM(AH6:AH38)</f>
        <v>0.22470820908659539</v>
      </c>
      <c r="AI40" s="1103">
        <f>SUM(AI6:AI38)</f>
        <v>8.9612231915370766E-2</v>
      </c>
      <c r="AJ40" s="1103">
        <f>SUM(AJ6:AJ38)</f>
        <v>0.14845012806374419</v>
      </c>
      <c r="AK40" s="1119"/>
      <c r="AL40" s="1120"/>
      <c r="AM40" s="1120"/>
      <c r="AN40" s="1120"/>
      <c r="AO40" s="1114"/>
      <c r="AP40" s="1015" t="s">
        <v>680</v>
      </c>
      <c r="AQ40" s="1103">
        <f>SUM(AQ6:AQ38)</f>
        <v>15.083463956666135</v>
      </c>
      <c r="AR40" s="1103">
        <f>SUM(AR6:AR38)</f>
        <v>12.22865269188663</v>
      </c>
      <c r="AS40" s="1103">
        <f>SUM(AS6:AS38)</f>
        <v>5.5133732011283687</v>
      </c>
      <c r="AT40" s="1104">
        <f>SUM(AT6:AT38)</f>
        <v>13.924767138261867</v>
      </c>
      <c r="AU40" s="1103">
        <f>SUM(AU6:AU38)</f>
        <v>14.552800970772138</v>
      </c>
      <c r="AV40" s="1106"/>
      <c r="AW40" s="1015" t="s">
        <v>680</v>
      </c>
      <c r="AX40" s="1105">
        <f>SUM(AX6:AX38)</f>
        <v>5.7018993165623977E-2</v>
      </c>
      <c r="AY40" s="1105">
        <f>SUM(AY6:AY38)</f>
        <v>4.7278820805990551E-2</v>
      </c>
      <c r="AZ40" s="1105">
        <f>SUM(AZ6:AZ38)</f>
        <v>3.2272144703397156E-2</v>
      </c>
      <c r="BA40" s="1105">
        <f>SUM(BA6:BA38)</f>
        <v>8.1507651242460011E-2</v>
      </c>
      <c r="BC40" s="995"/>
      <c r="BD40" s="995"/>
    </row>
    <row r="41" spans="1:56" s="65" customFormat="1" ht="20.25" customHeight="1">
      <c r="A41" s="99"/>
      <c r="B41" s="128"/>
      <c r="C41" s="128"/>
      <c r="D41" s="129"/>
      <c r="E41" s="129"/>
      <c r="F41" s="129"/>
      <c r="G41" s="129"/>
      <c r="H41" s="129"/>
      <c r="I41" s="129"/>
      <c r="J41" s="72"/>
      <c r="K41" s="68"/>
      <c r="L41" s="132"/>
      <c r="M41" s="68"/>
      <c r="N41" s="68"/>
      <c r="O41" s="68"/>
      <c r="P41" s="68"/>
      <c r="Q41" s="68"/>
      <c r="R41" s="70"/>
      <c r="S41" s="72"/>
      <c r="T41" s="72"/>
      <c r="U41" s="72"/>
      <c r="V41" s="72"/>
      <c r="W41" s="72"/>
      <c r="X41" s="72"/>
      <c r="Y41" s="133" t="s">
        <v>681</v>
      </c>
      <c r="Z41" s="131">
        <f>Z40/$Z$39</f>
        <v>0.37727673651659049</v>
      </c>
      <c r="AA41" s="131">
        <f>AA40/$Z$39</f>
        <v>0.28886013214796552</v>
      </c>
      <c r="AB41" s="131">
        <f>AB40/$Z$39</f>
        <v>7.6087541128089797E-2</v>
      </c>
      <c r="AC41" s="131">
        <f>AC40/$Z$39</f>
        <v>0.12604535098721184</v>
      </c>
      <c r="AD41" s="131">
        <f>AD40/$Z$39</f>
        <v>0.13173023922014229</v>
      </c>
      <c r="AE41" s="72"/>
      <c r="AF41" s="133" t="s">
        <v>681</v>
      </c>
      <c r="AG41" s="131">
        <f>AG40/$AG$39</f>
        <v>0.38275106438801482</v>
      </c>
      <c r="AH41" s="131">
        <f>AH40/$AG$39</f>
        <v>0.29971850448916904</v>
      </c>
      <c r="AI41" s="131">
        <f>AI40/$AG$39</f>
        <v>0.11952586976144304</v>
      </c>
      <c r="AJ41" s="131">
        <f>AJ40/$AG$39</f>
        <v>0.19800456136137309</v>
      </c>
      <c r="AK41" s="74"/>
      <c r="AL41" s="129"/>
      <c r="AM41" s="129"/>
      <c r="AN41" s="129"/>
      <c r="AO41" s="129"/>
      <c r="AP41" s="1015" t="s">
        <v>681</v>
      </c>
      <c r="AQ41" s="1107">
        <f>AQ40/$AQ$39</f>
        <v>0.24604749679574175</v>
      </c>
      <c r="AR41" s="1107">
        <f>AR40/$AQ$39</f>
        <v>0.19947867364336178</v>
      </c>
      <c r="AS41" s="1107">
        <f>AS40/$AQ$39</f>
        <v>8.9936348768137761E-2</v>
      </c>
      <c r="AT41" s="1108">
        <f>AT40/$AQ$39</f>
        <v>0.22714637086521153</v>
      </c>
      <c r="AU41" s="1109">
        <f>AU40/$AQ$39</f>
        <v>0.23739110992754711</v>
      </c>
      <c r="AV41" s="1110"/>
      <c r="AW41" s="1015" t="s">
        <v>681</v>
      </c>
      <c r="AX41" s="1109">
        <f>AX40/$AX$39</f>
        <v>0.26146193177374782</v>
      </c>
      <c r="AY41" s="1109">
        <f>AY40/$AX$39</f>
        <v>0.21679814275240147</v>
      </c>
      <c r="AZ41" s="1109">
        <f>AZ40/$AX$39</f>
        <v>0.14798467717804722</v>
      </c>
      <c r="BA41" s="1109">
        <f>BA40/$AX$39</f>
        <v>0.37375524829580348</v>
      </c>
      <c r="BC41" s="66"/>
      <c r="BD41" s="66"/>
    </row>
    <row r="42" spans="1:56" s="85" customFormat="1">
      <c r="A42" s="2254"/>
      <c r="B42" s="2254"/>
      <c r="C42" s="87"/>
      <c r="D42" s="86"/>
      <c r="I42" s="90"/>
      <c r="J42" s="89"/>
      <c r="K42" s="115" t="s">
        <v>894</v>
      </c>
      <c r="L42" s="115">
        <v>6</v>
      </c>
      <c r="M42" s="115">
        <v>5</v>
      </c>
      <c r="N42" s="115">
        <v>4</v>
      </c>
      <c r="O42" s="115">
        <v>3</v>
      </c>
      <c r="P42" s="115">
        <v>2</v>
      </c>
      <c r="Q42" s="115"/>
      <c r="R42" s="91"/>
      <c r="S42" s="90"/>
      <c r="T42" s="90"/>
      <c r="U42" s="90"/>
      <c r="V42" s="90"/>
      <c r="W42" s="90"/>
      <c r="X42" s="90"/>
      <c r="Y42" s="1006"/>
      <c r="Z42" s="1007"/>
      <c r="AA42" s="1007"/>
      <c r="AB42" s="1007"/>
      <c r="AC42" s="1007"/>
      <c r="AD42" s="90"/>
      <c r="AE42" s="90"/>
      <c r="AF42" s="90"/>
      <c r="AG42" s="92"/>
      <c r="AH42" s="92"/>
      <c r="AI42" s="92"/>
      <c r="AJ42" s="92"/>
      <c r="AK42" s="92"/>
      <c r="AL42" s="88"/>
      <c r="AM42" s="89"/>
      <c r="AN42" s="89"/>
      <c r="AO42" s="89"/>
      <c r="AP42" s="89"/>
      <c r="AQ42" s="90" t="s">
        <v>523</v>
      </c>
      <c r="AR42" s="90"/>
      <c r="AS42" s="90"/>
      <c r="AT42" s="90"/>
      <c r="AU42" s="90"/>
      <c r="AV42" s="90"/>
      <c r="AW42" s="92"/>
      <c r="AX42" s="92"/>
      <c r="AY42" s="92"/>
      <c r="AZ42" s="92"/>
      <c r="BA42" s="92"/>
    </row>
    <row r="43" spans="1:56" s="85" customFormat="1">
      <c r="A43" s="2254"/>
      <c r="B43" s="2254"/>
      <c r="C43" s="87"/>
      <c r="D43" s="93"/>
      <c r="I43" s="90"/>
      <c r="J43" s="89"/>
      <c r="L43" s="91"/>
      <c r="M43" s="91"/>
      <c r="N43" s="91"/>
      <c r="O43" s="91"/>
      <c r="P43" s="91"/>
      <c r="Q43" s="91"/>
      <c r="R43" s="91"/>
      <c r="S43" s="90"/>
      <c r="T43" s="90"/>
      <c r="U43" s="90"/>
      <c r="V43" s="90"/>
      <c r="W43" s="90"/>
      <c r="X43" s="90"/>
      <c r="Y43" s="1008"/>
      <c r="Z43" s="1009"/>
      <c r="AA43" s="1009"/>
      <c r="AB43" s="1009"/>
      <c r="AC43" s="1009"/>
      <c r="AD43" s="90"/>
      <c r="AE43" s="90"/>
      <c r="AF43" s="90"/>
      <c r="AG43" s="92"/>
      <c r="AH43" s="92"/>
      <c r="AI43" s="92"/>
      <c r="AJ43" s="92"/>
      <c r="AK43" s="92"/>
      <c r="AL43" s="88"/>
      <c r="AM43" s="89"/>
      <c r="AN43" s="89"/>
      <c r="AO43" s="89"/>
      <c r="AP43" s="89"/>
      <c r="AQ43" s="90"/>
      <c r="AR43" s="90"/>
      <c r="AS43" s="90"/>
      <c r="AT43" s="90"/>
      <c r="AU43" s="90"/>
      <c r="AV43" s="90"/>
      <c r="AW43" s="92"/>
      <c r="AX43" s="92"/>
      <c r="AY43" s="92"/>
      <c r="AZ43" s="92"/>
      <c r="BA43" s="92"/>
    </row>
    <row r="44" spans="1:56" s="85" customFormat="1">
      <c r="A44" s="2254"/>
      <c r="B44" s="2254"/>
      <c r="C44" s="87"/>
      <c r="D44" s="86"/>
      <c r="I44" s="90"/>
      <c r="J44" s="89"/>
      <c r="L44" s="91"/>
      <c r="M44" s="91"/>
      <c r="N44" s="91"/>
      <c r="O44" s="91"/>
      <c r="P44" s="91"/>
      <c r="Q44" s="91"/>
      <c r="R44" s="91"/>
      <c r="S44" s="90"/>
      <c r="T44" s="90"/>
      <c r="U44" s="90"/>
      <c r="V44" s="90"/>
      <c r="W44" s="90"/>
      <c r="X44" s="90"/>
      <c r="Y44" s="241" t="s">
        <v>841</v>
      </c>
      <c r="Z44" s="241"/>
      <c r="AA44" s="241"/>
      <c r="AB44" s="241"/>
      <c r="AC44" s="241"/>
      <c r="AD44" s="242"/>
      <c r="AE44" s="242"/>
      <c r="AF44" s="90"/>
      <c r="AG44" s="92"/>
      <c r="AH44" s="92"/>
      <c r="AI44" s="92"/>
      <c r="AJ44" s="92"/>
      <c r="AK44" s="92"/>
      <c r="AL44" s="88"/>
      <c r="AM44" s="89"/>
      <c r="AN44" s="89"/>
      <c r="AO44" s="89"/>
      <c r="AP44" s="89"/>
      <c r="AQ44" s="90"/>
      <c r="AR44" s="90"/>
      <c r="AS44" s="90"/>
      <c r="AT44" s="90"/>
      <c r="AU44" s="90"/>
      <c r="AV44" s="90"/>
      <c r="AW44" s="92"/>
      <c r="AX44" s="92"/>
      <c r="AY44" s="92"/>
      <c r="AZ44" s="92"/>
      <c r="BA44" s="92"/>
    </row>
    <row r="45" spans="1:56" s="85" customFormat="1">
      <c r="A45" s="2254"/>
      <c r="B45" s="2254"/>
      <c r="C45" s="87"/>
      <c r="D45" s="86"/>
      <c r="I45" s="90"/>
      <c r="J45" s="89"/>
      <c r="L45" s="91"/>
      <c r="M45" s="91"/>
      <c r="N45" s="91"/>
      <c r="O45" s="91"/>
      <c r="P45" s="91"/>
      <c r="Q45" s="91"/>
      <c r="R45" s="91"/>
      <c r="S45" s="90"/>
      <c r="T45" s="90"/>
      <c r="U45" s="90"/>
      <c r="V45" s="90"/>
      <c r="W45" s="90"/>
      <c r="X45" s="90"/>
      <c r="Y45" s="241"/>
      <c r="Z45" s="241"/>
      <c r="AA45" s="241"/>
      <c r="AB45" s="241"/>
      <c r="AC45" s="241"/>
      <c r="AD45" s="242"/>
      <c r="AE45" s="242"/>
      <c r="AF45" s="90"/>
      <c r="AG45" s="92"/>
      <c r="AH45" s="92"/>
      <c r="AI45" s="92"/>
      <c r="AJ45" s="92"/>
      <c r="AK45" s="92"/>
      <c r="AL45" s="88"/>
      <c r="AM45" s="89"/>
      <c r="AN45" s="89"/>
      <c r="AO45" s="89"/>
      <c r="AP45" s="89"/>
      <c r="AQ45" s="90"/>
      <c r="AR45" s="90"/>
      <c r="AS45" s="90"/>
      <c r="AT45" s="90"/>
      <c r="AU45" s="90"/>
      <c r="AV45" s="90"/>
      <c r="AW45" s="92"/>
      <c r="AX45" s="92"/>
      <c r="AY45" s="92"/>
      <c r="AZ45" s="92"/>
      <c r="BA45" s="92"/>
    </row>
    <row r="46" spans="1:56" s="85" customFormat="1">
      <c r="A46" s="2254"/>
      <c r="B46" s="2254"/>
      <c r="C46" s="87"/>
      <c r="D46" s="86"/>
      <c r="I46" s="90"/>
      <c r="J46" s="89"/>
      <c r="L46" s="91"/>
      <c r="M46" s="91"/>
      <c r="N46" s="91"/>
      <c r="O46" s="91"/>
      <c r="P46" s="91"/>
      <c r="Q46" s="91"/>
      <c r="R46" s="91"/>
      <c r="S46" s="90"/>
      <c r="T46" s="90"/>
      <c r="U46" s="90"/>
      <c r="V46" s="90"/>
      <c r="W46" s="90"/>
      <c r="X46" s="90"/>
      <c r="Y46" s="209" t="s">
        <v>489</v>
      </c>
      <c r="Z46" s="210">
        <f>SUMIF(Z6:Z11,"&gt;0",Z6:Z11)+SUMIF(Z27:Z38,"&gt;0",Z27:Z38)</f>
        <v>54.509207683868823</v>
      </c>
      <c r="AA46" s="210">
        <f>SUMIF(AA6:AA11,"&gt;0",AA6:AA11)+SUMIF(AA27:AA38,"&gt;0",AA27:AA38)</f>
        <v>50.021769483484384</v>
      </c>
      <c r="AB46" s="210">
        <f>SUMIF(AB6:AB11,"&gt;0",AB6:AB11)+SUMIF(AB27:AB38,"&gt;0",AB27:AB38)</f>
        <v>13.276435728306391</v>
      </c>
      <c r="AC46" s="210">
        <f>SUMIF(AC6:AC11,"&gt;0",AC6:AC11)+SUMIF(AC27:AC38,"&gt;0",AC27:AC38)</f>
        <v>18.405509502384092</v>
      </c>
      <c r="AD46" s="210">
        <f>SUMIF(AD6:AD11,"&gt;0",AD6:AD11)+SUMIF(AD27:AD38,"&gt;0",AD27:AD38)</f>
        <v>19.235633450405057</v>
      </c>
      <c r="AE46" s="242"/>
      <c r="AF46" s="90"/>
      <c r="AG46" s="92"/>
      <c r="AH46" s="92"/>
      <c r="AI46" s="92"/>
      <c r="AJ46" s="92"/>
      <c r="AK46" s="92"/>
      <c r="AL46" s="88"/>
      <c r="AM46" s="89"/>
      <c r="AN46" s="89"/>
      <c r="AO46" s="89"/>
      <c r="AP46" s="89"/>
      <c r="AQ46" s="90"/>
      <c r="AR46" s="90"/>
      <c r="AS46" s="90"/>
      <c r="AT46" s="90"/>
      <c r="AU46" s="90"/>
      <c r="AV46" s="90"/>
      <c r="AW46" s="92"/>
      <c r="AX46" s="92"/>
      <c r="AY46" s="92"/>
      <c r="AZ46" s="92"/>
      <c r="BA46" s="92"/>
    </row>
    <row r="47" spans="1:56" s="85" customFormat="1">
      <c r="A47" s="2254"/>
      <c r="B47" s="2254"/>
      <c r="C47" s="87"/>
      <c r="D47" s="86"/>
      <c r="E47" s="90"/>
      <c r="F47" s="90"/>
      <c r="G47" s="90"/>
      <c r="H47" s="90"/>
      <c r="I47" s="90"/>
      <c r="J47" s="89"/>
      <c r="L47" s="91"/>
      <c r="M47" s="91"/>
      <c r="N47" s="91"/>
      <c r="O47" s="91"/>
      <c r="P47" s="91"/>
      <c r="Q47" s="91"/>
      <c r="R47" s="91"/>
      <c r="S47" s="90"/>
      <c r="T47" s="90"/>
      <c r="U47" s="90"/>
      <c r="V47" s="90"/>
      <c r="W47" s="90"/>
      <c r="X47" s="90"/>
      <c r="Y47" s="211" t="s">
        <v>356</v>
      </c>
      <c r="Z47" s="212">
        <f>SUMIF(Z12:Z27,"&gt;0",Z12:Z27)</f>
        <v>22.337686251127689</v>
      </c>
      <c r="AA47" s="212">
        <f>SUMIF(AA12:AA27,"&gt;0",AA12:AA27)</f>
        <v>8.098940785745576</v>
      </c>
      <c r="AB47" s="212">
        <f>SUMIF(AB12:AB27,"&gt;0",AB12:AB27)</f>
        <v>2.1768960920608884</v>
      </c>
      <c r="AC47" s="212">
        <f>SUMIF(AC12:AC27,"&gt;0",AC12:AC27)</f>
        <v>13.742519063602286</v>
      </c>
      <c r="AD47" s="212">
        <f>SUMIF(AD12:AD27,"&gt;0",AD12:AD27)</f>
        <v>14.36233315673311</v>
      </c>
      <c r="AE47" s="242"/>
      <c r="AF47" s="90"/>
      <c r="AG47" s="92"/>
      <c r="AH47" s="92"/>
      <c r="AI47" s="92"/>
      <c r="AJ47" s="92"/>
      <c r="AK47" s="92"/>
      <c r="AL47" s="88"/>
      <c r="AM47" s="89"/>
      <c r="AN47" s="89"/>
      <c r="AO47" s="89"/>
      <c r="AP47" s="89"/>
      <c r="AQ47" s="90"/>
      <c r="AR47" s="90"/>
      <c r="AS47" s="90"/>
      <c r="AT47" s="90"/>
      <c r="AU47" s="90"/>
      <c r="AV47" s="90"/>
      <c r="AW47" s="92"/>
      <c r="AX47" s="92"/>
      <c r="AY47" s="92"/>
      <c r="AZ47" s="92"/>
      <c r="BA47" s="92"/>
    </row>
    <row r="48" spans="1:56" s="85" customFormat="1">
      <c r="A48" s="2254"/>
      <c r="B48" s="2254"/>
      <c r="C48" s="87"/>
      <c r="D48" s="86"/>
      <c r="I48" s="90"/>
      <c r="J48" s="89"/>
      <c r="L48" s="91"/>
      <c r="M48" s="91"/>
      <c r="N48" s="91"/>
      <c r="O48" s="91"/>
      <c r="P48" s="91"/>
      <c r="Q48" s="91"/>
      <c r="R48" s="91"/>
      <c r="S48" s="90"/>
      <c r="T48" s="90"/>
      <c r="U48" s="90"/>
      <c r="V48" s="90"/>
      <c r="W48" s="90"/>
      <c r="X48" s="90"/>
      <c r="Y48" s="211" t="s">
        <v>842</v>
      </c>
      <c r="Z48" s="213">
        <f>Z46/(Z47+Z46)</f>
        <v>0.70932219758910797</v>
      </c>
      <c r="AA48" s="214">
        <f>AA46/(AA47+AA46)</f>
        <v>0.86065310027648978</v>
      </c>
      <c r="AB48" s="214">
        <f>AB46/(AB47+AB46)</f>
        <v>0.85913095522922966</v>
      </c>
      <c r="AC48" s="243">
        <f>AC46/(AC47+AC46)</f>
        <v>0.5725237385740567</v>
      </c>
      <c r="AD48" s="243">
        <f>AD46/(AD47+AD46)</f>
        <v>0.57252373857405658</v>
      </c>
      <c r="AE48" s="893"/>
      <c r="AF48" s="90"/>
      <c r="AG48" s="92"/>
      <c r="AH48" s="92"/>
      <c r="AI48" s="92"/>
      <c r="AJ48" s="92"/>
      <c r="AK48" s="92"/>
      <c r="AL48" s="88"/>
      <c r="AM48" s="89"/>
      <c r="AN48" s="89"/>
      <c r="AO48" s="89"/>
      <c r="AP48" s="89"/>
      <c r="AQ48" s="90"/>
      <c r="AR48" s="90"/>
      <c r="AS48" s="90"/>
      <c r="AT48" s="90"/>
      <c r="AU48" s="90"/>
      <c r="AV48" s="90"/>
      <c r="AW48" s="92"/>
      <c r="AX48" s="92"/>
      <c r="AY48" s="92"/>
      <c r="AZ48" s="92"/>
      <c r="BA48" s="92"/>
    </row>
    <row r="49" spans="1:53" s="85" customFormat="1">
      <c r="A49" s="2254"/>
      <c r="B49" s="2254"/>
      <c r="C49" s="87"/>
      <c r="D49" s="86"/>
      <c r="I49" s="90"/>
      <c r="J49" s="89"/>
      <c r="L49" s="91"/>
      <c r="M49" s="91"/>
      <c r="N49" s="91"/>
      <c r="O49" s="91"/>
      <c r="P49" s="91"/>
      <c r="Q49" s="91"/>
      <c r="R49" s="91"/>
      <c r="S49" s="90"/>
      <c r="T49" s="90"/>
      <c r="U49" s="90"/>
      <c r="V49" s="90"/>
      <c r="W49" s="90"/>
      <c r="X49" s="90"/>
      <c r="Y49" s="215" t="s">
        <v>357</v>
      </c>
      <c r="Z49" s="216">
        <f>Z47/(Z46+Z47)</f>
        <v>0.29067780241089197</v>
      </c>
      <c r="AA49" s="217">
        <f>AA47/(AA46+AA47)</f>
        <v>0.13934689972351019</v>
      </c>
      <c r="AB49" s="217">
        <f>AB47/(AB46+AB47)</f>
        <v>0.14086904477077036</v>
      </c>
      <c r="AC49" s="217">
        <f>AC47/(AC46+AC47)</f>
        <v>0.42747626142594325</v>
      </c>
      <c r="AD49" s="217">
        <f>AD47/(AD46+AD47)</f>
        <v>0.4274762614259433</v>
      </c>
      <c r="AE49" s="893"/>
      <c r="AF49" s="90"/>
      <c r="AG49" s="92"/>
      <c r="AH49" s="92"/>
      <c r="AI49" s="92"/>
      <c r="AJ49" s="92"/>
      <c r="AK49" s="92"/>
      <c r="AL49" s="88"/>
      <c r="AM49" s="89"/>
      <c r="AN49" s="89"/>
      <c r="AO49" s="89"/>
      <c r="AP49" s="89"/>
      <c r="AQ49" s="90"/>
      <c r="AR49" s="90"/>
      <c r="AS49" s="90"/>
      <c r="AT49" s="90"/>
      <c r="AU49" s="90"/>
      <c r="AV49" s="90"/>
      <c r="AW49" s="92"/>
      <c r="AX49" s="92"/>
      <c r="AY49" s="92"/>
      <c r="AZ49" s="92"/>
      <c r="BA49" s="92"/>
    </row>
    <row r="50" spans="1:53" s="85" customFormat="1">
      <c r="A50" s="2254"/>
      <c r="B50" s="2254"/>
      <c r="C50" s="87"/>
      <c r="D50" s="86"/>
      <c r="I50" s="90"/>
      <c r="J50" s="89"/>
      <c r="L50" s="91"/>
      <c r="M50" s="91"/>
      <c r="N50" s="91"/>
      <c r="O50" s="91"/>
      <c r="P50" s="91"/>
      <c r="Q50" s="91"/>
      <c r="R50" s="91"/>
      <c r="S50" s="90"/>
      <c r="T50" s="90"/>
      <c r="U50" s="90"/>
      <c r="V50" s="90"/>
      <c r="W50" s="90"/>
      <c r="X50" s="90"/>
      <c r="Y50" s="241"/>
      <c r="Z50" s="242"/>
      <c r="AA50" s="242"/>
      <c r="AB50" s="242"/>
      <c r="AC50" s="242"/>
      <c r="AD50" s="242"/>
      <c r="AE50" s="242"/>
      <c r="AF50" s="90"/>
      <c r="AG50" s="92"/>
      <c r="AH50" s="92"/>
      <c r="AI50" s="92"/>
      <c r="AJ50" s="92"/>
      <c r="AK50" s="92"/>
      <c r="AL50" s="88"/>
      <c r="AM50" s="89"/>
      <c r="AN50" s="89"/>
      <c r="AO50" s="89"/>
      <c r="AP50" s="89"/>
      <c r="AQ50" s="90"/>
      <c r="AR50" s="90"/>
      <c r="AS50" s="90"/>
      <c r="AT50" s="90"/>
      <c r="AU50" s="90"/>
      <c r="AV50" s="90"/>
      <c r="AW50" s="92"/>
      <c r="AX50" s="92"/>
      <c r="AY50" s="92"/>
      <c r="AZ50" s="92"/>
      <c r="BA50" s="92"/>
    </row>
    <row r="51" spans="1:53" s="85" customFormat="1">
      <c r="A51" s="2254"/>
      <c r="B51" s="2254"/>
      <c r="C51" s="87"/>
      <c r="D51" s="86"/>
      <c r="I51" s="90"/>
      <c r="J51" s="89"/>
      <c r="L51" s="91"/>
      <c r="M51" s="91"/>
      <c r="N51" s="91"/>
      <c r="O51" s="91"/>
      <c r="P51" s="91"/>
      <c r="Q51" s="91"/>
      <c r="R51" s="91"/>
      <c r="S51" s="90"/>
      <c r="T51" s="90"/>
      <c r="U51" s="90"/>
      <c r="V51" s="90"/>
      <c r="W51" s="90"/>
      <c r="X51" s="90"/>
      <c r="Z51" s="90"/>
      <c r="AA51" s="90"/>
      <c r="AB51" s="90"/>
      <c r="AC51" s="90"/>
      <c r="AD51" s="90"/>
      <c r="AE51" s="90"/>
      <c r="AF51" s="90"/>
      <c r="AG51" s="92"/>
      <c r="AH51" s="92"/>
      <c r="AI51" s="92"/>
      <c r="AJ51" s="92"/>
      <c r="AK51" s="92"/>
      <c r="AL51" s="88"/>
      <c r="AM51" s="89"/>
      <c r="AN51" s="89"/>
      <c r="AO51" s="89"/>
      <c r="AP51" s="89"/>
      <c r="AQ51" s="90"/>
      <c r="AR51" s="90"/>
      <c r="AS51" s="90"/>
      <c r="AT51" s="90"/>
      <c r="AU51" s="90"/>
      <c r="AV51" s="90"/>
      <c r="AW51" s="92"/>
      <c r="AX51" s="92"/>
      <c r="AY51" s="92"/>
      <c r="AZ51" s="92"/>
      <c r="BA51" s="92"/>
    </row>
    <row r="52" spans="1:53" s="85" customFormat="1">
      <c r="A52" s="2254"/>
      <c r="B52" s="2254"/>
      <c r="C52" s="87"/>
      <c r="D52" s="86"/>
      <c r="I52" s="90"/>
      <c r="J52" s="89"/>
      <c r="L52" s="91"/>
      <c r="M52" s="91"/>
      <c r="N52" s="91"/>
      <c r="O52" s="91"/>
      <c r="P52" s="91"/>
      <c r="Q52" s="91"/>
      <c r="R52" s="91"/>
      <c r="S52" s="90"/>
      <c r="T52" s="90"/>
      <c r="U52" s="90"/>
      <c r="V52" s="90"/>
      <c r="W52" s="90"/>
      <c r="X52" s="90"/>
      <c r="Z52" s="90"/>
      <c r="AA52" s="90"/>
      <c r="AB52" s="90"/>
      <c r="AC52" s="90"/>
      <c r="AD52" s="90"/>
      <c r="AE52" s="90"/>
      <c r="AF52" s="90"/>
      <c r="AG52" s="92"/>
      <c r="AH52" s="92"/>
      <c r="AI52" s="92"/>
      <c r="AJ52" s="92"/>
      <c r="AK52" s="92"/>
      <c r="AL52" s="88"/>
      <c r="AM52" s="89"/>
      <c r="AN52" s="89"/>
      <c r="AO52" s="89"/>
      <c r="AP52" s="89"/>
      <c r="AQ52" s="90"/>
      <c r="AR52" s="90"/>
      <c r="AS52" s="90"/>
      <c r="AT52" s="90"/>
      <c r="AU52" s="90"/>
      <c r="AV52" s="90"/>
      <c r="AW52" s="92"/>
      <c r="AX52" s="92"/>
      <c r="AY52" s="92"/>
      <c r="AZ52" s="92"/>
      <c r="BA52" s="92"/>
    </row>
    <row r="53" spans="1:53" s="85" customFormat="1">
      <c r="A53" s="2254"/>
      <c r="B53" s="2254"/>
      <c r="C53" s="87"/>
      <c r="D53" s="86"/>
      <c r="I53" s="90"/>
      <c r="J53" s="89"/>
      <c r="L53" s="91"/>
      <c r="M53" s="91"/>
      <c r="N53" s="91"/>
      <c r="O53" s="91"/>
      <c r="P53" s="91"/>
      <c r="Q53" s="91"/>
      <c r="R53" s="91"/>
      <c r="S53" s="90"/>
      <c r="T53" s="90"/>
      <c r="U53" s="90"/>
      <c r="V53" s="90"/>
      <c r="W53" s="90"/>
      <c r="X53" s="90"/>
      <c r="Z53" s="90"/>
      <c r="AA53" s="90"/>
      <c r="AB53" s="90"/>
      <c r="AC53" s="90"/>
      <c r="AD53" s="90"/>
      <c r="AE53" s="90"/>
      <c r="AF53" s="90"/>
      <c r="AG53" s="92"/>
      <c r="AH53" s="92"/>
      <c r="AI53" s="92"/>
      <c r="AJ53" s="92"/>
      <c r="AK53" s="92"/>
      <c r="AL53" s="88"/>
      <c r="AM53" s="89"/>
      <c r="AN53" s="89"/>
      <c r="AO53" s="89"/>
      <c r="AP53" s="89"/>
      <c r="AQ53" s="90"/>
      <c r="AR53" s="90"/>
      <c r="AS53" s="90"/>
      <c r="AT53" s="90"/>
      <c r="AU53" s="90"/>
      <c r="AV53" s="90"/>
      <c r="AW53" s="92"/>
      <c r="AX53" s="92"/>
      <c r="AY53" s="92"/>
      <c r="AZ53" s="92"/>
      <c r="BA53" s="92"/>
    </row>
    <row r="54" spans="1:53" s="85" customFormat="1">
      <c r="A54" s="2254"/>
      <c r="B54" s="2254"/>
      <c r="C54" s="87"/>
      <c r="D54" s="86"/>
      <c r="I54" s="90"/>
      <c r="J54" s="89"/>
      <c r="L54" s="91"/>
      <c r="M54" s="91"/>
      <c r="N54" s="91"/>
      <c r="O54" s="91"/>
      <c r="P54" s="91"/>
      <c r="Q54" s="91"/>
      <c r="R54" s="91"/>
      <c r="S54" s="90"/>
      <c r="T54" s="90"/>
      <c r="U54" s="90"/>
      <c r="V54" s="90"/>
      <c r="W54" s="90"/>
      <c r="X54" s="90"/>
      <c r="Z54" s="90"/>
      <c r="AA54" s="90"/>
      <c r="AB54" s="90"/>
      <c r="AC54" s="90"/>
      <c r="AD54" s="90"/>
      <c r="AE54" s="90"/>
      <c r="AF54" s="90"/>
      <c r="AG54" s="92"/>
      <c r="AH54" s="92"/>
      <c r="AI54" s="92"/>
      <c r="AJ54" s="92"/>
      <c r="AK54" s="92"/>
      <c r="AL54" s="88"/>
      <c r="AM54" s="89"/>
      <c r="AN54" s="89"/>
      <c r="AO54" s="89"/>
      <c r="AP54" s="89"/>
      <c r="AQ54" s="90"/>
      <c r="AR54" s="90"/>
      <c r="AS54" s="90"/>
      <c r="AT54" s="90"/>
      <c r="AU54" s="90"/>
      <c r="AV54" s="90"/>
      <c r="AW54" s="92"/>
      <c r="AX54" s="92"/>
      <c r="AY54" s="92"/>
      <c r="AZ54" s="92"/>
      <c r="BA54" s="92"/>
    </row>
    <row r="55" spans="1:53" s="85" customFormat="1">
      <c r="A55" s="2254"/>
      <c r="B55" s="2254"/>
      <c r="C55" s="87"/>
      <c r="D55" s="86"/>
      <c r="I55" s="90"/>
      <c r="J55" s="89"/>
      <c r="L55" s="91"/>
      <c r="M55" s="91"/>
      <c r="N55" s="91"/>
      <c r="O55" s="91"/>
      <c r="P55" s="91"/>
      <c r="Q55" s="91"/>
      <c r="R55" s="91"/>
      <c r="S55" s="90"/>
      <c r="T55" s="90"/>
      <c r="U55" s="90"/>
      <c r="V55" s="90"/>
      <c r="W55" s="90"/>
      <c r="X55" s="90"/>
      <c r="Z55" s="90"/>
      <c r="AA55" s="90"/>
      <c r="AB55" s="90"/>
      <c r="AC55" s="90"/>
      <c r="AD55" s="90"/>
      <c r="AE55" s="90"/>
      <c r="AF55" s="90"/>
      <c r="AG55" s="92"/>
      <c r="AH55" s="92"/>
      <c r="AI55" s="92"/>
      <c r="AJ55" s="92"/>
      <c r="AK55" s="92"/>
      <c r="AL55" s="88"/>
      <c r="AM55" s="89"/>
      <c r="AN55" s="89"/>
      <c r="AO55" s="89"/>
      <c r="AP55" s="89"/>
      <c r="AQ55" s="90"/>
      <c r="AR55" s="90"/>
      <c r="AS55" s="90"/>
      <c r="AT55" s="90"/>
      <c r="AU55" s="90"/>
      <c r="AV55" s="90"/>
      <c r="AW55" s="92"/>
      <c r="AX55" s="92"/>
      <c r="AY55" s="92"/>
      <c r="AZ55" s="92"/>
      <c r="BA55" s="92"/>
    </row>
    <row r="56" spans="1:53" s="85" customFormat="1">
      <c r="A56" s="2254"/>
      <c r="B56" s="2254"/>
      <c r="C56" s="87"/>
      <c r="D56" s="86"/>
      <c r="I56" s="90"/>
      <c r="J56" s="89"/>
      <c r="L56" s="91"/>
      <c r="M56" s="91"/>
      <c r="N56" s="91"/>
      <c r="O56" s="91"/>
      <c r="P56" s="91"/>
      <c r="Q56" s="91"/>
      <c r="R56" s="91"/>
      <c r="S56" s="90"/>
      <c r="T56" s="90"/>
      <c r="U56" s="90"/>
      <c r="V56" s="90"/>
      <c r="W56" s="90"/>
      <c r="X56" s="90"/>
      <c r="Z56" s="90"/>
      <c r="AA56" s="90"/>
      <c r="AB56" s="90"/>
      <c r="AC56" s="90"/>
      <c r="AD56" s="90"/>
      <c r="AE56" s="90"/>
      <c r="AF56" s="90"/>
      <c r="AG56" s="92"/>
      <c r="AH56" s="92"/>
      <c r="AI56" s="92"/>
      <c r="AJ56" s="92"/>
      <c r="AK56" s="92"/>
      <c r="AL56" s="88"/>
      <c r="AM56" s="89"/>
      <c r="AN56" s="89"/>
      <c r="AO56" s="89"/>
      <c r="AP56" s="89"/>
      <c r="AQ56" s="90"/>
      <c r="AR56" s="90"/>
      <c r="AS56" s="90"/>
      <c r="AT56" s="90"/>
      <c r="AU56" s="90"/>
      <c r="AV56" s="90"/>
      <c r="AW56" s="92"/>
      <c r="AX56" s="92"/>
      <c r="AY56" s="92"/>
      <c r="AZ56" s="92"/>
      <c r="BA56" s="92"/>
    </row>
    <row r="57" spans="1:53" s="85" customFormat="1">
      <c r="A57" s="2254"/>
      <c r="B57" s="2254"/>
      <c r="C57" s="87"/>
      <c r="D57" s="86"/>
      <c r="I57" s="90"/>
      <c r="J57" s="89"/>
      <c r="L57" s="91"/>
      <c r="M57" s="91"/>
      <c r="N57" s="91"/>
      <c r="O57" s="91"/>
      <c r="P57" s="91"/>
      <c r="Q57" s="91"/>
      <c r="R57" s="91"/>
      <c r="S57" s="90"/>
      <c r="T57" s="90"/>
      <c r="U57" s="90"/>
      <c r="V57" s="90"/>
      <c r="W57" s="90"/>
      <c r="X57" s="90"/>
      <c r="Z57" s="90"/>
      <c r="AA57" s="90"/>
      <c r="AB57" s="90"/>
      <c r="AC57" s="90"/>
      <c r="AD57" s="90"/>
      <c r="AE57" s="90"/>
      <c r="AF57" s="90"/>
      <c r="AG57" s="92"/>
      <c r="AH57" s="92"/>
      <c r="AI57" s="92"/>
      <c r="AJ57" s="92"/>
      <c r="AK57" s="92"/>
      <c r="AL57" s="88"/>
      <c r="AM57" s="89"/>
      <c r="AN57" s="89"/>
      <c r="AO57" s="89"/>
      <c r="AP57" s="89"/>
      <c r="AQ57" s="90"/>
      <c r="AR57" s="90"/>
      <c r="AS57" s="90"/>
      <c r="AT57" s="90"/>
      <c r="AU57" s="90"/>
      <c r="AV57" s="90"/>
      <c r="AW57" s="92"/>
      <c r="AX57" s="92"/>
      <c r="AY57" s="92"/>
      <c r="AZ57" s="92"/>
      <c r="BA57" s="92"/>
    </row>
    <row r="58" spans="1:53" s="85" customFormat="1">
      <c r="A58" s="2254"/>
      <c r="B58" s="2254"/>
      <c r="C58" s="87"/>
      <c r="D58" s="86"/>
      <c r="I58" s="90"/>
      <c r="J58" s="89"/>
      <c r="L58" s="91"/>
      <c r="M58" s="91"/>
      <c r="N58" s="91"/>
      <c r="O58" s="91"/>
      <c r="P58" s="91"/>
      <c r="Q58" s="91"/>
      <c r="R58" s="91"/>
      <c r="S58" s="90"/>
      <c r="T58" s="90"/>
      <c r="U58" s="90"/>
      <c r="V58" s="90"/>
      <c r="W58" s="90"/>
      <c r="X58" s="90"/>
      <c r="Z58" s="90"/>
      <c r="AA58" s="90"/>
      <c r="AB58" s="90"/>
      <c r="AC58" s="90"/>
      <c r="AD58" s="90"/>
      <c r="AE58" s="90"/>
      <c r="AF58" s="90"/>
      <c r="AG58" s="92"/>
      <c r="AH58" s="92"/>
      <c r="AI58" s="92"/>
      <c r="AJ58" s="92"/>
      <c r="AK58" s="92"/>
      <c r="AL58" s="88"/>
      <c r="AM58" s="89"/>
      <c r="AN58" s="89"/>
      <c r="AO58" s="89"/>
      <c r="AP58" s="89"/>
      <c r="AQ58" s="90"/>
      <c r="AR58" s="90"/>
      <c r="AS58" s="90"/>
      <c r="AT58" s="90"/>
      <c r="AU58" s="90"/>
      <c r="AV58" s="90"/>
      <c r="AW58" s="92"/>
      <c r="AX58" s="92"/>
      <c r="AY58" s="92"/>
      <c r="AZ58" s="92"/>
      <c r="BA58" s="92"/>
    </row>
    <row r="59" spans="1:53" s="85" customFormat="1">
      <c r="A59" s="2254"/>
      <c r="B59" s="2254"/>
      <c r="C59" s="87"/>
      <c r="D59" s="86"/>
      <c r="I59" s="90"/>
      <c r="J59" s="89"/>
      <c r="L59" s="91"/>
      <c r="M59" s="91"/>
      <c r="N59" s="91"/>
      <c r="O59" s="91"/>
      <c r="P59" s="91"/>
      <c r="Q59" s="91"/>
      <c r="R59" s="91"/>
      <c r="S59" s="90"/>
      <c r="T59" s="90"/>
      <c r="U59" s="90"/>
      <c r="V59" s="90"/>
      <c r="W59" s="90"/>
      <c r="X59" s="90"/>
      <c r="Z59" s="90"/>
      <c r="AA59" s="90"/>
      <c r="AB59" s="90"/>
      <c r="AC59" s="90"/>
      <c r="AD59" s="90"/>
      <c r="AE59" s="90"/>
      <c r="AF59" s="90"/>
      <c r="AG59" s="92"/>
      <c r="AH59" s="92"/>
      <c r="AI59" s="92"/>
      <c r="AJ59" s="92"/>
      <c r="AK59" s="92"/>
      <c r="AL59" s="88"/>
      <c r="AM59" s="89"/>
      <c r="AN59" s="89"/>
      <c r="AO59" s="89"/>
      <c r="AP59" s="89"/>
      <c r="AQ59" s="90"/>
      <c r="AR59" s="90"/>
      <c r="AS59" s="90"/>
      <c r="AT59" s="90"/>
      <c r="AU59" s="90"/>
      <c r="AV59" s="90"/>
      <c r="AW59" s="92"/>
      <c r="AX59" s="92"/>
      <c r="AY59" s="92"/>
      <c r="AZ59" s="92"/>
      <c r="BA59" s="92"/>
    </row>
    <row r="60" spans="1:53" s="85" customFormat="1">
      <c r="A60" s="2254"/>
      <c r="B60" s="2254"/>
      <c r="C60" s="87"/>
      <c r="D60" s="86"/>
      <c r="I60" s="90"/>
      <c r="J60" s="89"/>
      <c r="L60" s="91"/>
      <c r="M60" s="91"/>
      <c r="N60" s="91"/>
      <c r="O60" s="91"/>
      <c r="P60" s="91"/>
      <c r="Q60" s="91"/>
      <c r="R60" s="91"/>
      <c r="S60" s="90"/>
      <c r="T60" s="90"/>
      <c r="U60" s="90"/>
      <c r="V60" s="90"/>
      <c r="W60" s="90"/>
      <c r="X60" s="90"/>
      <c r="Z60" s="90"/>
      <c r="AA60" s="90"/>
      <c r="AB60" s="90"/>
      <c r="AC60" s="90"/>
      <c r="AD60" s="90"/>
      <c r="AE60" s="90"/>
      <c r="AF60" s="90"/>
      <c r="AG60" s="92"/>
      <c r="AH60" s="92"/>
      <c r="AI60" s="92"/>
      <c r="AJ60" s="92"/>
      <c r="AK60" s="92"/>
      <c r="AL60" s="88"/>
      <c r="AM60" s="89"/>
      <c r="AN60" s="89"/>
      <c r="AO60" s="89"/>
      <c r="AP60" s="89"/>
      <c r="AQ60" s="90"/>
      <c r="AR60" s="90"/>
      <c r="AS60" s="90"/>
      <c r="AT60" s="90"/>
      <c r="AU60" s="90"/>
      <c r="AV60" s="90"/>
      <c r="AW60" s="92"/>
      <c r="AX60" s="92"/>
      <c r="AY60" s="92"/>
      <c r="AZ60" s="92"/>
      <c r="BA60" s="92"/>
    </row>
    <row r="61" spans="1:53" s="85" customFormat="1">
      <c r="A61" s="2254"/>
      <c r="B61" s="2254"/>
      <c r="C61" s="87"/>
      <c r="D61" s="86"/>
      <c r="I61" s="90"/>
      <c r="J61" s="89"/>
      <c r="L61" s="91"/>
      <c r="M61" s="91"/>
      <c r="N61" s="91"/>
      <c r="O61" s="91"/>
      <c r="P61" s="91"/>
      <c r="Q61" s="91"/>
      <c r="R61" s="91"/>
      <c r="S61" s="90"/>
      <c r="T61" s="90"/>
      <c r="U61" s="90"/>
      <c r="V61" s="90"/>
      <c r="W61" s="90"/>
      <c r="X61" s="90"/>
      <c r="Z61" s="90"/>
      <c r="AA61" s="90"/>
      <c r="AB61" s="90"/>
      <c r="AC61" s="90"/>
      <c r="AD61" s="90"/>
      <c r="AE61" s="90"/>
      <c r="AF61" s="90"/>
      <c r="AG61" s="92"/>
      <c r="AH61" s="92"/>
      <c r="AI61" s="92"/>
      <c r="AJ61" s="92"/>
      <c r="AK61" s="92"/>
      <c r="AL61" s="88"/>
      <c r="AM61" s="89"/>
      <c r="AN61" s="89"/>
      <c r="AO61" s="89"/>
      <c r="AP61" s="89"/>
      <c r="AQ61" s="90"/>
      <c r="AR61" s="90"/>
      <c r="AS61" s="90"/>
      <c r="AT61" s="90"/>
      <c r="AU61" s="90"/>
      <c r="AV61" s="90"/>
      <c r="AW61" s="92"/>
      <c r="AX61" s="92"/>
      <c r="AY61" s="92"/>
      <c r="AZ61" s="92"/>
      <c r="BA61" s="92"/>
    </row>
    <row r="62" spans="1:53" s="85" customFormat="1">
      <c r="A62" s="2254"/>
      <c r="B62" s="2254"/>
      <c r="C62" s="87"/>
      <c r="D62" s="86"/>
      <c r="I62" s="90"/>
      <c r="J62" s="89"/>
      <c r="L62" s="91"/>
      <c r="M62" s="91"/>
      <c r="N62" s="91"/>
      <c r="O62" s="91"/>
      <c r="P62" s="91"/>
      <c r="Q62" s="91"/>
      <c r="R62" s="91"/>
      <c r="S62" s="90"/>
      <c r="T62" s="90"/>
      <c r="U62" s="90"/>
      <c r="V62" s="90"/>
      <c r="W62" s="90"/>
      <c r="X62" s="90"/>
      <c r="Z62" s="90"/>
      <c r="AA62" s="90"/>
      <c r="AB62" s="90"/>
      <c r="AC62" s="90"/>
      <c r="AD62" s="90"/>
      <c r="AE62" s="90"/>
      <c r="AF62" s="90"/>
      <c r="AG62" s="92"/>
      <c r="AH62" s="92"/>
      <c r="AI62" s="92"/>
      <c r="AJ62" s="92"/>
      <c r="AK62" s="92"/>
      <c r="AL62" s="88"/>
      <c r="AM62" s="89"/>
      <c r="AN62" s="89"/>
      <c r="AO62" s="89"/>
      <c r="AP62" s="89"/>
      <c r="AQ62" s="90"/>
      <c r="AR62" s="90"/>
      <c r="AS62" s="90"/>
      <c r="AT62" s="90"/>
      <c r="AU62" s="90"/>
      <c r="AV62" s="90"/>
      <c r="AW62" s="92"/>
      <c r="AX62" s="92"/>
      <c r="AY62" s="92"/>
      <c r="AZ62" s="92"/>
      <c r="BA62" s="92"/>
    </row>
  </sheetData>
  <mergeCells count="25">
    <mergeCell ref="AG39:AJ39"/>
    <mergeCell ref="Z39:AC39"/>
    <mergeCell ref="L4:P4"/>
    <mergeCell ref="AQ39:AU39"/>
    <mergeCell ref="A42:A62"/>
    <mergeCell ref="B42:B47"/>
    <mergeCell ref="B48:B62"/>
    <mergeCell ref="E4:H4"/>
    <mergeCell ref="B6:B11"/>
    <mergeCell ref="B12:B26"/>
    <mergeCell ref="A6:A11"/>
    <mergeCell ref="AX3:BA3"/>
    <mergeCell ref="AL3:AN3"/>
    <mergeCell ref="AG2:AJ2"/>
    <mergeCell ref="AG3:AJ3"/>
    <mergeCell ref="Z3:AD3"/>
    <mergeCell ref="AQ3:AU3"/>
    <mergeCell ref="Z2:AD2"/>
    <mergeCell ref="AL2:BA2"/>
    <mergeCell ref="D2:I2"/>
    <mergeCell ref="K3:P3"/>
    <mergeCell ref="K2:P2"/>
    <mergeCell ref="S3:W3"/>
    <mergeCell ref="S2:W2"/>
    <mergeCell ref="E3:I3"/>
  </mergeCells>
  <phoneticPr fontId="2"/>
  <hyperlinks>
    <hyperlink ref="A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I35"/>
  <sheetViews>
    <sheetView showGridLines="0" topLeftCell="A10" zoomScaleNormal="75" zoomScalePageLayoutView="75" workbookViewId="0">
      <selection activeCell="F37" sqref="F37"/>
    </sheetView>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8" customFormat="1"/>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463</v>
      </c>
    </row>
    <row r="16" spans="1:9">
      <c r="B16" s="1024" t="s">
        <v>897</v>
      </c>
      <c r="C16" s="1024" t="s">
        <v>885</v>
      </c>
      <c r="D16" s="1024" t="s">
        <v>625</v>
      </c>
      <c r="E16" s="1024" t="s">
        <v>374</v>
      </c>
      <c r="F16" s="1024" t="s">
        <v>239</v>
      </c>
      <c r="G16" s="1024" t="s">
        <v>245</v>
      </c>
      <c r="H16" s="1024" t="s">
        <v>246</v>
      </c>
      <c r="I16" s="1026" t="s">
        <v>479</v>
      </c>
    </row>
    <row r="17" spans="2:9" ht="15" customHeight="1">
      <c r="B17" s="1027" t="s">
        <v>406</v>
      </c>
      <c r="C17" s="15">
        <f>'Calc-Net capex'!H6*SUM('FBPQ NL1'!D10:M13)/SUM('FBPQ NL1'!D10:M16)</f>
        <v>3.7487967434054879E-2</v>
      </c>
      <c r="D17" s="15">
        <f>'Calc-Net capex'!H6*SUM('FBPQ NL1'!D14:M16)/SUM('FBPQ NL1'!D10:M16)</f>
        <v>0.14218580469540901</v>
      </c>
      <c r="E17" s="15">
        <f>'Calc-Net capex'!H7</f>
        <v>5.4337056855904647E-2</v>
      </c>
      <c r="F17" s="15">
        <f>'Calc-Net capex'!H8</f>
        <v>0.21057126392477252</v>
      </c>
      <c r="G17" s="61">
        <f>'Calc-Net capex'!H9+'Calc-Net capex'!H10</f>
        <v>0.55541790708985894</v>
      </c>
      <c r="H17" s="61"/>
      <c r="I17" s="28" t="s">
        <v>376</v>
      </c>
    </row>
    <row r="18" spans="2:9" ht="15" customHeight="1">
      <c r="B18" s="1027" t="s">
        <v>911</v>
      </c>
      <c r="C18" s="17">
        <v>1</v>
      </c>
      <c r="D18" s="17">
        <v>0</v>
      </c>
      <c r="E18" s="17">
        <v>0</v>
      </c>
      <c r="F18" s="17">
        <v>0</v>
      </c>
      <c r="G18" s="62">
        <v>0</v>
      </c>
      <c r="H18" s="62">
        <f t="shared" ref="H18:H27" si="0">SUM(C18:G18)</f>
        <v>1</v>
      </c>
      <c r="I18" s="1025" t="s">
        <v>483</v>
      </c>
    </row>
    <row r="19" spans="2:9" ht="15" customHeight="1">
      <c r="B19" s="1027" t="s">
        <v>478</v>
      </c>
      <c r="C19" s="16"/>
      <c r="D19" s="16">
        <f>'RRP 5.1'!$G$64/'RRP 5.1'!$G$65</f>
        <v>0.50771415660706221</v>
      </c>
      <c r="E19" s="16">
        <v>0</v>
      </c>
      <c r="F19" s="16">
        <f>'RRP 5.1'!$G$63/'RRP 5.1'!$G$65</f>
        <v>0.42965270156865276</v>
      </c>
      <c r="G19" s="63">
        <f>('RRP 5.1'!$G$61+'RRP 5.1'!$G$62)/'RRP 5.1'!$G$65</f>
        <v>6.2633141824285074E-2</v>
      </c>
      <c r="H19" s="63">
        <f t="shared" si="0"/>
        <v>1</v>
      </c>
      <c r="I19" s="1025" t="s">
        <v>480</v>
      </c>
    </row>
    <row r="20" spans="2:9" ht="15" customHeight="1">
      <c r="B20" s="1027" t="s">
        <v>912</v>
      </c>
      <c r="C20" s="16"/>
      <c r="D20" s="16">
        <f>0/'RRP 5.1'!$G$73</f>
        <v>0</v>
      </c>
      <c r="E20" s="16">
        <v>0</v>
      </c>
      <c r="F20" s="16">
        <f>('RRP 5.1'!$G$71+'RRP 5.1'!$G$72)/'RRP 5.1'!$G$73</f>
        <v>0.99556999409332547</v>
      </c>
      <c r="G20" s="63">
        <f>('RRP 5.1'!$G$68+'RRP 5.1'!$G$69+'RRP 5.1'!$G$70)/'RRP 5.1'!$G$73</f>
        <v>4.4300059066745426E-3</v>
      </c>
      <c r="H20" s="63">
        <f t="shared" si="0"/>
        <v>1</v>
      </c>
      <c r="I20" s="1025" t="s">
        <v>480</v>
      </c>
    </row>
    <row r="21" spans="2:9" ht="15" customHeight="1">
      <c r="B21" s="1027" t="s">
        <v>645</v>
      </c>
      <c r="C21" s="16"/>
      <c r="D21" s="16">
        <v>0</v>
      </c>
      <c r="E21" s="16">
        <v>0</v>
      </c>
      <c r="F21" s="16">
        <v>0</v>
      </c>
      <c r="G21" s="63">
        <v>1</v>
      </c>
      <c r="H21" s="63">
        <f t="shared" si="0"/>
        <v>1</v>
      </c>
      <c r="I21" s="1025" t="s">
        <v>483</v>
      </c>
    </row>
    <row r="22" spans="2:9" ht="15" customHeight="1">
      <c r="B22" s="1027" t="s">
        <v>484</v>
      </c>
      <c r="C22" s="1444">
        <f>'Calc-MEAV'!H6*(('Calc-MEAV'!I21+'Calc-MEAV'!I30)/'Calc-MEAV'!G6)</f>
        <v>0.23654014248762154</v>
      </c>
      <c r="D22" s="1444">
        <f>'Calc-MEAV'!H6*(('Calc-MEAV'!G6-'Calc-MEAV'!I21-'Calc-MEAV'!I30)/'Calc-MEAV'!G6)</f>
        <v>0.22633212737579628</v>
      </c>
      <c r="E22" s="1444">
        <f>'Calc-MEAV'!H7</f>
        <v>3.585234419627923E-2</v>
      </c>
      <c r="F22" s="1444">
        <f>'Calc-MEAV'!H8</f>
        <v>0.13338533416215667</v>
      </c>
      <c r="G22" s="1444">
        <f>'Calc-MEAV'!H9+'Calc-MEAV'!H10</f>
        <v>0.36789005177814615</v>
      </c>
      <c r="H22" s="1444">
        <f t="shared" si="0"/>
        <v>0.99999999999999989</v>
      </c>
      <c r="I22" s="64" t="s">
        <v>377</v>
      </c>
    </row>
    <row r="23" spans="2:9" ht="15" customHeight="1"/>
    <row r="24" spans="2:9" ht="15" customHeight="1"/>
    <row r="25" spans="2:9" ht="15" customHeight="1">
      <c r="B25" s="1027" t="s">
        <v>646</v>
      </c>
      <c r="C25" s="1444"/>
      <c r="D25" s="1444">
        <v>0</v>
      </c>
      <c r="E25" s="1444">
        <v>0</v>
      </c>
      <c r="F25" s="1444">
        <v>0</v>
      </c>
      <c r="G25" s="1444">
        <v>1</v>
      </c>
      <c r="H25" s="1444">
        <f t="shared" si="0"/>
        <v>1</v>
      </c>
      <c r="I25" s="1025" t="s">
        <v>483</v>
      </c>
    </row>
    <row r="26" spans="2:9" ht="15" customHeight="1">
      <c r="B26" s="1027" t="s">
        <v>422</v>
      </c>
      <c r="C26" s="1444"/>
      <c r="D26" s="1444">
        <v>1</v>
      </c>
      <c r="E26" s="1444">
        <v>0</v>
      </c>
      <c r="F26" s="1444">
        <v>0</v>
      </c>
      <c r="G26" s="1444">
        <v>0</v>
      </c>
      <c r="H26" s="1444">
        <f t="shared" si="0"/>
        <v>1</v>
      </c>
      <c r="I26" s="1025" t="s">
        <v>483</v>
      </c>
    </row>
    <row r="27" spans="2:9" ht="15" customHeight="1">
      <c r="B27" s="1445" t="s">
        <v>423</v>
      </c>
      <c r="C27" s="1446"/>
      <c r="D27" s="1446">
        <v>0</v>
      </c>
      <c r="E27" s="1446">
        <v>0</v>
      </c>
      <c r="F27" s="1446">
        <v>1</v>
      </c>
      <c r="G27" s="1446">
        <v>0</v>
      </c>
      <c r="H27" s="1446">
        <f t="shared" si="0"/>
        <v>1</v>
      </c>
      <c r="I27" s="114" t="s">
        <v>483</v>
      </c>
    </row>
    <row r="29" spans="2:9">
      <c r="B29" s="7"/>
      <c r="C29" s="7"/>
      <c r="D29" s="7"/>
      <c r="E29" s="7"/>
      <c r="F29" s="7"/>
    </row>
    <row r="30" spans="2:9">
      <c r="B30" s="7"/>
      <c r="C30" s="7"/>
      <c r="D30" s="7"/>
      <c r="E30" s="7"/>
      <c r="F30" s="7"/>
    </row>
    <row r="31" spans="2:9" s="36" customFormat="1" ht="114.75">
      <c r="B31" s="1433" t="s">
        <v>897</v>
      </c>
      <c r="C31" s="1434" t="s">
        <v>993</v>
      </c>
      <c r="D31" s="1435" t="s">
        <v>994</v>
      </c>
      <c r="E31" s="1435" t="s">
        <v>995</v>
      </c>
      <c r="F31" s="1436" t="s">
        <v>479</v>
      </c>
    </row>
    <row r="32" spans="2:9" s="36" customFormat="1" ht="25.5">
      <c r="B32" s="1434" t="s">
        <v>996</v>
      </c>
      <c r="C32" s="1437">
        <f>Inputs!B35</f>
        <v>57796093.5158571</v>
      </c>
      <c r="D32" s="1438">
        <f>SUM(Inputs!C30:G30)</f>
        <v>1473105530.5084479</v>
      </c>
      <c r="E32" s="1439">
        <f>D32/(C32+D32)</f>
        <v>0.96224702318629229</v>
      </c>
      <c r="F32" s="1440" t="s">
        <v>997</v>
      </c>
    </row>
    <row r="33" spans="2:6">
      <c r="B33" s="204"/>
      <c r="C33" s="205"/>
      <c r="D33" s="205"/>
      <c r="E33" s="205"/>
      <c r="F33" s="206"/>
    </row>
    <row r="34" spans="2:6">
      <c r="B34" s="7"/>
      <c r="C34" s="7"/>
      <c r="D34" s="7"/>
      <c r="E34" s="7"/>
      <c r="F34" s="7"/>
    </row>
    <row r="35" spans="2:6">
      <c r="B35" s="7"/>
      <c r="C35" s="7"/>
      <c r="D35" s="7"/>
      <c r="E35" s="7"/>
      <c r="F35" s="7"/>
    </row>
  </sheetData>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pageSetUpPr fitToPage="1"/>
  </sheetPr>
  <dimension ref="A1:AW81"/>
  <sheetViews>
    <sheetView showGridLines="0" topLeftCell="A22" zoomScale="80" zoomScaleNormal="80" zoomScalePageLayoutView="80" workbookViewId="0"/>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231" customFormat="1">
      <c r="A1" s="231" t="s">
        <v>661</v>
      </c>
    </row>
    <row r="2" spans="1:49">
      <c r="A2" s="253" t="s">
        <v>216</v>
      </c>
    </row>
    <row r="3" spans="1:49">
      <c r="A3" s="65"/>
      <c r="B3" s="65"/>
      <c r="C3" s="65"/>
      <c r="D3" s="65"/>
      <c r="E3" s="65"/>
      <c r="F3" s="65"/>
      <c r="G3" s="65"/>
      <c r="H3" s="65"/>
      <c r="I3" s="65"/>
      <c r="J3" s="65"/>
      <c r="K3" s="65"/>
      <c r="L3" s="65"/>
      <c r="M3" s="65"/>
      <c r="N3" s="65"/>
      <c r="O3" s="142"/>
      <c r="P3" s="142"/>
      <c r="Q3" s="142"/>
      <c r="R3" s="142"/>
      <c r="S3" s="142"/>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row>
    <row r="4" spans="1:49">
      <c r="A4" s="65"/>
      <c r="B4" s="150" t="s">
        <v>452</v>
      </c>
      <c r="C4" s="150"/>
      <c r="D4" s="150"/>
      <c r="E4" s="150"/>
      <c r="F4" s="150"/>
      <c r="G4" s="150"/>
      <c r="H4" s="150"/>
      <c r="I4" s="150"/>
      <c r="J4" s="150"/>
      <c r="K4" s="150"/>
      <c r="L4" s="150" t="s">
        <v>453</v>
      </c>
      <c r="M4" s="150"/>
      <c r="N4" s="150"/>
      <c r="O4" s="150"/>
      <c r="P4" s="150"/>
      <c r="Q4" s="150"/>
      <c r="R4" s="150"/>
      <c r="S4" s="150"/>
      <c r="T4" s="150"/>
      <c r="U4" s="65"/>
      <c r="V4" s="65"/>
      <c r="W4" s="65"/>
      <c r="X4" s="65"/>
      <c r="Y4" s="65"/>
      <c r="Z4" s="65"/>
      <c r="AA4" s="65"/>
      <c r="AB4" s="65"/>
      <c r="AC4" s="65"/>
    </row>
    <row r="5" spans="1:49">
      <c r="A5" s="65"/>
      <c r="B5" s="150"/>
      <c r="C5" s="150"/>
      <c r="D5" s="150"/>
      <c r="E5" s="150"/>
      <c r="F5" s="150"/>
      <c r="G5" s="150"/>
      <c r="H5" s="150"/>
      <c r="I5" s="150"/>
      <c r="J5" s="150"/>
      <c r="K5" s="150"/>
      <c r="L5" s="150"/>
      <c r="M5" s="150"/>
      <c r="N5" s="150"/>
      <c r="O5" s="150"/>
      <c r="P5" s="150"/>
      <c r="Q5" s="150"/>
      <c r="R5" s="150"/>
      <c r="S5" s="150"/>
      <c r="T5" s="150"/>
      <c r="U5" s="65"/>
      <c r="V5" s="65"/>
      <c r="W5" s="65"/>
      <c r="X5" s="65"/>
      <c r="Y5" s="65"/>
      <c r="Z5" s="65"/>
      <c r="AA5" s="65"/>
      <c r="AB5" s="65"/>
      <c r="AC5" s="65"/>
    </row>
    <row r="6" spans="1:49">
      <c r="A6" s="65"/>
      <c r="B6" s="150"/>
      <c r="C6" s="150"/>
      <c r="D6" s="1092" t="s">
        <v>32</v>
      </c>
      <c r="E6" s="1092" t="s">
        <v>33</v>
      </c>
      <c r="F6" s="1092"/>
      <c r="G6" s="1092" t="s">
        <v>29</v>
      </c>
      <c r="H6" s="1092" t="s">
        <v>34</v>
      </c>
      <c r="I6" s="1092" t="s">
        <v>35</v>
      </c>
      <c r="J6" s="150"/>
      <c r="K6" s="150"/>
      <c r="L6" s="150"/>
      <c r="M6" s="150"/>
      <c r="N6" s="150"/>
      <c r="O6" s="1090" t="s">
        <v>32</v>
      </c>
      <c r="P6" s="1090" t="s">
        <v>33</v>
      </c>
      <c r="Q6" s="1090" t="s">
        <v>29</v>
      </c>
      <c r="R6" s="1090" t="s">
        <v>34</v>
      </c>
      <c r="S6" s="1090" t="s">
        <v>35</v>
      </c>
      <c r="T6" s="150"/>
      <c r="U6" s="65"/>
      <c r="V6" s="65"/>
      <c r="W6" s="65"/>
      <c r="X6" s="65"/>
      <c r="Y6" s="65"/>
      <c r="Z6" s="65"/>
      <c r="AA6" s="65"/>
      <c r="AB6" s="65"/>
      <c r="AC6" s="65"/>
    </row>
    <row r="7" spans="1:49">
      <c r="A7" s="65"/>
      <c r="B7" s="150"/>
      <c r="C7" s="150"/>
      <c r="D7" s="151"/>
      <c r="E7" s="151"/>
      <c r="F7" s="151"/>
      <c r="G7" s="151"/>
      <c r="H7" s="151"/>
      <c r="I7" s="151"/>
      <c r="J7" s="151"/>
      <c r="K7" s="150"/>
      <c r="L7" s="150" t="s">
        <v>602</v>
      </c>
      <c r="M7" s="150"/>
      <c r="N7" s="150"/>
      <c r="O7" s="1091">
        <f>'Allowed revenue -DPCR4'!D3</f>
        <v>964.7</v>
      </c>
      <c r="P7" s="1091">
        <f>'Allowed revenue -DPCR4'!E3</f>
        <v>1013.2</v>
      </c>
      <c r="Q7" s="1091">
        <f>'Allowed revenue -DPCR4'!F3</f>
        <v>1057.4000000000001</v>
      </c>
      <c r="R7" s="1091">
        <f>'Allowed revenue -DPCR4'!G3</f>
        <v>1095.0999999999999</v>
      </c>
      <c r="S7" s="1091">
        <f>'Allowed revenue -DPCR4'!H3</f>
        <v>1126.5</v>
      </c>
      <c r="T7" s="150"/>
      <c r="U7" s="65"/>
      <c r="V7" s="65"/>
      <c r="W7" s="65"/>
      <c r="X7" s="65"/>
      <c r="Y7" s="65"/>
      <c r="Z7" s="65"/>
      <c r="AA7" s="65"/>
      <c r="AB7" s="65"/>
      <c r="AC7" s="65"/>
    </row>
    <row r="8" spans="1:49">
      <c r="A8" s="65"/>
      <c r="B8" s="150" t="s">
        <v>603</v>
      </c>
      <c r="C8" s="150"/>
      <c r="D8" s="1098">
        <f>O33</f>
        <v>238.75220365682705</v>
      </c>
      <c r="E8" s="1098">
        <f>P33</f>
        <v>240.42346908242482</v>
      </c>
      <c r="F8" s="1098"/>
      <c r="G8" s="1098">
        <f>Q33</f>
        <v>242.33348671167943</v>
      </c>
      <c r="H8" s="1098">
        <f>R33</f>
        <v>244.00475213727725</v>
      </c>
      <c r="I8" s="1098">
        <f>S33</f>
        <v>245.67601756287502</v>
      </c>
      <c r="J8" s="151"/>
      <c r="K8" s="150"/>
      <c r="L8" s="150" t="s">
        <v>604</v>
      </c>
      <c r="M8" s="150"/>
      <c r="N8" s="150"/>
      <c r="O8" s="1091">
        <f>'Allowed revenue -DPCR4'!D4</f>
        <v>120.8</v>
      </c>
      <c r="P8" s="1091">
        <f>'Allowed revenue -DPCR4'!E4</f>
        <v>120.4</v>
      </c>
      <c r="Q8" s="1091">
        <f>'Allowed revenue -DPCR4'!F4</f>
        <v>120</v>
      </c>
      <c r="R8" s="1091">
        <f>'Allowed revenue -DPCR4'!G4</f>
        <v>119.5</v>
      </c>
      <c r="S8" s="1091">
        <f>'Allowed revenue -DPCR4'!H4</f>
        <v>119.3</v>
      </c>
      <c r="T8" s="151"/>
      <c r="U8" s="65"/>
      <c r="V8" s="65"/>
      <c r="W8" s="65"/>
      <c r="X8" s="65"/>
      <c r="Y8" s="65"/>
      <c r="Z8" s="65"/>
      <c r="AA8" s="65"/>
      <c r="AB8" s="65"/>
      <c r="AC8" s="65"/>
    </row>
    <row r="9" spans="1:49">
      <c r="A9" s="65"/>
      <c r="B9" s="150"/>
      <c r="C9" s="150"/>
      <c r="D9" s="1097"/>
      <c r="E9" s="1097"/>
      <c r="F9" s="1097"/>
      <c r="G9" s="1097"/>
      <c r="H9" s="1097"/>
      <c r="I9" s="1097"/>
      <c r="J9" s="150"/>
      <c r="K9" s="150"/>
      <c r="L9" s="150" t="s">
        <v>441</v>
      </c>
      <c r="M9" s="150"/>
      <c r="N9" s="150"/>
      <c r="O9" s="1091">
        <f>'Allowed revenue -DPCR4'!D5</f>
        <v>-72.3</v>
      </c>
      <c r="P9" s="1091">
        <f>'Allowed revenue -DPCR4'!E5</f>
        <v>-76.2</v>
      </c>
      <c r="Q9" s="1091">
        <f>'Allowed revenue -DPCR4'!F5</f>
        <v>-82.2</v>
      </c>
      <c r="R9" s="1091">
        <f>'Allowed revenue -DPCR4'!G5</f>
        <v>-88.2</v>
      </c>
      <c r="S9" s="1091">
        <f>'Allowed revenue -DPCR4'!H5</f>
        <v>-94.2</v>
      </c>
      <c r="T9" s="151"/>
      <c r="U9" s="65"/>
      <c r="V9" s="65"/>
      <c r="W9" s="65"/>
      <c r="X9" s="65"/>
      <c r="Y9" s="65"/>
      <c r="Z9" s="65"/>
      <c r="AA9" s="65"/>
      <c r="AB9" s="65"/>
      <c r="AC9" s="65"/>
    </row>
    <row r="10" spans="1:49">
      <c r="A10" s="65"/>
      <c r="B10" s="1089" t="s">
        <v>899</v>
      </c>
      <c r="C10" s="150"/>
      <c r="D10" s="1097">
        <f>O14+(1-0.577)*O16</f>
        <v>79.352599999999995</v>
      </c>
      <c r="E10" s="1097">
        <f>P14+(1-0.577)*P16</f>
        <v>76.852599999999995</v>
      </c>
      <c r="F10" s="1097"/>
      <c r="G10" s="1097">
        <f>Q14+(1-0.577)*Q16</f>
        <v>74.852599999999995</v>
      </c>
      <c r="H10" s="1097">
        <f>R14+(1-0.577)*R16</f>
        <v>73.45259999999999</v>
      </c>
      <c r="I10" s="1097">
        <f>S14+(1-0.577)*S16</f>
        <v>72.852599999999995</v>
      </c>
      <c r="J10" s="150"/>
      <c r="K10" s="150"/>
      <c r="L10" s="150" t="s">
        <v>362</v>
      </c>
      <c r="M10" s="150"/>
      <c r="N10" s="150"/>
      <c r="O10" s="1091">
        <f>'Allowed revenue -DPCR4'!D6</f>
        <v>1013.2</v>
      </c>
      <c r="P10" s="1091">
        <f>'Allowed revenue -DPCR4'!E6</f>
        <v>1057.4000000000001</v>
      </c>
      <c r="Q10" s="1091">
        <f>'Allowed revenue -DPCR4'!F6</f>
        <v>1095.0999999999999</v>
      </c>
      <c r="R10" s="1091">
        <f>'Allowed revenue -DPCR4'!G6</f>
        <v>1126.5</v>
      </c>
      <c r="S10" s="1091">
        <f>'Allowed revenue -DPCR4'!H6</f>
        <v>1151.5999999999999</v>
      </c>
      <c r="T10" s="150"/>
      <c r="U10" s="65"/>
      <c r="V10" s="65"/>
      <c r="W10" s="65"/>
      <c r="X10" s="65"/>
      <c r="Y10" s="65"/>
      <c r="Z10" s="65"/>
      <c r="AA10" s="65"/>
      <c r="AB10" s="65"/>
      <c r="AC10" s="65"/>
    </row>
    <row r="11" spans="1:49">
      <c r="A11" s="65"/>
      <c r="B11" s="150" t="s">
        <v>363</v>
      </c>
      <c r="C11" s="150"/>
      <c r="D11" s="1098" t="str">
        <f>O20</f>
        <v/>
      </c>
      <c r="E11" s="1098" t="str">
        <f>P20</f>
        <v/>
      </c>
      <c r="F11" s="1098" t="str">
        <f>Q20</f>
        <v/>
      </c>
      <c r="G11" s="1098" t="str">
        <f>Q20</f>
        <v/>
      </c>
      <c r="H11" s="1098" t="str">
        <f>R20</f>
        <v/>
      </c>
      <c r="I11" s="1098" t="str">
        <f>S20</f>
        <v/>
      </c>
      <c r="J11" s="150"/>
      <c r="K11" s="150"/>
      <c r="L11" s="150" t="s">
        <v>364</v>
      </c>
      <c r="M11" s="150"/>
      <c r="N11" s="150"/>
      <c r="O11" s="1091">
        <f>'Allowed revenue -DPCR4'!D7</f>
        <v>964.7</v>
      </c>
      <c r="P11" s="1091"/>
      <c r="Q11" s="1091">
        <f>'Allowed revenue -DPCR4'!F7</f>
        <v>0</v>
      </c>
      <c r="R11" s="1091"/>
      <c r="S11" s="1091">
        <f>'Allowed revenue -DPCR4'!H7</f>
        <v>879.3</v>
      </c>
      <c r="T11" s="153"/>
      <c r="U11" s="65"/>
      <c r="V11" s="65"/>
      <c r="W11" s="65"/>
      <c r="X11" s="65"/>
      <c r="Y11" s="65"/>
      <c r="Z11" s="65"/>
      <c r="AA11" s="65"/>
      <c r="AB11" s="65"/>
      <c r="AC11" s="65"/>
    </row>
    <row r="12" spans="1:49">
      <c r="A12" s="65"/>
      <c r="B12" s="150" t="s">
        <v>365</v>
      </c>
      <c r="C12" s="150"/>
      <c r="D12" s="1098">
        <f>O21</f>
        <v>0.9</v>
      </c>
      <c r="E12" s="1098"/>
      <c r="F12" s="1098"/>
      <c r="G12" s="1098"/>
      <c r="H12" s="1098"/>
      <c r="I12" s="1098"/>
      <c r="J12" s="151"/>
      <c r="K12" s="150"/>
      <c r="L12" s="150" t="s">
        <v>366</v>
      </c>
      <c r="M12" s="150"/>
      <c r="N12" s="150"/>
      <c r="O12" s="1091"/>
      <c r="P12" s="1091">
        <f>'Allowed revenue -DPCR4'!E8</f>
        <v>0</v>
      </c>
      <c r="Q12" s="1091"/>
      <c r="R12" s="1091"/>
      <c r="S12" s="1091">
        <f>'Allowed revenue -DPCR4'!H8</f>
        <v>85.4</v>
      </c>
      <c r="T12" s="153"/>
      <c r="U12" s="65"/>
      <c r="V12" s="65"/>
      <c r="W12" s="65"/>
      <c r="X12" s="65"/>
      <c r="Y12" s="65"/>
      <c r="Z12" s="65"/>
      <c r="AA12" s="65"/>
      <c r="AB12" s="65"/>
      <c r="AC12" s="65"/>
    </row>
    <row r="13" spans="1:49">
      <c r="A13" s="65"/>
      <c r="B13" s="150" t="s">
        <v>368</v>
      </c>
      <c r="C13" s="150"/>
      <c r="D13" s="1097">
        <f>SUM(D10:D12)</f>
        <v>80.252600000000001</v>
      </c>
      <c r="E13" s="1097">
        <f>SUM(E10:E12)</f>
        <v>76.852599999999995</v>
      </c>
      <c r="F13" s="1097"/>
      <c r="G13" s="1097">
        <f>SUM(G10:G12)</f>
        <v>74.852599999999995</v>
      </c>
      <c r="H13" s="1097">
        <f>SUM(H10:H12)</f>
        <v>73.45259999999999</v>
      </c>
      <c r="I13" s="1097">
        <f>SUM(I10:I12)</f>
        <v>72.852599999999995</v>
      </c>
      <c r="J13" s="150"/>
      <c r="K13" s="150"/>
      <c r="L13" s="150"/>
      <c r="M13" s="150"/>
      <c r="N13" s="150"/>
      <c r="O13" s="1092"/>
      <c r="P13" s="1092"/>
      <c r="Q13" s="1092"/>
      <c r="R13" s="1092"/>
      <c r="S13" s="1092"/>
      <c r="T13" s="150"/>
      <c r="U13" s="65"/>
      <c r="V13" s="65"/>
      <c r="W13" s="65"/>
      <c r="X13" s="65"/>
      <c r="Y13" s="65"/>
      <c r="Z13" s="65"/>
      <c r="AA13" s="65"/>
      <c r="AB13" s="65"/>
      <c r="AC13" s="65"/>
    </row>
    <row r="14" spans="1:49">
      <c r="A14" s="65"/>
      <c r="B14" s="150"/>
      <c r="C14" s="150"/>
      <c r="D14" s="1097"/>
      <c r="E14" s="1097"/>
      <c r="F14" s="1097"/>
      <c r="G14" s="1097"/>
      <c r="H14" s="1097"/>
      <c r="I14" s="1097"/>
      <c r="J14" s="150"/>
      <c r="K14" s="150"/>
      <c r="L14" s="150" t="s">
        <v>332</v>
      </c>
      <c r="M14" s="150"/>
      <c r="N14" s="150"/>
      <c r="O14" s="1093">
        <f>'Allowed revenue -DPCR4'!D10</f>
        <v>72.5</v>
      </c>
      <c r="P14" s="1093">
        <f>'Allowed revenue -DPCR4'!E10</f>
        <v>70</v>
      </c>
      <c r="Q14" s="1093">
        <f>'Allowed revenue -DPCR4'!F10</f>
        <v>68</v>
      </c>
      <c r="R14" s="1093">
        <f>'Allowed revenue -DPCR4'!G10</f>
        <v>66.599999999999994</v>
      </c>
      <c r="S14" s="1093">
        <f>'Allowed revenue -DPCR4'!H10</f>
        <v>66</v>
      </c>
      <c r="T14" s="151"/>
      <c r="U14" s="65"/>
      <c r="V14" s="65"/>
      <c r="W14" s="65"/>
      <c r="X14" s="65"/>
      <c r="Y14" s="65"/>
      <c r="Z14" s="65"/>
      <c r="AA14" s="65"/>
      <c r="AB14" s="65"/>
      <c r="AC14" s="65"/>
    </row>
    <row r="15" spans="1:49">
      <c r="A15" s="65"/>
      <c r="B15" s="150" t="s">
        <v>333</v>
      </c>
      <c r="C15" s="150"/>
      <c r="D15" s="1097"/>
      <c r="E15" s="1097"/>
      <c r="F15" s="1097"/>
      <c r="G15" s="1097"/>
      <c r="H15" s="1097"/>
      <c r="I15" s="1097"/>
      <c r="J15" s="150"/>
      <c r="K15" s="150"/>
      <c r="L15" s="150" t="s">
        <v>334</v>
      </c>
      <c r="M15" s="150"/>
      <c r="N15" s="150"/>
      <c r="O15" s="1093">
        <f>'Allowed revenue -DPCR4'!D11</f>
        <v>111.5</v>
      </c>
      <c r="P15" s="1093">
        <f>'Allowed revenue -DPCR4'!E11</f>
        <v>111.1</v>
      </c>
      <c r="Q15" s="1093">
        <f>'Allowed revenue -DPCR4'!F11</f>
        <v>110.7</v>
      </c>
      <c r="R15" s="1093">
        <f>'Allowed revenue -DPCR4'!G11</f>
        <v>110.2</v>
      </c>
      <c r="S15" s="1093">
        <f>'Allowed revenue -DPCR4'!H11</f>
        <v>110</v>
      </c>
      <c r="T15" s="151"/>
      <c r="U15" s="65"/>
      <c r="V15" s="65"/>
      <c r="W15" s="65"/>
      <c r="X15" s="65"/>
      <c r="Y15" s="65"/>
      <c r="Z15" s="65"/>
      <c r="AA15" s="65"/>
      <c r="AB15" s="65"/>
      <c r="AC15" s="65"/>
    </row>
    <row r="16" spans="1:49">
      <c r="A16" s="65"/>
      <c r="B16" s="150" t="s">
        <v>441</v>
      </c>
      <c r="C16" s="155"/>
      <c r="D16" s="1097">
        <f>-O9</f>
        <v>72.3</v>
      </c>
      <c r="E16" s="1097">
        <f>-P9</f>
        <v>76.2</v>
      </c>
      <c r="F16" s="1097"/>
      <c r="G16" s="1097">
        <f>-Q9</f>
        <v>82.2</v>
      </c>
      <c r="H16" s="1097">
        <f>-R9</f>
        <v>88.2</v>
      </c>
      <c r="I16" s="1097">
        <f>-S9</f>
        <v>94.2</v>
      </c>
      <c r="J16" s="156"/>
      <c r="K16" s="150"/>
      <c r="L16" s="150" t="s">
        <v>335</v>
      </c>
      <c r="M16" s="150"/>
      <c r="N16" s="150"/>
      <c r="O16" s="1093">
        <f>'Allowed revenue -DPCR4'!D12</f>
        <v>16.2</v>
      </c>
      <c r="P16" s="1093">
        <f>'Allowed revenue -DPCR4'!E12</f>
        <v>16.2</v>
      </c>
      <c r="Q16" s="1093">
        <f>'Allowed revenue -DPCR4'!F12</f>
        <v>16.2</v>
      </c>
      <c r="R16" s="1093">
        <f>'Allowed revenue -DPCR4'!G12</f>
        <v>16.2</v>
      </c>
      <c r="S16" s="1093">
        <f>'Allowed revenue -DPCR4'!H12</f>
        <v>16.2</v>
      </c>
      <c r="T16" s="151"/>
      <c r="U16" s="65"/>
      <c r="V16" s="65"/>
      <c r="W16" s="65"/>
      <c r="X16" s="65"/>
      <c r="Y16" s="65"/>
      <c r="Z16" s="65"/>
      <c r="AA16" s="65"/>
      <c r="AB16" s="65"/>
      <c r="AC16" s="65"/>
    </row>
    <row r="17" spans="1:47">
      <c r="A17" s="65"/>
      <c r="B17" s="150" t="s">
        <v>336</v>
      </c>
      <c r="C17" s="150"/>
      <c r="D17" s="1097">
        <f t="shared" ref="D17:E19" si="0">O17</f>
        <v>25.9</v>
      </c>
      <c r="E17" s="1097">
        <f t="shared" si="0"/>
        <v>26.7</v>
      </c>
      <c r="F17" s="1097"/>
      <c r="G17" s="1097">
        <f t="shared" ref="G17:I19" si="1">Q17</f>
        <v>26.9</v>
      </c>
      <c r="H17" s="1097">
        <f t="shared" si="1"/>
        <v>27</v>
      </c>
      <c r="I17" s="1097">
        <f t="shared" si="1"/>
        <v>26.7</v>
      </c>
      <c r="J17" s="150"/>
      <c r="K17" s="150"/>
      <c r="L17" s="150" t="s">
        <v>336</v>
      </c>
      <c r="M17" s="150"/>
      <c r="N17" s="150"/>
      <c r="O17" s="1093">
        <f>'Allowed revenue -DPCR4'!D13</f>
        <v>25.9</v>
      </c>
      <c r="P17" s="1093">
        <f>'Allowed revenue -DPCR4'!E13</f>
        <v>26.7</v>
      </c>
      <c r="Q17" s="1093">
        <f>'Allowed revenue -DPCR4'!F13</f>
        <v>26.9</v>
      </c>
      <c r="R17" s="1093">
        <f>'Allowed revenue -DPCR4'!G13</f>
        <v>27</v>
      </c>
      <c r="S17" s="1093">
        <f>'Allowed revenue -DPCR4'!H13</f>
        <v>26.7</v>
      </c>
      <c r="T17" s="151"/>
      <c r="U17" s="65"/>
      <c r="V17" s="65"/>
      <c r="W17" s="65"/>
      <c r="X17" s="65"/>
      <c r="Y17" s="65"/>
      <c r="Z17" s="65"/>
      <c r="AA17" s="65"/>
      <c r="AB17" s="65"/>
      <c r="AC17" s="65"/>
    </row>
    <row r="18" spans="1:47">
      <c r="A18" s="65"/>
      <c r="B18" s="150" t="s">
        <v>337</v>
      </c>
      <c r="C18" s="150"/>
      <c r="D18" s="1098">
        <f t="shared" si="0"/>
        <v>1.2</v>
      </c>
      <c r="E18" s="1098">
        <f t="shared" si="0"/>
        <v>0.9</v>
      </c>
      <c r="F18" s="1098"/>
      <c r="G18" s="1098">
        <f t="shared" si="1"/>
        <v>1</v>
      </c>
      <c r="H18" s="1098">
        <f t="shared" si="1"/>
        <v>0.5</v>
      </c>
      <c r="I18" s="1098">
        <f t="shared" si="1"/>
        <v>0.6</v>
      </c>
      <c r="J18" s="151"/>
      <c r="K18" s="150"/>
      <c r="L18" s="150" t="s">
        <v>338</v>
      </c>
      <c r="M18" s="150"/>
      <c r="N18" s="150"/>
      <c r="O18" s="1093">
        <f>'Allowed revenue -DPCR4'!D14</f>
        <v>1.2</v>
      </c>
      <c r="P18" s="1093">
        <f>'Allowed revenue -DPCR4'!E14</f>
        <v>0.9</v>
      </c>
      <c r="Q18" s="1093">
        <f>'Allowed revenue -DPCR4'!F14</f>
        <v>1</v>
      </c>
      <c r="R18" s="1093">
        <f>'Allowed revenue -DPCR4'!G14</f>
        <v>0.5</v>
      </c>
      <c r="S18" s="1093">
        <f>'Allowed revenue -DPCR4'!H14</f>
        <v>0.6</v>
      </c>
      <c r="T18" s="151"/>
      <c r="U18" s="65"/>
      <c r="V18" s="65"/>
      <c r="W18" s="65"/>
      <c r="X18" s="65"/>
      <c r="Y18" s="65"/>
      <c r="Z18" s="65"/>
      <c r="AA18" s="65"/>
      <c r="AB18" s="65"/>
      <c r="AC18" s="65"/>
    </row>
    <row r="19" spans="1:47">
      <c r="A19" s="65"/>
      <c r="B19" s="150" t="s">
        <v>339</v>
      </c>
      <c r="C19" s="150"/>
      <c r="D19" s="1098">
        <f t="shared" si="0"/>
        <v>1.4</v>
      </c>
      <c r="E19" s="1098">
        <f t="shared" si="0"/>
        <v>1.5</v>
      </c>
      <c r="F19" s="1098"/>
      <c r="G19" s="1098">
        <f t="shared" si="1"/>
        <v>1.5</v>
      </c>
      <c r="H19" s="1098">
        <f t="shared" si="1"/>
        <v>1.6</v>
      </c>
      <c r="I19" s="1098">
        <f t="shared" si="1"/>
        <v>1.6</v>
      </c>
      <c r="J19" s="156"/>
      <c r="K19" s="150"/>
      <c r="L19" s="150" t="s">
        <v>340</v>
      </c>
      <c r="M19" s="150"/>
      <c r="N19" s="150"/>
      <c r="O19" s="1093">
        <f>'Allowed revenue -DPCR4'!D15</f>
        <v>1.4</v>
      </c>
      <c r="P19" s="1093">
        <f>'Allowed revenue -DPCR4'!E15</f>
        <v>1.5</v>
      </c>
      <c r="Q19" s="1093">
        <f>'Allowed revenue -DPCR4'!F15</f>
        <v>1.5</v>
      </c>
      <c r="R19" s="1093">
        <f>'Allowed revenue -DPCR4'!G15</f>
        <v>1.6</v>
      </c>
      <c r="S19" s="1093">
        <f>'Allowed revenue -DPCR4'!H15</f>
        <v>1.6</v>
      </c>
      <c r="T19" s="151"/>
      <c r="U19" s="65"/>
      <c r="V19" s="65"/>
      <c r="W19" s="65"/>
      <c r="X19" s="65"/>
      <c r="Y19" s="65"/>
      <c r="Z19" s="65"/>
      <c r="AA19" s="65"/>
      <c r="AB19" s="65"/>
      <c r="AC19" s="65"/>
    </row>
    <row r="20" spans="1:47">
      <c r="A20" s="65"/>
      <c r="B20" s="150" t="s">
        <v>342</v>
      </c>
      <c r="C20" s="156"/>
      <c r="D20" s="1097">
        <f>D8-D13-D16-D17-D18-D19</f>
        <v>57.699603656827051</v>
      </c>
      <c r="E20" s="1097">
        <f>E8-E13-E16-E17-E18-E19</f>
        <v>58.270869082424817</v>
      </c>
      <c r="F20" s="1097"/>
      <c r="G20" s="1097">
        <f>G8-G13-G16-G17-G18-G19</f>
        <v>55.88088671167943</v>
      </c>
      <c r="H20" s="1097">
        <f>H8-H13-H16-H17-H18-H19</f>
        <v>53.252152137277257</v>
      </c>
      <c r="I20" s="1097">
        <f>I8-I13-I16-I17-I18-I19</f>
        <v>49.723417562875014</v>
      </c>
      <c r="J20" s="156"/>
      <c r="K20" s="150"/>
      <c r="L20" s="150" t="s">
        <v>385</v>
      </c>
      <c r="M20" s="150"/>
      <c r="N20" s="150"/>
      <c r="O20" s="1094" t="str">
        <f>IF(ISNUMBER('Allowed revenue -DPCR4'!D16+'Allowed revenue -DPCR4'!D17),'Allowed revenue -DPCR4'!D16+'Allowed revenue -DPCR4'!D17,"")</f>
        <v/>
      </c>
      <c r="P20" s="1094" t="str">
        <f>IF(ISNUMBER('Allowed revenue -DPCR4'!E16+'Allowed revenue -DPCR4'!E17),'Allowed revenue -DPCR4'!E16+'Allowed revenue -DPCR4'!E17,"")</f>
        <v/>
      </c>
      <c r="Q20" s="1094" t="str">
        <f>IF(ISNUMBER('Allowed revenue -DPCR4'!F16+'Allowed revenue -DPCR4'!F17),'Allowed revenue -DPCR4'!F16+'Allowed revenue -DPCR4'!F17,"")</f>
        <v/>
      </c>
      <c r="R20" s="1094" t="str">
        <f>IF(ISNUMBER('Allowed revenue -DPCR4'!G16+'Allowed revenue -DPCR4'!G17),'Allowed revenue -DPCR4'!G16+'Allowed revenue -DPCR4'!G17,"")</f>
        <v/>
      </c>
      <c r="S20" s="1094" t="str">
        <f>IF(ISNUMBER('Allowed revenue -DPCR4'!H16+'Allowed revenue -DPCR4'!H17),'Allowed revenue -DPCR4'!H16+'Allowed revenue -DPCR4'!H17,"")</f>
        <v/>
      </c>
      <c r="T20" s="151"/>
      <c r="U20" s="65"/>
      <c r="V20" s="65"/>
      <c r="W20" s="65"/>
      <c r="X20" s="65"/>
      <c r="Y20" s="65"/>
      <c r="Z20" s="65"/>
      <c r="AA20" s="65"/>
      <c r="AB20" s="65"/>
      <c r="AC20" s="65"/>
    </row>
    <row r="21" spans="1:47">
      <c r="A21" s="65"/>
      <c r="B21" s="150" t="s">
        <v>468</v>
      </c>
      <c r="C21" s="150"/>
      <c r="D21" s="1097">
        <f>SUM(D16:D20)</f>
        <v>158.49960365682705</v>
      </c>
      <c r="E21" s="1097">
        <f>SUM(E16:E20)</f>
        <v>163.57086908242482</v>
      </c>
      <c r="F21" s="1097"/>
      <c r="G21" s="1097">
        <f>SUM(G16:G20)</f>
        <v>167.48088671167943</v>
      </c>
      <c r="H21" s="1097">
        <f>SUM(H16:H20)</f>
        <v>170.55215213727726</v>
      </c>
      <c r="I21" s="1097">
        <f>SUM(I16:I20)</f>
        <v>172.82341756287502</v>
      </c>
      <c r="J21" s="150"/>
      <c r="K21" s="150"/>
      <c r="L21" s="150" t="s">
        <v>365</v>
      </c>
      <c r="M21" s="150"/>
      <c r="N21" s="150"/>
      <c r="O21" s="1093">
        <f>'Allowed revenue -DPCR4'!D18</f>
        <v>0.9</v>
      </c>
      <c r="P21" s="1093" t="str">
        <f>'Allowed revenue -DPCR4'!E18</f>
        <v>-</v>
      </c>
      <c r="Q21" s="1093" t="str">
        <f>'Allowed revenue -DPCR4'!F18</f>
        <v>-</v>
      </c>
      <c r="R21" s="1093" t="str">
        <f>'Allowed revenue -DPCR4'!G18</f>
        <v>-</v>
      </c>
      <c r="S21" s="1093" t="str">
        <f>'Allowed revenue -DPCR4'!H18</f>
        <v>-</v>
      </c>
      <c r="T21" s="151"/>
      <c r="U21" s="65"/>
      <c r="V21" s="65"/>
      <c r="W21" s="65"/>
      <c r="X21" s="65"/>
      <c r="Y21" s="65"/>
      <c r="Z21" s="65"/>
      <c r="AA21" s="65"/>
      <c r="AB21" s="65"/>
      <c r="AC21" s="65"/>
    </row>
    <row r="22" spans="1:47">
      <c r="A22" s="65"/>
      <c r="B22" s="164" t="s">
        <v>469</v>
      </c>
      <c r="C22" s="150"/>
      <c r="D22" s="1097">
        <f>D21-D16</f>
        <v>86.199603656827051</v>
      </c>
      <c r="E22" s="1097">
        <f>E21-E16</f>
        <v>87.370869082424818</v>
      </c>
      <c r="F22" s="1097"/>
      <c r="G22" s="1097">
        <f>G21-G16</f>
        <v>85.280886711679429</v>
      </c>
      <c r="H22" s="1097">
        <f>H21-H16</f>
        <v>82.352152137277258</v>
      </c>
      <c r="I22" s="1097">
        <f>I21-I16</f>
        <v>78.623417562875019</v>
      </c>
      <c r="J22" s="165"/>
      <c r="K22" s="165"/>
      <c r="L22" s="165" t="s">
        <v>657</v>
      </c>
      <c r="M22" s="165"/>
      <c r="N22" s="165"/>
      <c r="O22" s="1092">
        <f>'Allowed revenue -DPCR4'!D19</f>
        <v>229.6</v>
      </c>
      <c r="P22" s="1092">
        <f>'Allowed revenue -DPCR4'!E19</f>
        <v>226.4</v>
      </c>
      <c r="Q22" s="1092">
        <f>'Allowed revenue -DPCR4'!F19</f>
        <v>224.3</v>
      </c>
      <c r="R22" s="1092">
        <f>'Allowed revenue -DPCR4'!G19</f>
        <v>222.1</v>
      </c>
      <c r="S22" s="1092">
        <f>'Allowed revenue -DPCR4'!H19</f>
        <v>221.1</v>
      </c>
      <c r="T22" s="150"/>
      <c r="U22" s="65"/>
      <c r="V22" s="65"/>
      <c r="W22" s="65"/>
      <c r="X22" s="65"/>
      <c r="Y22" s="65"/>
      <c r="Z22" s="65"/>
      <c r="AA22" s="65"/>
      <c r="AB22" s="65"/>
      <c r="AC22" s="65"/>
    </row>
    <row r="23" spans="1:47">
      <c r="A23" s="65"/>
      <c r="B23" s="150"/>
      <c r="C23" s="150"/>
      <c r="D23" s="1097"/>
      <c r="E23" s="1097"/>
      <c r="F23" s="1097"/>
      <c r="G23" s="1097"/>
      <c r="H23" s="1097"/>
      <c r="I23" s="1097"/>
      <c r="J23" s="165"/>
      <c r="K23" s="165"/>
      <c r="L23" s="165" t="s">
        <v>432</v>
      </c>
      <c r="M23" s="165"/>
      <c r="N23" s="165"/>
      <c r="O23" s="1092">
        <f>'Allowed revenue -DPCR4'!D20</f>
        <v>223.5</v>
      </c>
      <c r="P23" s="1092">
        <f>'Allowed revenue -DPCR4'!E20</f>
        <v>208.8</v>
      </c>
      <c r="Q23" s="1092">
        <f>'Allowed revenue -DPCR4'!F20</f>
        <v>196</v>
      </c>
      <c r="R23" s="1092">
        <f>'Allowed revenue -DPCR4'!G20</f>
        <v>183.9</v>
      </c>
      <c r="S23" s="1092">
        <f>'Allowed revenue -DPCR4'!H20</f>
        <v>173.5</v>
      </c>
      <c r="T23" s="153"/>
      <c r="U23" s="65"/>
      <c r="V23" s="65"/>
      <c r="W23" s="65"/>
      <c r="X23" s="65"/>
      <c r="Y23" s="65"/>
      <c r="Z23" s="65"/>
      <c r="AA23" s="65"/>
      <c r="AB23" s="65"/>
      <c r="AC23" s="65"/>
    </row>
    <row r="24" spans="1:47">
      <c r="A24" s="65"/>
      <c r="B24" s="150" t="s">
        <v>433</v>
      </c>
      <c r="C24" s="150"/>
      <c r="D24" s="1097"/>
      <c r="E24" s="1097"/>
      <c r="F24" s="1097"/>
      <c r="G24" s="1097"/>
      <c r="H24" s="1097"/>
      <c r="I24" s="1097"/>
      <c r="J24" s="165"/>
      <c r="K24" s="150"/>
      <c r="L24" s="150" t="s">
        <v>366</v>
      </c>
      <c r="M24" s="150"/>
      <c r="N24" s="150"/>
      <c r="O24" s="1092"/>
      <c r="P24" s="1092"/>
      <c r="Q24" s="1092"/>
      <c r="R24" s="1092"/>
      <c r="S24" s="1092">
        <f>'Allowed revenue -DPCR4'!H21</f>
        <v>85.4</v>
      </c>
      <c r="T24" s="153"/>
      <c r="U24" s="65"/>
      <c r="V24" s="65"/>
      <c r="W24" s="65"/>
      <c r="X24" s="65"/>
      <c r="Y24" s="65"/>
      <c r="Z24" s="65"/>
      <c r="AA24" s="65"/>
      <c r="AB24" s="65"/>
      <c r="AC24" s="65"/>
    </row>
    <row r="25" spans="1:47">
      <c r="A25" s="65"/>
      <c r="B25" s="150"/>
      <c r="C25" s="150"/>
      <c r="D25" s="1097"/>
      <c r="E25" s="1097"/>
      <c r="F25" s="1097"/>
      <c r="G25" s="1097"/>
      <c r="H25" s="1097"/>
      <c r="I25" s="1097"/>
      <c r="J25" s="150"/>
      <c r="K25" s="150"/>
      <c r="L25" s="150" t="s">
        <v>434</v>
      </c>
      <c r="M25" s="150"/>
      <c r="N25" s="150"/>
      <c r="O25" s="1092"/>
      <c r="P25" s="1092"/>
      <c r="Q25" s="1092"/>
      <c r="R25" s="1092"/>
      <c r="S25" s="1092">
        <f>'Allowed revenue -DPCR4'!H22</f>
        <v>1071.0999999999999</v>
      </c>
      <c r="T25" s="153"/>
      <c r="U25" s="65"/>
      <c r="V25" s="65"/>
      <c r="W25" s="65"/>
      <c r="X25" s="65"/>
      <c r="Y25" s="65"/>
      <c r="Z25" s="65"/>
      <c r="AA25" s="65"/>
      <c r="AB25" s="65"/>
      <c r="AC25" s="65"/>
    </row>
    <row r="26" spans="1:47">
      <c r="A26" s="65"/>
      <c r="B26" s="150" t="s">
        <v>517</v>
      </c>
      <c r="C26" s="150"/>
      <c r="D26" s="1098">
        <f>D13</f>
        <v>80.252600000000001</v>
      </c>
      <c r="E26" s="1098">
        <f>E13</f>
        <v>76.852599999999995</v>
      </c>
      <c r="F26" s="1098"/>
      <c r="G26" s="1098">
        <f>G13</f>
        <v>74.852599999999995</v>
      </c>
      <c r="H26" s="1098">
        <f>H13</f>
        <v>73.45259999999999</v>
      </c>
      <c r="I26" s="1098">
        <f>I13</f>
        <v>72.852599999999995</v>
      </c>
      <c r="J26" s="152"/>
      <c r="K26" s="150"/>
      <c r="L26" s="150"/>
      <c r="M26" s="150"/>
      <c r="N26" s="150"/>
      <c r="O26" s="150"/>
      <c r="P26" s="150"/>
      <c r="Q26" s="150"/>
      <c r="R26" s="150"/>
      <c r="S26" s="150"/>
      <c r="T26" s="150"/>
      <c r="U26" s="65"/>
      <c r="V26" s="65"/>
      <c r="W26" s="65"/>
      <c r="X26" s="65"/>
      <c r="Y26" s="65"/>
      <c r="Z26" s="65"/>
      <c r="AA26" s="65"/>
      <c r="AB26" s="65"/>
      <c r="AC26" s="65"/>
    </row>
    <row r="27" spans="1:47">
      <c r="A27" s="65"/>
      <c r="B27" s="150" t="s">
        <v>441</v>
      </c>
      <c r="C27" s="150"/>
      <c r="D27" s="1098">
        <f>D16</f>
        <v>72.3</v>
      </c>
      <c r="E27" s="1098">
        <f>E16</f>
        <v>76.2</v>
      </c>
      <c r="F27" s="1098"/>
      <c r="G27" s="1098">
        <f>G16</f>
        <v>82.2</v>
      </c>
      <c r="H27" s="1098">
        <f>H16</f>
        <v>88.2</v>
      </c>
      <c r="I27" s="1098">
        <f>I16</f>
        <v>94.2</v>
      </c>
      <c r="J27" s="151"/>
      <c r="K27" s="150"/>
      <c r="L27" s="150"/>
      <c r="M27" s="155"/>
      <c r="N27" s="150"/>
      <c r="O27" s="1095">
        <f>1/(1+Inputs!B25)</f>
        <v>0.94746316736936853</v>
      </c>
      <c r="P27" s="1095">
        <f>O27/(1+Inputs!B25)</f>
        <v>0.89768645352159604</v>
      </c>
      <c r="Q27" s="1095">
        <f>P27/(1+Inputs!B25)</f>
        <v>0.85052485055814675</v>
      </c>
      <c r="R27" s="1095">
        <f>Q27/(1+Inputs!B25)</f>
        <v>0.8058409688361805</v>
      </c>
      <c r="S27" s="1095">
        <f>R27/(1+Inputs!B25)</f>
        <v>0.76350463672952817</v>
      </c>
      <c r="T27" s="165"/>
      <c r="U27" s="65"/>
      <c r="V27" s="65"/>
      <c r="W27" s="65"/>
      <c r="X27" s="65"/>
      <c r="Y27" s="65"/>
      <c r="Z27" s="65"/>
      <c r="AA27" s="65"/>
      <c r="AB27" s="65"/>
      <c r="AC27" s="65"/>
    </row>
    <row r="28" spans="1:47">
      <c r="A28" s="65"/>
      <c r="B28" s="150" t="s">
        <v>342</v>
      </c>
      <c r="C28" s="156"/>
      <c r="D28" s="1097">
        <f>D20</f>
        <v>57.699603656827051</v>
      </c>
      <c r="E28" s="1097">
        <f>E20</f>
        <v>58.270869082424817</v>
      </c>
      <c r="F28" s="1097"/>
      <c r="G28" s="1097">
        <f>G20</f>
        <v>55.88088671167943</v>
      </c>
      <c r="H28" s="1097">
        <f>H20</f>
        <v>53.252152137277257</v>
      </c>
      <c r="I28" s="1097">
        <f>I20</f>
        <v>49.723417562875014</v>
      </c>
      <c r="J28" s="156"/>
      <c r="K28" s="150"/>
      <c r="L28" s="150"/>
      <c r="M28" s="150"/>
      <c r="N28" s="150"/>
      <c r="O28" s="1095">
        <v>1</v>
      </c>
      <c r="P28" s="1095">
        <f>O27</f>
        <v>0.94746316736936853</v>
      </c>
      <c r="Q28" s="1095">
        <f>P27</f>
        <v>0.89768645352159604</v>
      </c>
      <c r="R28" s="1095">
        <f>Q27</f>
        <v>0.85052485055814675</v>
      </c>
      <c r="S28" s="1095">
        <f>R27</f>
        <v>0.8058409688361805</v>
      </c>
      <c r="T28" s="165"/>
      <c r="U28" s="65"/>
      <c r="V28" s="65"/>
      <c r="W28" s="65"/>
      <c r="X28" s="65"/>
      <c r="Y28" s="65"/>
      <c r="Z28" s="65"/>
      <c r="AA28" s="65"/>
      <c r="AB28" s="65"/>
      <c r="AC28" s="65"/>
    </row>
    <row r="29" spans="1:47">
      <c r="A29" s="65"/>
      <c r="B29" s="150"/>
      <c r="C29" s="156"/>
      <c r="D29" s="156"/>
      <c r="E29" s="156"/>
      <c r="F29" s="156"/>
      <c r="G29" s="156"/>
      <c r="H29" s="156"/>
      <c r="I29" s="156"/>
      <c r="J29" s="156"/>
      <c r="K29" s="150"/>
      <c r="L29" s="150"/>
      <c r="M29" s="150"/>
      <c r="N29" s="150"/>
      <c r="O29" s="1095">
        <f>1/(1+Inputs!B25)^0.5</f>
        <v>0.97337719686120061</v>
      </c>
      <c r="P29" s="1095">
        <f>1/(1+Inputs!B25)^1.5</f>
        <v>0.92223904198323059</v>
      </c>
      <c r="Q29" s="1095">
        <f>1/(1+Inputs!B25)^2.5</f>
        <v>0.87378752378912361</v>
      </c>
      <c r="R29" s="1095">
        <f>1/(1+Inputs!B25)^3.5</f>
        <v>0.82788149489708041</v>
      </c>
      <c r="S29" s="1095">
        <f>1/(1+Inputs!B25)^4.5</f>
        <v>0.78438722336167555</v>
      </c>
      <c r="T29" s="165"/>
      <c r="U29" s="65"/>
      <c r="V29" s="65"/>
      <c r="W29" s="65"/>
      <c r="X29" s="65"/>
      <c r="Y29" s="65"/>
      <c r="Z29" s="65"/>
      <c r="AA29" s="65"/>
      <c r="AB29" s="65"/>
      <c r="AC29" s="65"/>
    </row>
    <row r="30" spans="1:47">
      <c r="A30" s="65"/>
      <c r="B30" s="150"/>
      <c r="C30" s="150"/>
      <c r="D30" s="150"/>
      <c r="E30" s="150"/>
      <c r="F30" s="150"/>
      <c r="G30" s="150"/>
      <c r="H30" s="150"/>
      <c r="I30" s="150"/>
      <c r="J30" s="150"/>
      <c r="K30" s="150"/>
      <c r="L30" s="150"/>
      <c r="M30" s="150"/>
      <c r="N30" s="150"/>
      <c r="O30" s="1092"/>
      <c r="P30" s="1092"/>
      <c r="Q30" s="1092"/>
      <c r="R30" s="1092"/>
      <c r="S30" s="1092"/>
      <c r="T30" s="150"/>
      <c r="U30" s="65"/>
      <c r="V30" s="65"/>
      <c r="W30" s="65"/>
      <c r="X30" s="65"/>
      <c r="Y30" s="65"/>
      <c r="Z30" s="65"/>
      <c r="AA30" s="65"/>
      <c r="AB30" s="65"/>
      <c r="AC30" s="65"/>
    </row>
    <row r="31" spans="1:47">
      <c r="A31" s="65"/>
      <c r="B31" s="150"/>
      <c r="C31" s="151"/>
      <c r="D31" s="150"/>
      <c r="E31" s="150"/>
      <c r="F31" s="150"/>
      <c r="G31" s="150"/>
      <c r="H31" s="150"/>
      <c r="I31" s="150"/>
      <c r="J31" s="150"/>
      <c r="K31" s="150"/>
      <c r="L31" s="150" t="s">
        <v>438</v>
      </c>
      <c r="M31" s="150"/>
      <c r="N31" s="150"/>
      <c r="O31" s="1093">
        <f>'Allowed revenue -DPCR4'!D24</f>
        <v>1</v>
      </c>
      <c r="P31" s="1093">
        <f>'Allowed revenue -DPCR4'!E24</f>
        <v>1.0069999999999999</v>
      </c>
      <c r="Q31" s="1093">
        <f>'Allowed revenue -DPCR4'!F24</f>
        <v>1.0149999999999999</v>
      </c>
      <c r="R31" s="1093">
        <f>'Allowed revenue -DPCR4'!G24</f>
        <v>1.022</v>
      </c>
      <c r="S31" s="1093">
        <f>'Allowed revenue -DPCR4'!H24</f>
        <v>1.0289999999999999</v>
      </c>
      <c r="T31" s="151"/>
      <c r="U31" s="65"/>
      <c r="V31" s="65"/>
      <c r="W31" s="65"/>
      <c r="X31" s="65"/>
      <c r="Y31" s="65"/>
      <c r="Z31" s="65"/>
      <c r="AA31" s="65"/>
      <c r="AB31" s="65"/>
      <c r="AC31" s="65"/>
    </row>
    <row r="32" spans="1:47">
      <c r="A32" s="65"/>
      <c r="B32" s="150"/>
      <c r="C32" s="151"/>
      <c r="D32" s="150"/>
      <c r="E32" s="150"/>
      <c r="F32" s="150"/>
      <c r="G32" s="150"/>
      <c r="H32" s="150"/>
      <c r="I32" s="150"/>
      <c r="J32" s="150"/>
      <c r="K32" s="150"/>
      <c r="L32" s="150" t="s">
        <v>439</v>
      </c>
      <c r="M32" s="150"/>
      <c r="N32" s="150"/>
      <c r="O32" s="1096">
        <f>O31*O29</f>
        <v>0.97337719686120061</v>
      </c>
      <c r="P32" s="1096">
        <f>P31*P29</f>
        <v>0.92869471527711311</v>
      </c>
      <c r="Q32" s="1096">
        <f>Q31*Q29</f>
        <v>0.8868943366459604</v>
      </c>
      <c r="R32" s="1096">
        <f>R31*R29</f>
        <v>0.84609488778481623</v>
      </c>
      <c r="S32" s="1096">
        <f>S31*S29</f>
        <v>0.80713445283916407</v>
      </c>
      <c r="T32" s="173"/>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row>
    <row r="33" spans="1:49">
      <c r="A33" s="65"/>
      <c r="B33" s="150"/>
      <c r="C33" s="150"/>
      <c r="D33" s="150"/>
      <c r="E33" s="150"/>
      <c r="F33" s="150"/>
      <c r="G33" s="150"/>
      <c r="H33" s="150"/>
      <c r="I33" s="150"/>
      <c r="J33" s="150"/>
      <c r="K33" s="150"/>
      <c r="L33" s="150" t="s">
        <v>440</v>
      </c>
      <c r="M33" s="150"/>
      <c r="N33" s="150"/>
      <c r="O33" s="1097">
        <f>($S$25-$N$39)/SUM($O$32:$U$32)*O31</f>
        <v>238.75220365682705</v>
      </c>
      <c r="P33" s="1097">
        <f>($S$25-$N$39)/SUM($O$32:$U$32)*P31</f>
        <v>240.42346908242482</v>
      </c>
      <c r="Q33" s="1097">
        <f>($S$25-$N$39)/SUM($O$32:$U$32)*Q31</f>
        <v>242.33348671167943</v>
      </c>
      <c r="R33" s="1097">
        <f>($S$25-$N$39)/SUM($O$32:$U$32)*R31</f>
        <v>244.00475213727725</v>
      </c>
      <c r="S33" s="1097">
        <f>($S$25-$N$39)/SUM($O$32:$U$32)*S31</f>
        <v>245.67601756287502</v>
      </c>
      <c r="T33" s="153"/>
      <c r="U33" s="65"/>
      <c r="V33" s="65"/>
      <c r="W33" s="65"/>
      <c r="X33" s="65"/>
      <c r="Y33" s="65"/>
      <c r="Z33" s="65"/>
      <c r="AA33" s="65"/>
      <c r="AB33" s="65"/>
      <c r="AC33" s="65"/>
      <c r="AD33" s="65"/>
      <c r="AE33" s="65"/>
      <c r="AF33" s="65"/>
      <c r="AG33" s="65"/>
      <c r="AH33" s="65"/>
      <c r="AI33" s="65"/>
      <c r="AJ33" s="65"/>
      <c r="AK33" s="65"/>
      <c r="AL33" s="65"/>
      <c r="AM33" s="65"/>
      <c r="AN33" s="65"/>
      <c r="AO33" s="208"/>
      <c r="AP33" s="208"/>
      <c r="AQ33" s="208"/>
      <c r="AR33" s="208"/>
      <c r="AS33" s="208"/>
      <c r="AT33" s="65"/>
      <c r="AU33" s="65"/>
    </row>
    <row r="34" spans="1:49">
      <c r="A34" s="65"/>
      <c r="B34" s="150"/>
      <c r="C34" s="150"/>
      <c r="D34" s="150"/>
      <c r="E34" s="150"/>
      <c r="F34" s="150"/>
      <c r="G34" s="150"/>
      <c r="H34" s="150"/>
      <c r="I34" s="150"/>
      <c r="J34" s="150"/>
      <c r="K34" s="150"/>
      <c r="L34" s="150" t="s">
        <v>359</v>
      </c>
      <c r="M34" s="150"/>
      <c r="N34" s="150"/>
      <c r="O34" s="1092">
        <f>'Allowed revenue -DPCR4'!D27</f>
        <v>2.4</v>
      </c>
      <c r="P34" s="1092">
        <f>'Allowed revenue -DPCR4'!E27</f>
        <v>2.4</v>
      </c>
      <c r="Q34" s="1092">
        <f>'Allowed revenue -DPCR4'!F27</f>
        <v>2.4</v>
      </c>
      <c r="R34" s="1092">
        <f>'Allowed revenue -DPCR4'!G27</f>
        <v>2.4</v>
      </c>
      <c r="S34" s="1092">
        <f>'Allowed revenue -DPCR4'!H27</f>
        <v>2.4</v>
      </c>
      <c r="T34" s="150"/>
      <c r="U34" s="65"/>
      <c r="V34" s="65"/>
      <c r="W34" s="65"/>
      <c r="X34" s="65"/>
      <c r="Y34" s="65"/>
      <c r="Z34" s="65"/>
      <c r="AA34" s="65"/>
      <c r="AB34" s="65"/>
      <c r="AC34" s="65"/>
      <c r="AD34" s="65"/>
      <c r="AE34" s="65"/>
      <c r="AF34" s="65"/>
      <c r="AG34" s="65"/>
      <c r="AH34" s="65"/>
      <c r="AI34" s="65"/>
      <c r="AJ34" s="65"/>
      <c r="AK34" s="65"/>
      <c r="AL34" s="65"/>
      <c r="AM34" s="65"/>
      <c r="AN34" s="65"/>
      <c r="AO34" s="77"/>
      <c r="AP34" s="77"/>
      <c r="AQ34" s="77"/>
      <c r="AR34" s="77"/>
      <c r="AS34" s="77"/>
      <c r="AT34" s="65"/>
      <c r="AU34" s="65"/>
    </row>
    <row r="35" spans="1:49">
      <c r="A35" s="65"/>
      <c r="B35" s="150"/>
      <c r="C35" s="150"/>
      <c r="D35" s="150"/>
      <c r="E35" s="150"/>
      <c r="F35" s="150"/>
      <c r="G35" s="150"/>
      <c r="H35" s="150"/>
      <c r="I35" s="150"/>
      <c r="J35" s="150"/>
      <c r="K35" s="150"/>
      <c r="L35" s="150" t="s">
        <v>360</v>
      </c>
      <c r="M35" s="150"/>
      <c r="N35" s="150"/>
      <c r="O35" s="1097">
        <f>O34+O33</f>
        <v>241.15220365682706</v>
      </c>
      <c r="P35" s="1097">
        <f>P34+P33</f>
        <v>242.82346908242482</v>
      </c>
      <c r="Q35" s="1097">
        <f>Q34+Q33</f>
        <v>244.73348671167943</v>
      </c>
      <c r="R35" s="1097">
        <f>R34+R33</f>
        <v>246.40475213727726</v>
      </c>
      <c r="S35" s="1097">
        <f>S34+S33</f>
        <v>248.07601756287502</v>
      </c>
      <c r="T35" s="153"/>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154"/>
      <c r="AS35" s="65"/>
      <c r="AT35" s="65"/>
      <c r="AU35" s="65"/>
    </row>
    <row r="36" spans="1:49">
      <c r="A36" s="65"/>
      <c r="B36" s="150"/>
      <c r="C36" s="150"/>
      <c r="D36" s="150"/>
      <c r="E36" s="150"/>
      <c r="F36" s="150"/>
      <c r="G36" s="150"/>
      <c r="H36" s="150"/>
      <c r="I36" s="150"/>
      <c r="J36" s="150"/>
      <c r="K36" s="150"/>
      <c r="L36" s="150" t="s">
        <v>348</v>
      </c>
      <c r="M36" s="150"/>
      <c r="N36" s="150"/>
      <c r="O36" s="1097">
        <f>O35*O29</f>
        <v>234.73205601238368</v>
      </c>
      <c r="P36" s="1097">
        <f>P35*P29</f>
        <v>223.94128349762008</v>
      </c>
      <c r="Q36" s="1097">
        <f>Q35*Q29</f>
        <v>213.84506734207676</v>
      </c>
      <c r="R36" s="1097">
        <f>R35*R29</f>
        <v>203.99393454915366</v>
      </c>
      <c r="S36" s="1097">
        <f>S35*S29</f>
        <v>194.58765859876578</v>
      </c>
      <c r="T36" s="153"/>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row>
    <row r="37" spans="1:49">
      <c r="A37" s="65"/>
      <c r="B37" s="150"/>
      <c r="C37" s="150"/>
      <c r="D37" s="150"/>
      <c r="E37" s="150"/>
      <c r="F37" s="150"/>
      <c r="G37" s="150"/>
      <c r="H37" s="150"/>
      <c r="I37" s="150"/>
      <c r="J37" s="150"/>
      <c r="K37" s="150"/>
      <c r="L37" s="150" t="s">
        <v>434</v>
      </c>
      <c r="M37" s="150"/>
      <c r="N37" s="150"/>
      <c r="O37" s="1092"/>
      <c r="P37" s="1092"/>
      <c r="Q37" s="1092"/>
      <c r="R37" s="1092"/>
      <c r="S37" s="1097">
        <f>SUM(O36:S36)</f>
        <v>1071.0999999999999</v>
      </c>
      <c r="T37" s="153"/>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row>
    <row r="38" spans="1:49">
      <c r="A38" s="65"/>
      <c r="B38" s="150"/>
      <c r="C38" s="150"/>
      <c r="D38" s="150"/>
      <c r="E38" s="150"/>
      <c r="F38" s="150"/>
      <c r="G38" s="150"/>
      <c r="H38" s="150"/>
      <c r="I38" s="150"/>
      <c r="J38" s="150"/>
      <c r="K38" s="150"/>
      <c r="L38" s="150"/>
      <c r="M38" s="150"/>
      <c r="N38" s="150"/>
      <c r="O38" s="1092"/>
      <c r="P38" s="1092"/>
      <c r="Q38" s="1092"/>
      <c r="R38" s="1092"/>
      <c r="S38" s="1092"/>
      <c r="T38" s="150"/>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row>
    <row r="39" spans="1:49">
      <c r="A39" s="65"/>
      <c r="B39" s="150"/>
      <c r="C39" s="150"/>
      <c r="D39" s="150"/>
      <c r="E39" s="150"/>
      <c r="F39" s="150"/>
      <c r="G39" s="150"/>
      <c r="H39" s="150"/>
      <c r="I39" s="150"/>
      <c r="J39" s="150"/>
      <c r="K39" s="150"/>
      <c r="L39" s="150" t="s">
        <v>387</v>
      </c>
      <c r="M39" s="150"/>
      <c r="N39" s="153">
        <f>SUM(O39:S39)</f>
        <v>10.516013954141545</v>
      </c>
      <c r="O39" s="1097">
        <f>O34*O29</f>
        <v>2.3361052724668814</v>
      </c>
      <c r="P39" s="1097">
        <f>P34*P29</f>
        <v>2.2133737007597531</v>
      </c>
      <c r="Q39" s="1097">
        <f>Q34*Q29</f>
        <v>2.0970900570938964</v>
      </c>
      <c r="R39" s="1097">
        <f>R34*R29</f>
        <v>1.9869155877529929</v>
      </c>
      <c r="S39" s="1097">
        <f>S34*S29</f>
        <v>1.8825293360680213</v>
      </c>
      <c r="T39" s="153"/>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row>
    <row r="40" spans="1:49" s="233" customFormat="1">
      <c r="A40" s="232"/>
      <c r="N40" s="234"/>
      <c r="O40" s="234"/>
      <c r="P40" s="234"/>
      <c r="Q40" s="234"/>
      <c r="R40" s="234"/>
      <c r="S40" s="234"/>
      <c r="T40" s="234"/>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row>
    <row r="41" spans="1:49" s="236" customFormat="1">
      <c r="A41" s="231" t="s">
        <v>499</v>
      </c>
      <c r="N41" s="237"/>
      <c r="O41" s="237"/>
      <c r="P41" s="237"/>
      <c r="Q41" s="237"/>
      <c r="R41" s="237"/>
      <c r="S41" s="237"/>
      <c r="T41" s="237"/>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row>
    <row r="42" spans="1:49">
      <c r="A42" s="65"/>
      <c r="B42" s="18"/>
      <c r="C42" s="18"/>
      <c r="D42" s="18"/>
      <c r="E42" s="18"/>
      <c r="F42" s="18"/>
      <c r="G42" s="18"/>
      <c r="H42" s="18"/>
      <c r="I42" s="18"/>
      <c r="J42" s="18"/>
      <c r="K42" s="18"/>
      <c r="L42" s="18"/>
      <c r="M42" s="18"/>
      <c r="N42" s="174"/>
      <c r="O42" s="174"/>
      <c r="P42" s="174"/>
      <c r="Q42" s="174"/>
      <c r="R42" s="174"/>
      <c r="S42" s="174"/>
      <c r="T42" s="174"/>
      <c r="U42" s="174"/>
      <c r="V42" s="174"/>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row>
    <row r="43" spans="1:49" ht="25.5">
      <c r="A43" s="65"/>
      <c r="B43" s="175" t="s">
        <v>650</v>
      </c>
      <c r="C43" s="1075" t="s">
        <v>776</v>
      </c>
      <c r="D43" s="176" t="s">
        <v>777</v>
      </c>
      <c r="E43" s="2270" t="s">
        <v>778</v>
      </c>
      <c r="F43" s="2270"/>
      <c r="G43" s="2270"/>
      <c r="H43" s="2270"/>
      <c r="I43" s="2270"/>
      <c r="J43" s="177"/>
      <c r="K43" s="2271" t="s">
        <v>14</v>
      </c>
      <c r="L43" s="2271"/>
      <c r="M43" s="2271"/>
      <c r="N43" s="2271"/>
      <c r="O43" s="178"/>
      <c r="P43" s="2272"/>
      <c r="Q43" s="2273"/>
      <c r="R43" s="2274"/>
      <c r="S43" s="2274"/>
      <c r="T43" s="2274"/>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row>
    <row r="44" spans="1:49">
      <c r="A44" s="65"/>
      <c r="B44" s="1051"/>
      <c r="C44" s="1076"/>
      <c r="D44" s="185"/>
      <c r="E44" s="1052" t="s">
        <v>245</v>
      </c>
      <c r="F44" s="1052"/>
      <c r="G44" s="1052" t="s">
        <v>239</v>
      </c>
      <c r="H44" s="1052" t="s">
        <v>408</v>
      </c>
      <c r="I44" s="1052" t="s">
        <v>625</v>
      </c>
      <c r="J44" s="187" t="s">
        <v>885</v>
      </c>
      <c r="K44" s="1053" t="s">
        <v>245</v>
      </c>
      <c r="L44" s="1053" t="s">
        <v>239</v>
      </c>
      <c r="M44" s="1053" t="s">
        <v>408</v>
      </c>
      <c r="N44" s="1053" t="s">
        <v>625</v>
      </c>
      <c r="O44" s="1054" t="s">
        <v>885</v>
      </c>
      <c r="P44" s="1040"/>
      <c r="Q44" s="1041"/>
      <c r="R44" s="1041"/>
      <c r="S44" s="1041"/>
      <c r="T44" s="1041"/>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row>
    <row r="45" spans="1:49">
      <c r="A45" s="65"/>
      <c r="B45" s="179" t="s">
        <v>342</v>
      </c>
      <c r="C45" s="1077">
        <f>SUM(D22:I22)</f>
        <v>419.82692915108356</v>
      </c>
      <c r="D45" s="239" t="s">
        <v>406</v>
      </c>
      <c r="E45" s="169">
        <f>VLOOKUP($D45,'Calc-Drivers'!$B$17:$G$27,E$51,FALSE)</f>
        <v>0.55541790708985894</v>
      </c>
      <c r="F45" s="169"/>
      <c r="G45" s="169">
        <f>VLOOKUP($D45,'Calc-Drivers'!$B$17:$G$27,G$51,FALSE)</f>
        <v>0.21057126392477252</v>
      </c>
      <c r="H45" s="169">
        <f>VLOOKUP($D45,'Calc-Drivers'!$B$17:$G$27,H$51,FALSE)</f>
        <v>5.4337056855904647E-2</v>
      </c>
      <c r="I45" s="169">
        <f>VLOOKUP($D45,'Calc-Drivers'!$B$17:$G$27,I$51,FALSE)</f>
        <v>0.14218580469540901</v>
      </c>
      <c r="J45" s="894">
        <f>VLOOKUP($D45,'Calc-Drivers'!$B$17:$G$27,J$51,FALSE)</f>
        <v>3.7487967434054879E-2</v>
      </c>
      <c r="K45" s="1049">
        <f>$C45*E45</f>
        <v>233.17939432905732</v>
      </c>
      <c r="L45" s="1049">
        <f t="shared" ref="L45:N47" si="2">$C45*G45</f>
        <v>88.403487100999584</v>
      </c>
      <c r="M45" s="1049">
        <f t="shared" si="2"/>
        <v>22.812159718922281</v>
      </c>
      <c r="N45" s="1049">
        <f t="shared" si="2"/>
        <v>59.693429754149278</v>
      </c>
      <c r="O45" s="183">
        <f>$C45 * J45</f>
        <v>15.738458247955085</v>
      </c>
      <c r="P45" s="1042"/>
      <c r="Q45" s="1043"/>
      <c r="R45" s="1043"/>
      <c r="S45" s="1043"/>
      <c r="T45" s="1043"/>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row>
    <row r="46" spans="1:49">
      <c r="A46" s="65"/>
      <c r="B46" s="179" t="s">
        <v>441</v>
      </c>
      <c r="C46" s="1077">
        <f>SUM(D16:I16)</f>
        <v>413.09999999999997</v>
      </c>
      <c r="D46" s="182" t="s">
        <v>406</v>
      </c>
      <c r="E46" s="169">
        <f>VLOOKUP($D46,'Calc-Drivers'!$B$17:$G$27,E$51,FALSE)</f>
        <v>0.55541790708985894</v>
      </c>
      <c r="F46" s="169"/>
      <c r="G46" s="169">
        <f>VLOOKUP($D46,'Calc-Drivers'!$B$17:$G$27,G$51,FALSE)</f>
        <v>0.21057126392477252</v>
      </c>
      <c r="H46" s="169">
        <f>VLOOKUP($D46,'Calc-Drivers'!$B$17:$G$27,H$51,FALSE)</f>
        <v>5.4337056855904647E-2</v>
      </c>
      <c r="I46" s="169">
        <f>VLOOKUP($D46,'Calc-Drivers'!$B$17:$G$27,I$51,FALSE)</f>
        <v>0.14218580469540901</v>
      </c>
      <c r="J46" s="894">
        <f>VLOOKUP($D46,'Calc-Drivers'!$B$17:$G$27,J$51,FALSE)</f>
        <v>3.7487967434054879E-2</v>
      </c>
      <c r="K46" s="1049">
        <f>$C46*E46</f>
        <v>229.4431374188207</v>
      </c>
      <c r="L46" s="1049">
        <f t="shared" si="2"/>
        <v>86.986989127323525</v>
      </c>
      <c r="M46" s="1049">
        <f t="shared" si="2"/>
        <v>22.446638187174209</v>
      </c>
      <c r="N46" s="1049">
        <f t="shared" si="2"/>
        <v>58.736955919673456</v>
      </c>
      <c r="O46" s="183">
        <f>$C46 * J46</f>
        <v>15.48627934700807</v>
      </c>
      <c r="P46" s="1042"/>
      <c r="Q46" s="1043"/>
      <c r="R46" s="1043"/>
      <c r="S46" s="1043"/>
      <c r="T46" s="1043"/>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row>
    <row r="47" spans="1:49">
      <c r="A47" s="65"/>
      <c r="B47" s="184" t="s">
        <v>779</v>
      </c>
      <c r="C47" s="1077">
        <f>SUM(D13:I13)</f>
        <v>378.26299999999998</v>
      </c>
      <c r="D47" s="182" t="s">
        <v>780</v>
      </c>
      <c r="E47" s="169">
        <f>'Calc DNO Opex Allocation'!AQ41</f>
        <v>0.24604749679574175</v>
      </c>
      <c r="F47" s="169"/>
      <c r="G47" s="169">
        <f>'Calc DNO Opex Allocation'!AR41</f>
        <v>0.19947867364336178</v>
      </c>
      <c r="H47" s="169">
        <f>'Calc DNO Opex Allocation'!AS41</f>
        <v>8.9936348768137761E-2</v>
      </c>
      <c r="I47" s="169">
        <f>'Calc DNO Opex Allocation'!AT41</f>
        <v>0.22714637086521153</v>
      </c>
      <c r="J47" s="894">
        <f>'Calc DNO Opex Allocation'!AU41</f>
        <v>0.23739110992754711</v>
      </c>
      <c r="K47" s="1049">
        <f>$C47*E47</f>
        <v>93.070664280447659</v>
      </c>
      <c r="L47" s="1049">
        <f t="shared" si="2"/>
        <v>75.455401528358948</v>
      </c>
      <c r="M47" s="1049">
        <f t="shared" si="2"/>
        <v>34.01959309408209</v>
      </c>
      <c r="N47" s="1049">
        <f>$C47*I47</f>
        <v>85.921067682587505</v>
      </c>
      <c r="O47" s="183">
        <f>$C47 * J47</f>
        <v>89.796273414523753</v>
      </c>
      <c r="P47" s="1042"/>
      <c r="Q47" s="1043"/>
      <c r="R47" s="1043"/>
      <c r="S47" s="1043"/>
      <c r="T47" s="1043"/>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row>
    <row r="48" spans="1:49">
      <c r="A48" s="65"/>
      <c r="B48" s="180"/>
      <c r="C48" s="1077"/>
      <c r="D48" s="180"/>
      <c r="E48" s="160"/>
      <c r="F48" s="160"/>
      <c r="G48" s="160"/>
      <c r="H48" s="160"/>
      <c r="I48" s="160"/>
      <c r="J48" s="181"/>
      <c r="K48" s="1048"/>
      <c r="L48" s="1048"/>
      <c r="M48" s="1049"/>
      <c r="N48" s="1048"/>
      <c r="O48" s="183"/>
      <c r="P48" s="1044"/>
      <c r="Q48" s="1045"/>
      <c r="R48" s="1045"/>
      <c r="S48" s="1043"/>
      <c r="T48" s="1041"/>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row>
    <row r="49" spans="1:49">
      <c r="A49" s="65"/>
      <c r="B49" s="184" t="s">
        <v>246</v>
      </c>
      <c r="C49" s="1077">
        <f>SUM(C45:C47)</f>
        <v>1211.1899291510836</v>
      </c>
      <c r="D49" s="180"/>
      <c r="E49" s="160"/>
      <c r="F49" s="160"/>
      <c r="G49" s="160"/>
      <c r="H49" s="160"/>
      <c r="I49" s="160"/>
      <c r="J49" s="181"/>
      <c r="K49" s="1049">
        <f>SUM(K45:K48)</f>
        <v>555.6931960283257</v>
      </c>
      <c r="L49" s="1049">
        <f>SUM(L45:L48)</f>
        <v>250.84587775668206</v>
      </c>
      <c r="M49" s="1049">
        <f>SUM(M45:M48)</f>
        <v>79.278391000178573</v>
      </c>
      <c r="N49" s="1049">
        <f>SUM(N45:N48)</f>
        <v>204.35145335641025</v>
      </c>
      <c r="O49" s="183">
        <f>SUM($O$45:$O$48)</f>
        <v>121.02101100948691</v>
      </c>
      <c r="P49" s="1046"/>
      <c r="Q49" s="1047"/>
      <c r="R49" s="1047"/>
      <c r="S49" s="1047"/>
      <c r="T49" s="1047"/>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row>
    <row r="50" spans="1:49">
      <c r="A50" s="65"/>
      <c r="B50" s="185"/>
      <c r="C50" s="185"/>
      <c r="D50" s="185"/>
      <c r="E50" s="186"/>
      <c r="F50" s="186"/>
      <c r="G50" s="186"/>
      <c r="H50" s="186"/>
      <c r="I50" s="186"/>
      <c r="J50" s="187"/>
      <c r="K50" s="1050">
        <f>K49/SUM($K$49:$O$49)</f>
        <v>0.45879938616878035</v>
      </c>
      <c r="L50" s="1050">
        <f>L49/SUM($K$49:$O$49)</f>
        <v>0.20710697118535204</v>
      </c>
      <c r="M50" s="1050">
        <f>M49/SUM($K$49:$O$49)</f>
        <v>6.5454962175704651E-2</v>
      </c>
      <c r="N50" s="1050">
        <f>N49/SUM($K$49:$O$49)</f>
        <v>0.16871957769632304</v>
      </c>
      <c r="O50" s="188">
        <f>O49/SUM($K$48:$O$49)</f>
        <v>9.9919102773839835E-2</v>
      </c>
      <c r="P50" s="1044"/>
      <c r="Q50" s="1045"/>
      <c r="R50" s="1045"/>
      <c r="S50" s="1045"/>
      <c r="T50" s="104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row>
    <row r="51" spans="1:49">
      <c r="A51" s="65"/>
      <c r="B51" s="65"/>
      <c r="C51" s="65"/>
      <c r="D51" s="65"/>
      <c r="E51" s="65">
        <v>6</v>
      </c>
      <c r="F51" s="65"/>
      <c r="G51" s="65">
        <v>5</v>
      </c>
      <c r="H51" s="65">
        <v>4</v>
      </c>
      <c r="I51" s="65">
        <v>3</v>
      </c>
      <c r="J51" s="65">
        <v>2</v>
      </c>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row>
    <row r="52" spans="1:49">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row>
    <row r="53" spans="1:49">
      <c r="A53" s="65"/>
      <c r="B53" s="65"/>
      <c r="C53" s="65"/>
      <c r="D53" s="240" t="s">
        <v>411</v>
      </c>
      <c r="E53" s="65"/>
      <c r="F53" s="65"/>
      <c r="G53" s="65"/>
      <c r="H53" s="65"/>
      <c r="I53" s="65"/>
      <c r="J53" s="65"/>
      <c r="K53" s="510"/>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row>
    <row r="54" spans="1:49">
      <c r="A54" s="65"/>
      <c r="B54" s="65"/>
      <c r="C54" s="65"/>
      <c r="D54" s="970" t="s">
        <v>892</v>
      </c>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row>
    <row r="55" spans="1:49">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row>
    <row r="56" spans="1:49" s="236" customFormat="1">
      <c r="A56" s="231" t="s">
        <v>901</v>
      </c>
      <c r="N56" s="237"/>
      <c r="O56" s="237"/>
      <c r="P56" s="237"/>
      <c r="Q56" s="237"/>
      <c r="R56" s="237"/>
      <c r="S56" s="237"/>
      <c r="T56" s="237"/>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row>
    <row r="58" spans="1:49" ht="13.5" thickBot="1">
      <c r="B58" s="2278" t="s">
        <v>500</v>
      </c>
      <c r="C58" s="2278"/>
      <c r="D58" s="2278"/>
      <c r="E58" s="2278"/>
      <c r="F58" s="2278"/>
      <c r="G58" s="2278"/>
    </row>
    <row r="59" spans="1:49">
      <c r="B59" s="143" t="s">
        <v>881</v>
      </c>
      <c r="C59" s="144"/>
      <c r="D59" s="144"/>
      <c r="E59" s="144"/>
      <c r="F59" s="144">
        <f>'Summary of revenue'!J11</f>
        <v>274.19156400000003</v>
      </c>
      <c r="G59" s="145">
        <f>F59/$F$64</f>
        <v>0.96084277039972421</v>
      </c>
      <c r="K59" s="1080"/>
      <c r="L59" s="1080"/>
      <c r="M59" s="157"/>
      <c r="N59" s="971"/>
      <c r="O59" s="971"/>
      <c r="P59" s="1082" t="s">
        <v>14</v>
      </c>
      <c r="Q59" s="1082" t="s">
        <v>999</v>
      </c>
      <c r="R59" s="1082" t="s">
        <v>1000</v>
      </c>
    </row>
    <row r="60" spans="1:49">
      <c r="B60" s="146" t="s">
        <v>458</v>
      </c>
      <c r="C60" s="147"/>
      <c r="D60" s="147"/>
      <c r="E60" s="147"/>
      <c r="F60" s="147">
        <f>'Summary of revenue'!J12</f>
        <v>-3.6379950000000001</v>
      </c>
      <c r="G60" s="1078">
        <f>F60/$F$64</f>
        <v>-1.274853661982228E-2</v>
      </c>
      <c r="K60" s="1080"/>
      <c r="L60" s="1080"/>
      <c r="M60" s="159"/>
      <c r="N60" s="160"/>
      <c r="O60" s="160"/>
      <c r="P60" s="161"/>
      <c r="Q60" s="161"/>
      <c r="R60" s="161"/>
    </row>
    <row r="61" spans="1:49">
      <c r="B61" s="146" t="s">
        <v>450</v>
      </c>
      <c r="C61" s="147"/>
      <c r="D61" s="147"/>
      <c r="E61" s="147"/>
      <c r="F61" s="147">
        <f>'Summary of revenue'!J13</f>
        <v>7.1725950000000003</v>
      </c>
      <c r="G61" s="1078">
        <f>F61/$F$64</f>
        <v>2.5134748677954254E-2</v>
      </c>
      <c r="K61" s="1080"/>
      <c r="L61" s="1080"/>
      <c r="M61" s="159" t="s">
        <v>454</v>
      </c>
      <c r="N61" s="160"/>
      <c r="O61" s="160"/>
      <c r="P61" s="1100">
        <f>F64</f>
        <v>285.36569400000008</v>
      </c>
      <c r="Q61" s="1100">
        <f>'Summary of revenue'!J65</f>
        <v>2.8000003626827947</v>
      </c>
      <c r="R61" s="1100">
        <f>P61-Q61</f>
        <v>282.56569363731728</v>
      </c>
    </row>
    <row r="62" spans="1:49">
      <c r="B62" s="1099" t="s">
        <v>900</v>
      </c>
      <c r="C62" s="147"/>
      <c r="D62" s="147"/>
      <c r="E62" s="147"/>
      <c r="F62" s="147">
        <f>'Summary of revenue'!J21</f>
        <v>-0.97047000000000005</v>
      </c>
      <c r="G62" s="1078">
        <f>F62/$F$64</f>
        <v>-3.4007942103930679E-3</v>
      </c>
      <c r="K62" s="1080"/>
      <c r="L62" s="1080"/>
      <c r="M62" s="159"/>
      <c r="N62" s="160"/>
      <c r="O62" s="160"/>
      <c r="P62" s="1100"/>
      <c r="Q62" s="1100"/>
      <c r="R62" s="1100"/>
    </row>
    <row r="63" spans="1:49" ht="14.25">
      <c r="B63" s="146" t="s">
        <v>451</v>
      </c>
      <c r="C63" s="147"/>
      <c r="D63" s="147"/>
      <c r="E63" s="147"/>
      <c r="F63" s="147">
        <f>'Summary of revenue'!J46+'Summary of revenue'!J47</f>
        <v>8.61</v>
      </c>
      <c r="G63" s="1078">
        <f>F63/$F$64</f>
        <v>3.017181175253672E-2</v>
      </c>
      <c r="K63" s="1080"/>
      <c r="L63" s="1080"/>
      <c r="M63" s="159" t="s">
        <v>992</v>
      </c>
      <c r="N63" s="160"/>
      <c r="O63" s="1081"/>
      <c r="P63" s="1100">
        <f>-F61</f>
        <v>-7.1725950000000003</v>
      </c>
      <c r="Q63" s="1100">
        <f>Q$61*P63/P$61</f>
        <v>-7.0377305414212804E-2</v>
      </c>
      <c r="R63" s="1100">
        <f>P63-Q63</f>
        <v>-7.1022176945857876</v>
      </c>
    </row>
    <row r="64" spans="1:49" ht="13.5" thickBot="1">
      <c r="B64" s="148" t="s">
        <v>246</v>
      </c>
      <c r="C64" s="149"/>
      <c r="D64" s="149"/>
      <c r="E64" s="149"/>
      <c r="F64" s="149">
        <f>SUM(F59:F63)</f>
        <v>285.36569400000008</v>
      </c>
      <c r="G64" s="1079">
        <f>SUM(G59:G63)</f>
        <v>0.99999999999999989</v>
      </c>
      <c r="K64" s="1080"/>
      <c r="L64" s="1080"/>
      <c r="M64" s="159" t="s">
        <v>991</v>
      </c>
      <c r="N64" s="160"/>
      <c r="O64" s="160"/>
      <c r="P64" s="1100">
        <f>-'Calc DNO Opex Allocation'!I36</f>
        <v>-8</v>
      </c>
      <c r="Q64" s="1100">
        <f>Q$61*P64/P$61</f>
        <v>-7.849578058062702E-2</v>
      </c>
      <c r="R64" s="1100">
        <f>P64-Q64</f>
        <v>-7.921504219419373</v>
      </c>
    </row>
    <row r="65" spans="2:20" ht="14.25">
      <c r="K65" s="1080"/>
      <c r="L65" s="1080"/>
      <c r="M65" s="159"/>
      <c r="N65" s="160"/>
      <c r="O65" s="1081"/>
      <c r="P65" s="1100"/>
      <c r="Q65" s="1100"/>
      <c r="R65" s="1100"/>
    </row>
    <row r="66" spans="2:20" ht="14.25">
      <c r="K66" s="1080"/>
      <c r="L66" s="1080"/>
      <c r="M66" s="159" t="s">
        <v>998</v>
      </c>
      <c r="N66" s="160"/>
      <c r="O66" s="1081"/>
      <c r="P66" s="1100">
        <f>-SUM(P63:P65)</f>
        <v>15.172595000000001</v>
      </c>
      <c r="Q66" s="1100">
        <f>-SUM(Q63:Q65)</f>
        <v>0.14887308599483984</v>
      </c>
      <c r="R66" s="1100">
        <f>P66-Q66</f>
        <v>15.023721914005161</v>
      </c>
    </row>
    <row r="67" spans="2:20" ht="13.5" thickBot="1">
      <c r="K67" s="1080"/>
      <c r="L67" s="1080"/>
      <c r="M67" s="171" t="s">
        <v>367</v>
      </c>
      <c r="N67" s="172"/>
      <c r="O67" s="172"/>
      <c r="P67" s="1101">
        <f>SUM(P61:P65)</f>
        <v>270.19309900000007</v>
      </c>
      <c r="Q67" s="1101">
        <f>SUM(Q61:Q65)</f>
        <v>2.651127276687955</v>
      </c>
      <c r="R67" s="1100">
        <f>P67-Q67</f>
        <v>267.54197172331214</v>
      </c>
    </row>
    <row r="68" spans="2:20">
      <c r="B68" s="65"/>
      <c r="C68" s="65"/>
      <c r="D68" s="65"/>
      <c r="E68" s="65"/>
      <c r="F68" s="65"/>
      <c r="G68" s="65"/>
      <c r="H68" s="65"/>
      <c r="I68" s="65"/>
      <c r="J68" s="65"/>
      <c r="K68" s="65"/>
      <c r="L68" s="65"/>
      <c r="M68" s="65"/>
      <c r="N68" s="65"/>
      <c r="O68" s="65"/>
      <c r="P68" s="65"/>
      <c r="Q68" s="65"/>
      <c r="R68" s="65"/>
    </row>
    <row r="69" spans="2:20" s="97" customFormat="1" ht="39" customHeight="1" thickBot="1">
      <c r="D69" s="2275"/>
      <c r="E69" s="2276"/>
      <c r="F69" s="2276"/>
      <c r="G69" s="2276"/>
      <c r="H69" s="2276"/>
      <c r="I69" s="2276"/>
      <c r="J69" s="2276"/>
      <c r="K69" s="2277"/>
      <c r="L69" s="2275" t="s">
        <v>772</v>
      </c>
      <c r="M69" s="2276"/>
      <c r="N69" s="2276"/>
      <c r="O69" s="2276"/>
      <c r="P69" s="2276"/>
      <c r="Q69" s="2276"/>
      <c r="R69" s="2277"/>
    </row>
    <row r="70" spans="2:20">
      <c r="B70" s="1074" t="s">
        <v>895</v>
      </c>
      <c r="C70" s="158"/>
      <c r="D70" s="2266" t="s">
        <v>14</v>
      </c>
      <c r="E70" s="2267"/>
      <c r="F70" s="2267"/>
      <c r="G70" s="2267"/>
      <c r="H70" s="2267"/>
      <c r="I70" s="2267"/>
      <c r="J70" s="2267"/>
      <c r="K70" s="971"/>
      <c r="L70" s="2266" t="s">
        <v>341</v>
      </c>
      <c r="M70" s="2268"/>
      <c r="N70" s="2268"/>
      <c r="O70" s="2268"/>
      <c r="P70" s="2268"/>
      <c r="Q70" s="2267"/>
      <c r="R70" s="2269"/>
    </row>
    <row r="71" spans="2:20">
      <c r="B71" s="159"/>
      <c r="C71" s="160"/>
      <c r="D71" s="162" t="s">
        <v>246</v>
      </c>
      <c r="E71" s="162"/>
      <c r="F71" s="162" t="s">
        <v>245</v>
      </c>
      <c r="G71" s="162" t="s">
        <v>239</v>
      </c>
      <c r="H71" s="162" t="s">
        <v>408</v>
      </c>
      <c r="I71" s="162" t="s">
        <v>240</v>
      </c>
      <c r="J71" s="162" t="s">
        <v>386</v>
      </c>
      <c r="K71" s="1055"/>
      <c r="L71" s="1056" t="s">
        <v>245</v>
      </c>
      <c r="M71" s="163" t="s">
        <v>239</v>
      </c>
      <c r="N71" s="163" t="s">
        <v>408</v>
      </c>
      <c r="O71" s="163" t="s">
        <v>625</v>
      </c>
      <c r="P71" s="162" t="s">
        <v>386</v>
      </c>
      <c r="Q71" s="162"/>
      <c r="R71" s="162" t="s">
        <v>246</v>
      </c>
      <c r="S71" s="1058" t="s">
        <v>885</v>
      </c>
    </row>
    <row r="72" spans="2:20">
      <c r="B72" s="159"/>
      <c r="C72" s="160"/>
      <c r="D72" s="159"/>
      <c r="E72" s="160"/>
      <c r="F72" s="160"/>
      <c r="G72" s="160"/>
      <c r="H72" s="160"/>
      <c r="I72" s="160"/>
      <c r="J72" s="160"/>
      <c r="K72" s="160"/>
      <c r="L72" s="1060"/>
      <c r="M72" s="1048"/>
      <c r="N72" s="1048"/>
      <c r="O72" s="1048"/>
      <c r="P72" s="181"/>
      <c r="Q72" s="181"/>
      <c r="R72" s="181"/>
      <c r="S72" s="161"/>
    </row>
    <row r="73" spans="2:20">
      <c r="B73" s="159" t="s">
        <v>658</v>
      </c>
      <c r="C73" s="160"/>
      <c r="D73" s="166">
        <f>SUM(F73:J73)</f>
        <v>282.56569363731728</v>
      </c>
      <c r="E73" s="160"/>
      <c r="F73" s="167">
        <f>$R$67*K50</f>
        <v>122.74809240104081</v>
      </c>
      <c r="G73" s="167">
        <f>$R$67*L50</f>
        <v>55.409807428572279</v>
      </c>
      <c r="H73" s="167">
        <f>$R$67*M50</f>
        <v>17.51194963956284</v>
      </c>
      <c r="I73" s="167">
        <f>$R$67*(N50+O50)</f>
        <v>71.872122254136201</v>
      </c>
      <c r="J73" s="1083">
        <f>R66</f>
        <v>15.023721914005161</v>
      </c>
      <c r="K73" s="160"/>
      <c r="L73" s="1061">
        <f>F73*100000000/'Calc-Units'!E21</f>
        <v>0.46401626720599087</v>
      </c>
      <c r="M73" s="1062">
        <f>G73*100000000/'Calc-Units'!D21</f>
        <v>0.2142272270147976</v>
      </c>
      <c r="N73" s="1062">
        <f>H73*100000000/'Calc-Units'!C21</f>
        <v>0.10250497330579982</v>
      </c>
      <c r="O73" s="1062">
        <f>I73*100000000/'Calc-Units'!C21</f>
        <v>0.42069844447515919</v>
      </c>
      <c r="P73" s="1062">
        <f>J73*100000000/'Calc-Units'!E21</f>
        <v>5.6793154384030237E-2</v>
      </c>
      <c r="Q73" s="181"/>
      <c r="R73" s="1062"/>
      <c r="S73" s="1059"/>
    </row>
    <row r="74" spans="2:20">
      <c r="B74" s="159"/>
      <c r="C74" s="160"/>
      <c r="D74" s="159"/>
      <c r="E74" s="160"/>
      <c r="F74" s="160"/>
      <c r="G74" s="160"/>
      <c r="H74" s="160"/>
      <c r="I74" s="160"/>
      <c r="J74" s="160"/>
      <c r="K74" s="160"/>
      <c r="L74" s="1060"/>
      <c r="M74" s="1048"/>
      <c r="N74" s="1048"/>
      <c r="O74" s="1048"/>
      <c r="P74" s="1048"/>
      <c r="Q74" s="181"/>
      <c r="R74" s="181"/>
      <c r="S74" s="161"/>
    </row>
    <row r="75" spans="2:20">
      <c r="B75" s="159" t="s">
        <v>435</v>
      </c>
      <c r="C75" s="160"/>
      <c r="D75" s="159"/>
      <c r="E75" s="160"/>
      <c r="F75" s="160"/>
      <c r="G75" s="160"/>
      <c r="H75" s="160"/>
      <c r="I75" s="160"/>
      <c r="J75" s="160"/>
      <c r="K75" s="160"/>
      <c r="L75" s="1061">
        <f>L73</f>
        <v>0.46401626720599087</v>
      </c>
      <c r="M75" s="1062">
        <f>M73</f>
        <v>0.2142272270147976</v>
      </c>
      <c r="N75" s="1062">
        <f>N73</f>
        <v>0.10250497330579982</v>
      </c>
      <c r="O75" s="1062">
        <f>O73</f>
        <v>0.42069844447515919</v>
      </c>
      <c r="P75" s="1062">
        <f>P73</f>
        <v>5.6793154384030237E-2</v>
      </c>
      <c r="Q75" s="181"/>
      <c r="R75" s="1063">
        <f>SUM(L75:P75)</f>
        <v>1.2582400663857778</v>
      </c>
      <c r="S75" s="168"/>
    </row>
    <row r="76" spans="2:20">
      <c r="B76" s="159" t="s">
        <v>436</v>
      </c>
      <c r="C76" s="160"/>
      <c r="D76" s="159"/>
      <c r="E76" s="160"/>
      <c r="F76" s="160"/>
      <c r="G76" s="160"/>
      <c r="H76" s="160"/>
      <c r="I76" s="160"/>
      <c r="J76" s="160"/>
      <c r="K76" s="160"/>
      <c r="L76" s="1061"/>
      <c r="M76" s="1062"/>
      <c r="N76" s="1062"/>
      <c r="O76" s="1048"/>
      <c r="P76" s="1062"/>
      <c r="Q76" s="181"/>
      <c r="R76" s="1063"/>
      <c r="S76" s="168"/>
    </row>
    <row r="77" spans="2:20">
      <c r="B77" s="159" t="s">
        <v>437</v>
      </c>
      <c r="C77" s="160"/>
      <c r="D77" s="159"/>
      <c r="E77" s="160"/>
      <c r="F77" s="160"/>
      <c r="G77" s="160"/>
      <c r="H77" s="160"/>
      <c r="I77" s="160"/>
      <c r="J77" s="160"/>
      <c r="K77" s="160"/>
      <c r="L77" s="1061"/>
      <c r="M77" s="1048"/>
      <c r="N77" s="1048"/>
      <c r="O77" s="1048"/>
      <c r="P77" s="1062"/>
      <c r="Q77" s="181"/>
      <c r="R77" s="1063"/>
      <c r="S77" s="168"/>
    </row>
    <row r="78" spans="2:20">
      <c r="B78" s="159"/>
      <c r="C78" s="160"/>
      <c r="D78" s="159"/>
      <c r="E78" s="160"/>
      <c r="F78" s="160"/>
      <c r="G78" s="160"/>
      <c r="H78" s="160"/>
      <c r="I78" s="160"/>
      <c r="J78" s="160"/>
      <c r="K78" s="160"/>
      <c r="L78" s="1060"/>
      <c r="M78" s="1048"/>
      <c r="N78" s="1048"/>
      <c r="O78" s="1048"/>
      <c r="P78" s="1048"/>
      <c r="Q78" s="181"/>
      <c r="R78" s="181"/>
      <c r="S78" s="161"/>
    </row>
    <row r="79" spans="2:20">
      <c r="B79" s="159" t="s">
        <v>435</v>
      </c>
      <c r="C79" s="160"/>
      <c r="D79" s="159"/>
      <c r="E79" s="160"/>
      <c r="F79" s="160"/>
      <c r="G79" s="160"/>
      <c r="H79" s="160"/>
      <c r="I79" s="160"/>
      <c r="J79" s="160"/>
      <c r="K79" s="160"/>
      <c r="L79" s="1064">
        <f>L75/$R75</f>
        <v>0.36878198334507889</v>
      </c>
      <c r="M79" s="1065">
        <f>M75/$R75</f>
        <v>0.17025942245675976</v>
      </c>
      <c r="N79" s="1065">
        <f>N75/$R75</f>
        <v>8.146694422173302E-2</v>
      </c>
      <c r="O79" s="1065">
        <f>$O75/$R75*$N50/($N50+$O50)</f>
        <v>0.20999276400777672</v>
      </c>
      <c r="P79" s="1065">
        <f>P75/$R75</f>
        <v>4.5136978150096034E-2</v>
      </c>
      <c r="Q79" s="1066"/>
      <c r="R79" s="1067">
        <f>SUM(L79:P79) + S79</f>
        <v>1</v>
      </c>
      <c r="S79" s="238">
        <f>$O75/$R75*$O50/($N50+$O50)</f>
        <v>0.12436190781855548</v>
      </c>
      <c r="T79" s="510"/>
    </row>
    <row r="80" spans="2:20">
      <c r="B80" s="159" t="s">
        <v>436</v>
      </c>
      <c r="C80" s="160"/>
      <c r="D80" s="159"/>
      <c r="E80" s="160"/>
      <c r="F80" s="160"/>
      <c r="G80" s="160"/>
      <c r="H80" s="160"/>
      <c r="I80" s="160"/>
      <c r="J80" s="160"/>
      <c r="K80" s="160"/>
      <c r="L80" s="1068"/>
      <c r="M80" s="1069"/>
      <c r="N80" s="1069"/>
      <c r="O80" s="1069"/>
      <c r="P80" s="1069"/>
      <c r="Q80" s="1070"/>
      <c r="R80" s="1070"/>
      <c r="S80" s="170"/>
    </row>
    <row r="81" spans="2:19" ht="13.5" thickBot="1">
      <c r="B81" s="171" t="s">
        <v>437</v>
      </c>
      <c r="C81" s="172"/>
      <c r="D81" s="171"/>
      <c r="E81" s="172"/>
      <c r="F81" s="172"/>
      <c r="G81" s="172"/>
      <c r="H81" s="172"/>
      <c r="I81" s="172"/>
      <c r="J81" s="172"/>
      <c r="K81" s="172"/>
      <c r="L81" s="1071"/>
      <c r="M81" s="1072"/>
      <c r="N81" s="1072"/>
      <c r="O81" s="1072"/>
      <c r="P81" s="1072"/>
      <c r="Q81" s="1073"/>
      <c r="R81" s="1073"/>
      <c r="S81" s="1057"/>
    </row>
  </sheetData>
  <mergeCells count="8">
    <mergeCell ref="D70:J70"/>
    <mergeCell ref="L70:R70"/>
    <mergeCell ref="E43:I43"/>
    <mergeCell ref="K43:N43"/>
    <mergeCell ref="P43:T43"/>
    <mergeCell ref="D69:K69"/>
    <mergeCell ref="L69:R69"/>
    <mergeCell ref="B58:G58"/>
  </mergeCells>
  <phoneticPr fontId="0" type="noConversion"/>
  <hyperlinks>
    <hyperlink ref="A2" location="Inputs!A1" display="Index"/>
  </hyperlinks>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pageSetUpPr fitToPage="1"/>
  </sheetPr>
  <dimension ref="A1:G40"/>
  <sheetViews>
    <sheetView showGridLines="0" zoomScaleNormal="75" zoomScalePageLayoutView="75" workbookViewId="0"/>
  </sheetViews>
  <sheetFormatPr defaultColWidth="8.85546875" defaultRowHeight="12.75"/>
  <cols>
    <col min="1" max="1" width="44" customWidth="1"/>
    <col min="2" max="7" width="13.42578125" customWidth="1"/>
    <col min="8" max="8" width="9.140625" customWidth="1"/>
  </cols>
  <sheetData>
    <row r="1" spans="1:7" s="1" customFormat="1">
      <c r="A1" s="8"/>
      <c r="G1" s="253" t="s">
        <v>216</v>
      </c>
    </row>
    <row r="3" spans="1:7" ht="12.75" customHeight="1">
      <c r="A3" s="198" t="s">
        <v>897</v>
      </c>
      <c r="B3" s="2279" t="s">
        <v>343</v>
      </c>
      <c r="C3" s="2279"/>
      <c r="D3" s="2279"/>
      <c r="E3" s="2279"/>
      <c r="F3" s="2279"/>
      <c r="G3" s="2279"/>
    </row>
    <row r="4" spans="1:7">
      <c r="A4" s="202"/>
      <c r="B4" s="985" t="s">
        <v>885</v>
      </c>
      <c r="C4" s="975" t="s">
        <v>625</v>
      </c>
      <c r="D4" s="976" t="s">
        <v>374</v>
      </c>
      <c r="E4" s="975" t="s">
        <v>239</v>
      </c>
      <c r="F4" s="975" t="s">
        <v>245</v>
      </c>
      <c r="G4" s="977" t="s">
        <v>449</v>
      </c>
    </row>
    <row r="5" spans="1:7">
      <c r="A5" s="1084" t="s">
        <v>488</v>
      </c>
      <c r="B5" s="226">
        <f>'DNO Final Allocation'!J47</f>
        <v>0.23739110992754711</v>
      </c>
      <c r="C5" s="978">
        <f>'DNO Final Allocation'!I47</f>
        <v>0.22714637086521153</v>
      </c>
      <c r="D5" s="978">
        <f>'DNO Final Allocation'!H47</f>
        <v>8.9936348768137761E-2</v>
      </c>
      <c r="E5" s="978">
        <f>'DNO Final Allocation'!G47</f>
        <v>0.19947867364336178</v>
      </c>
      <c r="F5" s="978">
        <f>'DNO Final Allocation'!E47</f>
        <v>0.24604749679574175</v>
      </c>
      <c r="G5" s="979" t="s">
        <v>482</v>
      </c>
    </row>
    <row r="6" spans="1:7">
      <c r="A6" s="1085" t="s">
        <v>441</v>
      </c>
      <c r="B6" s="227">
        <f>'DNO Final Allocation'!J45</f>
        <v>3.7487967434054879E-2</v>
      </c>
      <c r="C6" s="980">
        <f>'DNO Final Allocation'!I46</f>
        <v>0.14218580469540901</v>
      </c>
      <c r="D6" s="980">
        <f>'DNO Final Allocation'!H46</f>
        <v>5.4337056855904647E-2</v>
      </c>
      <c r="E6" s="980">
        <f>'DNO Final Allocation'!G46</f>
        <v>0.21057126392477252</v>
      </c>
      <c r="F6" s="980">
        <f>'DNO Final Allocation'!E46</f>
        <v>0.55541790708985894</v>
      </c>
      <c r="G6" s="981" t="s">
        <v>482</v>
      </c>
    </row>
    <row r="7" spans="1:7">
      <c r="A7" s="1086" t="s">
        <v>342</v>
      </c>
      <c r="B7" s="228">
        <f>'DNO Final Allocation'!J46</f>
        <v>3.7487967434054879E-2</v>
      </c>
      <c r="C7" s="982">
        <f>'DNO Final Allocation'!I45</f>
        <v>0.14218580469540901</v>
      </c>
      <c r="D7" s="982">
        <f>'DNO Final Allocation'!H45</f>
        <v>5.4337056855904647E-2</v>
      </c>
      <c r="E7" s="982">
        <f>'DNO Final Allocation'!G45</f>
        <v>0.21057126392477252</v>
      </c>
      <c r="F7" s="982">
        <f>'DNO Final Allocation'!E45</f>
        <v>0.55541790708985894</v>
      </c>
      <c r="G7" s="983" t="s">
        <v>482</v>
      </c>
    </row>
    <row r="8" spans="1:7">
      <c r="A8" s="1087" t="s">
        <v>448</v>
      </c>
      <c r="B8" s="229">
        <f>'DNO Final Allocation'!O50</f>
        <v>9.9919102773839835E-2</v>
      </c>
      <c r="C8" s="501">
        <f>'DNO Final Allocation'!N50</f>
        <v>0.16871957769632304</v>
      </c>
      <c r="D8" s="973">
        <f>'DNO Final Allocation'!M50</f>
        <v>6.5454962175704651E-2</v>
      </c>
      <c r="E8" s="973">
        <f>'DNO Final Allocation'!L50</f>
        <v>0.20710697118535204</v>
      </c>
      <c r="F8" s="973">
        <f>'DNO Final Allocation'!K50</f>
        <v>0.45879938616878035</v>
      </c>
      <c r="G8" s="501" t="s">
        <v>482</v>
      </c>
    </row>
    <row r="9" spans="1:7" ht="41.25" customHeight="1">
      <c r="A9" s="1088" t="s">
        <v>898</v>
      </c>
      <c r="B9" s="225">
        <f>'DNO Final Allocation'!S79</f>
        <v>0.12436190781855548</v>
      </c>
      <c r="C9" s="974">
        <f>'DNO Final Allocation'!O79</f>
        <v>0.20999276400777672</v>
      </c>
      <c r="D9" s="974">
        <f>'DNO Final Allocation'!N79</f>
        <v>8.146694422173302E-2</v>
      </c>
      <c r="E9" s="974">
        <f>'DNO Final Allocation'!M79</f>
        <v>0.17025942245675976</v>
      </c>
      <c r="F9" s="974">
        <f>'DNO Final Allocation'!L79</f>
        <v>0.36878198334507889</v>
      </c>
      <c r="G9" s="974">
        <f>'DNO Final Allocation'!P79</f>
        <v>4.5136978150096034E-2</v>
      </c>
    </row>
    <row r="10" spans="1:7">
      <c r="A10" s="1088" t="s">
        <v>445</v>
      </c>
      <c r="B10" s="244">
        <f>'Calc DNO Opex Allocation'!AD48</f>
        <v>0.57252373857405658</v>
      </c>
      <c r="C10" s="984">
        <f>'Calc DNO Opex Allocation'!AC48</f>
        <v>0.5725237385740567</v>
      </c>
      <c r="D10" s="984">
        <f>'Calc DNO Opex Allocation'!AB48</f>
        <v>0.85913095522922966</v>
      </c>
      <c r="E10" s="984">
        <f>'Calc DNO Opex Allocation'!AA48</f>
        <v>0.86065310027648978</v>
      </c>
      <c r="F10" s="984">
        <f>'Calc DNO Opex Allocation'!Z48</f>
        <v>0.70932219758910797</v>
      </c>
      <c r="G10" s="984" t="s">
        <v>482</v>
      </c>
    </row>
    <row r="12" spans="1:7" ht="12" customHeight="1"/>
    <row r="22" ht="12" customHeight="1"/>
    <row r="31" ht="12" customHeight="1"/>
    <row r="40" ht="12" customHeight="1"/>
  </sheetData>
  <mergeCells count="1">
    <mergeCell ref="B3:G3"/>
  </mergeCells>
  <phoneticPr fontId="2"/>
  <hyperlinks>
    <hyperlink ref="G1" location="Inputs!A1" display="Index"/>
  </hyperlinks>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showGridLines="0" tabSelected="1" workbookViewId="0">
      <selection activeCell="C6" sqref="C6:F6"/>
    </sheetView>
  </sheetViews>
  <sheetFormatPr defaultColWidth="17.7109375" defaultRowHeight="12.75"/>
  <sheetData>
    <row r="1" spans="1:6" ht="19.5">
      <c r="A1" s="1396" t="str">
        <f>"Results from Method M ("&amp;Inputs!B19&amp;") for "&amp;Inputs!B6&amp;" in "&amp;Inputs!C6&amp;"  Status: "&amp;Inputs!D6&amp;""</f>
        <v>Results from Method M (LR1) for WPD West Midlands in 2014/15  Status: r6349</v>
      </c>
    </row>
    <row r="3" spans="1:6" s="1399" customFormat="1" ht="17.25">
      <c r="A3" s="1400" t="s">
        <v>931</v>
      </c>
    </row>
    <row r="4" spans="1:6" s="1399" customFormat="1" ht="17.25">
      <c r="A4" s="1400"/>
    </row>
    <row r="5" spans="1:6" s="1399" customFormat="1" ht="25.5">
      <c r="A5" s="1413"/>
      <c r="B5" s="1414" t="s">
        <v>349</v>
      </c>
      <c r="C5" s="1414" t="s">
        <v>350</v>
      </c>
      <c r="D5" s="1414" t="s">
        <v>351</v>
      </c>
      <c r="E5" s="1414" t="s">
        <v>352</v>
      </c>
      <c r="F5" s="1414" t="s">
        <v>353</v>
      </c>
    </row>
    <row r="6" spans="1:6" s="1399" customFormat="1" ht="15">
      <c r="A6" s="1415" t="s">
        <v>354</v>
      </c>
      <c r="B6" s="1416"/>
      <c r="C6" s="1416">
        <f>'Allocation Summary'!C9*(1-'Allocation Summary'!C10*Inputs!B12)+'Allocation Summary'!B9</f>
        <v>0.312473568523504</v>
      </c>
      <c r="D6" s="1416">
        <f>'Allocation Summary'!C9 +'Allocation Summary'!D9+('Allocation Summary'!E9*(1-Inputs!B13*'Allocation Summary'!E10))+'Allocation Summary'!B9</f>
        <v>0.52746731858934703</v>
      </c>
      <c r="E6" s="1416">
        <f>('Allocation Summary'!D9 + 'Allocation Summary'!E9  *(1-Inputs!B13* 'Allocation Summary'!E10))/(1-'Allocation Summary'!C9-'Allocation Summary'!B9)</f>
        <v>0.29011342615872981</v>
      </c>
      <c r="F6" s="1416">
        <f>'Allocation Summary'!E9*(1-Inputs!B13*'Allocation Summary'!E10)/(1-'Allocation Summary'!B9-'Allocation Summary'!C9-'Allocation Summary'!D9)</f>
        <v>0.19111577149774819</v>
      </c>
    </row>
    <row r="7" spans="1:6" s="1399" customFormat="1" ht="15"/>
  </sheetData>
  <pageMargins left="0.74803149606299213" right="0.74803149606299213" top="0.98425196850393704" bottom="0.98425196850393704" header="0.51181102362204722" footer="0.51181102362204722"/>
  <pageSetup paperSize="9" orientation="landscape" horizontalDpi="4294967292" verticalDpi="4294967292" r:id="rId1"/>
  <headerFooter>
    <oddFooter>&amp;L&amp;Z&amp;F&amp;A</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52" t="s">
        <v>200</v>
      </c>
      <c r="D1" s="252" t="s">
        <v>196</v>
      </c>
      <c r="E1" s="252" t="s">
        <v>197</v>
      </c>
      <c r="F1" s="252" t="s">
        <v>198</v>
      </c>
      <c r="G1" s="252" t="s">
        <v>199</v>
      </c>
      <c r="H1" s="252" t="s">
        <v>35</v>
      </c>
      <c r="J1" s="253" t="s">
        <v>216</v>
      </c>
    </row>
    <row r="2" spans="1:10">
      <c r="C2" s="252" t="s">
        <v>201</v>
      </c>
      <c r="D2" s="252" t="s">
        <v>201</v>
      </c>
      <c r="E2" s="252" t="s">
        <v>201</v>
      </c>
      <c r="F2" s="252" t="s">
        <v>201</v>
      </c>
      <c r="G2" s="252" t="s">
        <v>201</v>
      </c>
      <c r="H2" s="252" t="s">
        <v>201</v>
      </c>
    </row>
    <row r="3" spans="1:10">
      <c r="A3">
        <v>1</v>
      </c>
      <c r="B3" t="s">
        <v>602</v>
      </c>
      <c r="C3" s="1031"/>
      <c r="D3" s="1032">
        <v>964.7</v>
      </c>
      <c r="E3" s="1032">
        <v>1013.2</v>
      </c>
      <c r="F3" s="1032">
        <v>1057.4000000000001</v>
      </c>
      <c r="G3" s="1032">
        <v>1095.0999999999999</v>
      </c>
      <c r="H3" s="1032">
        <v>1126.5</v>
      </c>
      <c r="I3" t="s">
        <v>859</v>
      </c>
    </row>
    <row r="4" spans="1:10">
      <c r="A4">
        <v>2</v>
      </c>
      <c r="B4" t="s">
        <v>604</v>
      </c>
      <c r="C4" s="1031"/>
      <c r="D4" s="1032">
        <v>120.8</v>
      </c>
      <c r="E4" s="1032">
        <v>120.4</v>
      </c>
      <c r="F4" s="1032">
        <v>120</v>
      </c>
      <c r="G4" s="1032">
        <v>119.5</v>
      </c>
      <c r="H4" s="1032">
        <v>119.3</v>
      </c>
      <c r="I4" t="s">
        <v>859</v>
      </c>
    </row>
    <row r="5" spans="1:10">
      <c r="A5">
        <v>3</v>
      </c>
      <c r="B5" t="s">
        <v>441</v>
      </c>
      <c r="C5" s="1031"/>
      <c r="D5" s="1032">
        <v>-72.3</v>
      </c>
      <c r="E5" s="1032">
        <v>-76.2</v>
      </c>
      <c r="F5" s="1032">
        <v>-82.2</v>
      </c>
      <c r="G5" s="1032">
        <v>-88.2</v>
      </c>
      <c r="H5" s="1032">
        <v>-94.2</v>
      </c>
      <c r="I5" t="s">
        <v>859</v>
      </c>
    </row>
    <row r="6" spans="1:10">
      <c r="A6">
        <v>4</v>
      </c>
      <c r="B6" t="s">
        <v>362</v>
      </c>
      <c r="C6" s="1031"/>
      <c r="D6" s="1032">
        <v>1013.2</v>
      </c>
      <c r="E6" s="1032">
        <v>1057.4000000000001</v>
      </c>
      <c r="F6" s="1032">
        <v>1095.0999999999999</v>
      </c>
      <c r="G6" s="1032">
        <v>1126.5</v>
      </c>
      <c r="H6" s="1032">
        <v>1151.5999999999999</v>
      </c>
      <c r="I6" t="s">
        <v>859</v>
      </c>
    </row>
    <row r="7" spans="1:10">
      <c r="A7">
        <v>5</v>
      </c>
      <c r="B7" t="s">
        <v>149</v>
      </c>
      <c r="C7" s="1031"/>
      <c r="D7" s="1032">
        <v>964.7</v>
      </c>
      <c r="E7" s="1032"/>
      <c r="F7" s="1032"/>
      <c r="G7" s="1032"/>
      <c r="H7" s="1032">
        <v>879.3</v>
      </c>
    </row>
    <row r="8" spans="1:10">
      <c r="A8">
        <v>6</v>
      </c>
      <c r="B8" t="s">
        <v>195</v>
      </c>
      <c r="C8" s="1031"/>
      <c r="D8" s="1032"/>
      <c r="E8" s="1032"/>
      <c r="F8" s="1032"/>
      <c r="G8" s="1032"/>
      <c r="H8" s="1032">
        <v>85.4</v>
      </c>
    </row>
    <row r="9" spans="1:10">
      <c r="A9" s="502" t="s">
        <v>248</v>
      </c>
      <c r="D9" s="189"/>
      <c r="E9" s="189"/>
      <c r="F9" s="189"/>
      <c r="G9" s="189"/>
      <c r="H9" s="189"/>
    </row>
    <row r="10" spans="1:10">
      <c r="A10">
        <v>7</v>
      </c>
      <c r="B10" t="s">
        <v>150</v>
      </c>
      <c r="C10" s="1031"/>
      <c r="D10" s="1032">
        <v>72.5</v>
      </c>
      <c r="E10" s="1032">
        <v>70</v>
      </c>
      <c r="F10" s="1032">
        <v>68</v>
      </c>
      <c r="G10" s="1032">
        <v>66.599999999999994</v>
      </c>
      <c r="H10" s="1032">
        <v>66</v>
      </c>
      <c r="I10" t="s">
        <v>859</v>
      </c>
    </row>
    <row r="11" spans="1:10">
      <c r="A11">
        <v>8</v>
      </c>
      <c r="B11" t="s">
        <v>151</v>
      </c>
      <c r="C11" s="1031"/>
      <c r="D11" s="1032">
        <v>111.5</v>
      </c>
      <c r="E11" s="1032">
        <v>111.1</v>
      </c>
      <c r="F11" s="1032">
        <v>110.7</v>
      </c>
      <c r="G11" s="1032">
        <v>110.2</v>
      </c>
      <c r="H11" s="1032">
        <v>110</v>
      </c>
      <c r="I11" t="s">
        <v>859</v>
      </c>
    </row>
    <row r="12" spans="1:10">
      <c r="A12">
        <v>9</v>
      </c>
      <c r="B12" t="s">
        <v>152</v>
      </c>
      <c r="C12" s="1031"/>
      <c r="D12" s="1032">
        <v>16.2</v>
      </c>
      <c r="E12" s="1032">
        <v>16.2</v>
      </c>
      <c r="F12" s="1032">
        <v>16.2</v>
      </c>
      <c r="G12" s="1032">
        <v>16.2</v>
      </c>
      <c r="H12" s="1032">
        <v>16.2</v>
      </c>
      <c r="I12" t="s">
        <v>859</v>
      </c>
    </row>
    <row r="13" spans="1:10">
      <c r="A13">
        <v>10</v>
      </c>
      <c r="B13" t="s">
        <v>336</v>
      </c>
      <c r="C13" s="1031"/>
      <c r="D13" s="1032">
        <v>25.9</v>
      </c>
      <c r="E13" s="1032">
        <v>26.7</v>
      </c>
      <c r="F13" s="1032">
        <v>26.9</v>
      </c>
      <c r="G13" s="1032">
        <v>27</v>
      </c>
      <c r="H13" s="1032">
        <v>26.7</v>
      </c>
      <c r="I13" t="s">
        <v>859</v>
      </c>
    </row>
    <row r="14" spans="1:10">
      <c r="A14">
        <v>11</v>
      </c>
      <c r="B14" t="s">
        <v>153</v>
      </c>
      <c r="C14" s="1031"/>
      <c r="D14" s="1032">
        <v>1.2</v>
      </c>
      <c r="E14" s="1032">
        <v>0.9</v>
      </c>
      <c r="F14" s="1032">
        <v>1</v>
      </c>
      <c r="G14" s="1032">
        <v>0.5</v>
      </c>
      <c r="H14" s="1032">
        <v>0.6</v>
      </c>
      <c r="I14" t="s">
        <v>859</v>
      </c>
    </row>
    <row r="15" spans="1:10">
      <c r="A15">
        <v>12</v>
      </c>
      <c r="B15" t="s">
        <v>154</v>
      </c>
      <c r="C15" s="1031"/>
      <c r="D15" s="1032">
        <v>1.4</v>
      </c>
      <c r="E15" s="1032">
        <v>1.5</v>
      </c>
      <c r="F15" s="1032">
        <v>1.5</v>
      </c>
      <c r="G15" s="1032">
        <v>1.6</v>
      </c>
      <c r="H15" s="1032">
        <v>1.6</v>
      </c>
      <c r="I15" t="s">
        <v>859</v>
      </c>
    </row>
    <row r="16" spans="1:10">
      <c r="A16">
        <v>13</v>
      </c>
      <c r="B16" t="s">
        <v>179</v>
      </c>
      <c r="C16" s="1031"/>
      <c r="D16" s="1033" t="s">
        <v>1020</v>
      </c>
      <c r="E16" s="1033" t="s">
        <v>1020</v>
      </c>
      <c r="F16" s="1033" t="s">
        <v>1020</v>
      </c>
      <c r="G16" s="1033" t="s">
        <v>1020</v>
      </c>
      <c r="H16" s="1033" t="s">
        <v>1020</v>
      </c>
      <c r="I16" t="s">
        <v>859</v>
      </c>
    </row>
    <row r="17" spans="1:9">
      <c r="A17">
        <v>14</v>
      </c>
      <c r="B17" t="s">
        <v>180</v>
      </c>
      <c r="C17" s="1031"/>
      <c r="D17" s="1033" t="s">
        <v>1020</v>
      </c>
      <c r="E17" s="1033" t="s">
        <v>1020</v>
      </c>
      <c r="F17" s="1033" t="s">
        <v>1020</v>
      </c>
      <c r="G17" s="1033" t="s">
        <v>1020</v>
      </c>
      <c r="H17" s="1033" t="s">
        <v>1020</v>
      </c>
      <c r="I17" t="s">
        <v>859</v>
      </c>
    </row>
    <row r="18" spans="1:9">
      <c r="A18">
        <v>15</v>
      </c>
      <c r="B18" t="s">
        <v>365</v>
      </c>
      <c r="C18" s="1031"/>
      <c r="D18" s="1033">
        <v>0.9</v>
      </c>
      <c r="E18" s="1033" t="s">
        <v>1020</v>
      </c>
      <c r="F18" s="1033" t="s">
        <v>1020</v>
      </c>
      <c r="G18" s="1033" t="s">
        <v>1020</v>
      </c>
      <c r="H18" s="1033" t="s">
        <v>1020</v>
      </c>
      <c r="I18" t="s">
        <v>859</v>
      </c>
    </row>
    <row r="19" spans="1:9">
      <c r="A19">
        <v>16</v>
      </c>
      <c r="B19" t="s">
        <v>657</v>
      </c>
      <c r="C19" s="1034"/>
      <c r="D19" s="1035">
        <v>229.6</v>
      </c>
      <c r="E19" s="1035">
        <v>226.4</v>
      </c>
      <c r="F19" s="1035">
        <v>224.3</v>
      </c>
      <c r="G19" s="1035">
        <v>222.1</v>
      </c>
      <c r="H19" s="1035">
        <v>221.1</v>
      </c>
      <c r="I19" t="s">
        <v>859</v>
      </c>
    </row>
    <row r="20" spans="1:9">
      <c r="A20">
        <v>17</v>
      </c>
      <c r="B20" t="s">
        <v>181</v>
      </c>
      <c r="C20" s="1031"/>
      <c r="D20" s="1032">
        <v>223.5</v>
      </c>
      <c r="E20" s="1032">
        <v>208.8</v>
      </c>
      <c r="F20" s="1032">
        <v>196</v>
      </c>
      <c r="G20" s="1032">
        <v>183.9</v>
      </c>
      <c r="H20" s="1032">
        <v>173.5</v>
      </c>
      <c r="I20" t="s">
        <v>859</v>
      </c>
    </row>
    <row r="21" spans="1:9">
      <c r="A21">
        <v>18</v>
      </c>
      <c r="B21" t="s">
        <v>366</v>
      </c>
      <c r="C21" s="1031"/>
      <c r="D21" s="1032"/>
      <c r="E21" s="1032"/>
      <c r="F21" s="1032"/>
      <c r="G21" s="1032"/>
      <c r="H21" s="1032">
        <v>85.4</v>
      </c>
    </row>
    <row r="22" spans="1:9">
      <c r="A22">
        <v>19</v>
      </c>
      <c r="B22" s="510" t="s">
        <v>182</v>
      </c>
      <c r="C22" s="1031"/>
      <c r="D22" s="1032"/>
      <c r="E22" s="1032"/>
      <c r="F22" s="1032"/>
      <c r="G22" s="1032"/>
      <c r="H22" s="1035">
        <v>1071.0999999999999</v>
      </c>
    </row>
    <row r="23" spans="1:9">
      <c r="A23" s="502" t="s">
        <v>781</v>
      </c>
      <c r="D23" s="189"/>
      <c r="E23" s="189"/>
      <c r="F23" s="189"/>
      <c r="G23" s="189"/>
      <c r="H23" s="189"/>
    </row>
    <row r="24" spans="1:9">
      <c r="A24">
        <v>20</v>
      </c>
      <c r="B24" t="s">
        <v>438</v>
      </c>
      <c r="C24" s="1031"/>
      <c r="D24" s="1036">
        <v>1</v>
      </c>
      <c r="E24" s="1036">
        <v>1.0069999999999999</v>
      </c>
      <c r="F24" s="1036">
        <v>1.0149999999999999</v>
      </c>
      <c r="G24" s="1036">
        <v>1.022</v>
      </c>
      <c r="H24" s="1036">
        <v>1.0289999999999999</v>
      </c>
      <c r="I24" t="s">
        <v>859</v>
      </c>
    </row>
    <row r="25" spans="1:9">
      <c r="A25">
        <v>21</v>
      </c>
      <c r="B25" t="s">
        <v>439</v>
      </c>
      <c r="C25" s="1031"/>
      <c r="D25" s="1036">
        <v>0.97299999999999998</v>
      </c>
      <c r="E25" s="1036">
        <v>0.92900000000000005</v>
      </c>
      <c r="F25" s="1036">
        <v>0.88700000000000001</v>
      </c>
      <c r="G25" s="1036">
        <v>0.84599999999999997</v>
      </c>
      <c r="H25" s="1036">
        <v>0.80700000000000005</v>
      </c>
      <c r="I25" t="s">
        <v>859</v>
      </c>
    </row>
    <row r="26" spans="1:9">
      <c r="A26">
        <v>22</v>
      </c>
      <c r="B26" t="s">
        <v>440</v>
      </c>
      <c r="C26" s="1031">
        <v>246.1</v>
      </c>
      <c r="D26" s="1032">
        <v>238.7</v>
      </c>
      <c r="E26" s="1032">
        <v>240.5</v>
      </c>
      <c r="F26" s="1032">
        <v>242.3</v>
      </c>
      <c r="G26" s="1032">
        <v>244</v>
      </c>
      <c r="H26" s="1032">
        <v>245.7</v>
      </c>
      <c r="I26" t="s">
        <v>859</v>
      </c>
    </row>
    <row r="27" spans="1:9">
      <c r="A27">
        <v>23</v>
      </c>
      <c r="B27" t="s">
        <v>183</v>
      </c>
      <c r="C27" s="1031"/>
      <c r="D27" s="1032">
        <v>2.4</v>
      </c>
      <c r="E27" s="1032">
        <v>2.4</v>
      </c>
      <c r="F27" s="1032">
        <v>2.4</v>
      </c>
      <c r="G27" s="1032">
        <v>2.4</v>
      </c>
      <c r="H27" s="1032">
        <v>2.4</v>
      </c>
      <c r="I27" t="s">
        <v>859</v>
      </c>
    </row>
    <row r="28" spans="1:9">
      <c r="A28">
        <v>24</v>
      </c>
      <c r="B28" t="s">
        <v>360</v>
      </c>
      <c r="C28" s="1031"/>
      <c r="D28" s="1032">
        <v>241.1</v>
      </c>
      <c r="E28" s="1032">
        <v>242.9</v>
      </c>
      <c r="F28" s="1032">
        <v>244.7</v>
      </c>
      <c r="G28" s="1032">
        <v>246.4</v>
      </c>
      <c r="H28" s="1032">
        <v>248.1</v>
      </c>
      <c r="I28" t="s">
        <v>859</v>
      </c>
    </row>
    <row r="29" spans="1:9">
      <c r="A29">
        <v>25</v>
      </c>
      <c r="B29" t="s">
        <v>184</v>
      </c>
      <c r="C29" s="1031"/>
      <c r="D29" s="1032">
        <v>234.7</v>
      </c>
      <c r="E29" s="1032">
        <v>224</v>
      </c>
      <c r="F29" s="1032">
        <v>213.8</v>
      </c>
      <c r="G29" s="1032">
        <v>204</v>
      </c>
      <c r="H29" s="1032">
        <v>194.6</v>
      </c>
      <c r="I29" t="s">
        <v>859</v>
      </c>
    </row>
    <row r="30" spans="1:9">
      <c r="A30">
        <v>26</v>
      </c>
      <c r="B30" t="s">
        <v>182</v>
      </c>
      <c r="C30" s="1031"/>
      <c r="D30" s="1032"/>
      <c r="E30" s="1032"/>
      <c r="F30" s="1032"/>
      <c r="G30" s="1032"/>
      <c r="H30" s="1035">
        <v>1071.0999999999999</v>
      </c>
    </row>
    <row r="32" spans="1:9">
      <c r="A32" t="s">
        <v>131</v>
      </c>
    </row>
    <row r="33" spans="1:1">
      <c r="A33" s="516" t="s">
        <v>226</v>
      </c>
    </row>
  </sheetData>
  <phoneticPr fontId="0" type="noConversion"/>
  <hyperlinks>
    <hyperlink ref="A33" r:id="rId1"/>
    <hyperlink ref="J1" location="Inputs!A1" display="Index"/>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zoomScale="80" zoomScaleNormal="80" zoomScalePageLayoutView="80" workbookViewId="0">
      <selection activeCell="F12" sqref="F12:AE147"/>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02" t="s">
        <v>858</v>
      </c>
      <c r="B1" s="502"/>
      <c r="F1" t="s">
        <v>859</v>
      </c>
      <c r="G1" s="253" t="s">
        <v>216</v>
      </c>
      <c r="I1" t="s">
        <v>859</v>
      </c>
      <c r="K1" t="s">
        <v>859</v>
      </c>
      <c r="L1" t="s">
        <v>859</v>
      </c>
      <c r="N1" t="s">
        <v>859</v>
      </c>
      <c r="P1" t="s">
        <v>859</v>
      </c>
      <c r="Q1" t="s">
        <v>859</v>
      </c>
      <c r="S1" t="s">
        <v>859</v>
      </c>
      <c r="U1" t="s">
        <v>859</v>
      </c>
      <c r="V1" t="s">
        <v>859</v>
      </c>
      <c r="X1" t="s">
        <v>859</v>
      </c>
      <c r="Z1" t="s">
        <v>859</v>
      </c>
      <c r="AA1" t="s">
        <v>859</v>
      </c>
      <c r="AC1" t="s">
        <v>859</v>
      </c>
      <c r="AE1" t="s">
        <v>859</v>
      </c>
    </row>
    <row r="2" spans="1:31">
      <c r="A2" s="502"/>
      <c r="B2" s="502"/>
    </row>
    <row r="3" spans="1:31">
      <c r="A3" s="502" t="s">
        <v>692</v>
      </c>
      <c r="B3" s="502"/>
    </row>
    <row r="4" spans="1:31">
      <c r="A4" s="502"/>
      <c r="B4" s="502"/>
    </row>
    <row r="5" spans="1:31">
      <c r="A5" s="502"/>
      <c r="B5" s="502" t="s">
        <v>693</v>
      </c>
    </row>
    <row r="6" spans="1:31" ht="13.5" thickBot="1"/>
    <row r="7" spans="1:31" ht="13.5" customHeight="1" thickBot="1">
      <c r="B7" s="1901" t="s">
        <v>641</v>
      </c>
      <c r="C7" s="1902"/>
      <c r="D7" s="1902"/>
      <c r="E7" s="1903"/>
      <c r="F7" s="1898" t="s">
        <v>694</v>
      </c>
      <c r="G7" s="1909" t="s">
        <v>32</v>
      </c>
      <c r="H7" s="1909"/>
      <c r="I7" s="1909"/>
      <c r="J7" s="1909"/>
      <c r="K7" s="1910"/>
      <c r="L7" s="1909" t="s">
        <v>33</v>
      </c>
      <c r="M7" s="1909"/>
      <c r="N7" s="1909"/>
      <c r="O7" s="1909"/>
      <c r="P7" s="1910"/>
      <c r="Q7" s="1908" t="s">
        <v>29</v>
      </c>
      <c r="R7" s="1909"/>
      <c r="S7" s="1909"/>
      <c r="T7" s="1909"/>
      <c r="U7" s="1910"/>
      <c r="V7" s="1908" t="s">
        <v>34</v>
      </c>
      <c r="W7" s="1909"/>
      <c r="X7" s="1909"/>
      <c r="Y7" s="1909"/>
      <c r="Z7" s="1910"/>
      <c r="AA7" s="1908" t="s">
        <v>35</v>
      </c>
      <c r="AB7" s="1909"/>
      <c r="AC7" s="1909"/>
      <c r="AD7" s="1909"/>
      <c r="AE7" s="1910"/>
    </row>
    <row r="8" spans="1:31" ht="38.25">
      <c r="B8" s="1896"/>
      <c r="C8" s="1904"/>
      <c r="D8" s="1904"/>
      <c r="E8" s="1897"/>
      <c r="F8" s="1899"/>
      <c r="G8" s="1904" t="s">
        <v>861</v>
      </c>
      <c r="H8" s="1904"/>
      <c r="I8" s="1896" t="s">
        <v>698</v>
      </c>
      <c r="J8" s="1904"/>
      <c r="K8" s="262" t="s">
        <v>699</v>
      </c>
      <c r="L8" s="1904" t="s">
        <v>861</v>
      </c>
      <c r="M8" s="1904"/>
      <c r="N8" s="1896" t="s">
        <v>698</v>
      </c>
      <c r="O8" s="1897"/>
      <c r="P8" s="263" t="s">
        <v>699</v>
      </c>
      <c r="Q8" s="1904" t="s">
        <v>861</v>
      </c>
      <c r="R8" s="1904"/>
      <c r="S8" s="1896" t="s">
        <v>698</v>
      </c>
      <c r="T8" s="1904"/>
      <c r="U8" s="262" t="s">
        <v>699</v>
      </c>
      <c r="V8" s="1904" t="s">
        <v>861</v>
      </c>
      <c r="W8" s="1904"/>
      <c r="X8" s="1896" t="s">
        <v>698</v>
      </c>
      <c r="Y8" s="1897"/>
      <c r="Z8" s="263" t="s">
        <v>699</v>
      </c>
      <c r="AA8" s="1904" t="s">
        <v>861</v>
      </c>
      <c r="AB8" s="1904"/>
      <c r="AC8" s="1896" t="s">
        <v>698</v>
      </c>
      <c r="AD8" s="1897"/>
      <c r="AE8" s="263" t="s">
        <v>546</v>
      </c>
    </row>
    <row r="9" spans="1:31" ht="16.5" customHeight="1" thickBot="1">
      <c r="B9" s="1905"/>
      <c r="C9" s="1906"/>
      <c r="D9" s="1906"/>
      <c r="E9" s="1907"/>
      <c r="F9" s="1900"/>
      <c r="G9" s="517" t="s">
        <v>547</v>
      </c>
      <c r="H9" s="518" t="s">
        <v>548</v>
      </c>
      <c r="I9" s="519" t="s">
        <v>547</v>
      </c>
      <c r="J9" s="520" t="s">
        <v>548</v>
      </c>
      <c r="K9" s="521" t="s">
        <v>32</v>
      </c>
      <c r="L9" s="517" t="s">
        <v>547</v>
      </c>
      <c r="M9" s="518" t="s">
        <v>548</v>
      </c>
      <c r="N9" s="519" t="s">
        <v>547</v>
      </c>
      <c r="O9" s="522" t="s">
        <v>548</v>
      </c>
      <c r="P9" s="523" t="s">
        <v>33</v>
      </c>
      <c r="Q9" s="517" t="s">
        <v>547</v>
      </c>
      <c r="R9" s="518" t="s">
        <v>548</v>
      </c>
      <c r="S9" s="519" t="s">
        <v>547</v>
      </c>
      <c r="T9" s="520" t="s">
        <v>548</v>
      </c>
      <c r="U9" s="521" t="s">
        <v>29</v>
      </c>
      <c r="V9" s="517" t="s">
        <v>547</v>
      </c>
      <c r="W9" s="518" t="s">
        <v>548</v>
      </c>
      <c r="X9" s="519" t="s">
        <v>547</v>
      </c>
      <c r="Y9" s="522" t="s">
        <v>548</v>
      </c>
      <c r="Z9" s="523" t="s">
        <v>34</v>
      </c>
      <c r="AA9" s="517" t="s">
        <v>547</v>
      </c>
      <c r="AB9" s="518" t="s">
        <v>548</v>
      </c>
      <c r="AC9" s="519" t="s">
        <v>547</v>
      </c>
      <c r="AD9" s="522" t="s">
        <v>548</v>
      </c>
      <c r="AE9" s="523" t="s">
        <v>35</v>
      </c>
    </row>
    <row r="10" spans="1:31">
      <c r="B10" s="266"/>
      <c r="C10" s="267" t="s">
        <v>465</v>
      </c>
      <c r="D10" s="267"/>
      <c r="E10" s="268"/>
      <c r="F10" s="269"/>
      <c r="G10" s="270"/>
      <c r="H10" s="271"/>
      <c r="I10" s="270"/>
      <c r="J10" s="272"/>
      <c r="K10" s="269"/>
      <c r="L10" s="270"/>
      <c r="M10" s="271"/>
      <c r="N10" s="270"/>
      <c r="O10" s="272"/>
      <c r="P10" s="269"/>
      <c r="Q10" s="270"/>
      <c r="R10" s="271"/>
      <c r="S10" s="270"/>
      <c r="T10" s="272"/>
      <c r="U10" s="269"/>
      <c r="V10" s="270"/>
      <c r="W10" s="271"/>
      <c r="X10" s="270"/>
      <c r="Y10" s="271"/>
      <c r="Z10" s="269"/>
      <c r="AA10" s="270"/>
      <c r="AB10" s="271"/>
      <c r="AC10" s="270"/>
      <c r="AD10" s="271"/>
      <c r="AE10" s="269"/>
    </row>
    <row r="11" spans="1:31">
      <c r="B11" s="266"/>
      <c r="C11" s="268"/>
      <c r="D11" s="273" t="s">
        <v>584</v>
      </c>
      <c r="E11" s="268"/>
      <c r="F11" s="274"/>
      <c r="G11" s="275"/>
      <c r="H11" s="276"/>
      <c r="I11" s="275"/>
      <c r="J11" s="277"/>
      <c r="K11" s="274"/>
      <c r="L11" s="275"/>
      <c r="M11" s="276"/>
      <c r="N11" s="275"/>
      <c r="O11" s="277"/>
      <c r="P11" s="274"/>
      <c r="Q11" s="275"/>
      <c r="R11" s="276"/>
      <c r="S11" s="275"/>
      <c r="T11" s="277"/>
      <c r="U11" s="278"/>
      <c r="V11" s="275"/>
      <c r="W11" s="276"/>
      <c r="X11" s="275"/>
      <c r="Y11" s="276"/>
      <c r="Z11" s="274"/>
      <c r="AA11" s="275"/>
      <c r="AB11" s="276"/>
      <c r="AC11" s="275"/>
      <c r="AD11" s="276"/>
      <c r="AE11" s="274"/>
    </row>
    <row r="12" spans="1:31">
      <c r="B12" s="279"/>
      <c r="C12" s="268"/>
      <c r="D12" s="268"/>
      <c r="E12" s="268" t="s">
        <v>466</v>
      </c>
      <c r="F12" s="280">
        <v>5988</v>
      </c>
      <c r="G12" s="281">
        <v>14</v>
      </c>
      <c r="H12" s="282">
        <v>4</v>
      </c>
      <c r="I12" s="281">
        <v>215</v>
      </c>
      <c r="J12" s="282">
        <v>2</v>
      </c>
      <c r="K12" s="280">
        <v>6187</v>
      </c>
      <c r="L12" s="281">
        <v>30</v>
      </c>
      <c r="M12" s="282">
        <v>6</v>
      </c>
      <c r="N12" s="281">
        <v>10</v>
      </c>
      <c r="O12" s="282">
        <v>3</v>
      </c>
      <c r="P12" s="280">
        <v>6164</v>
      </c>
      <c r="Q12" s="281">
        <v>51</v>
      </c>
      <c r="R12" s="282">
        <v>4</v>
      </c>
      <c r="S12" s="281">
        <v>9</v>
      </c>
      <c r="T12" s="282">
        <v>2</v>
      </c>
      <c r="U12" s="283">
        <v>6120</v>
      </c>
      <c r="V12" s="281">
        <v>47.7</v>
      </c>
      <c r="W12" s="282">
        <v>36.300000000000004</v>
      </c>
      <c r="X12" s="281">
        <v>8.4</v>
      </c>
      <c r="Y12" s="282">
        <v>14.4</v>
      </c>
      <c r="Z12" s="280">
        <v>6058.8</v>
      </c>
      <c r="AA12" s="281">
        <v>39.6</v>
      </c>
      <c r="AB12" s="282">
        <v>72.099999999999994</v>
      </c>
      <c r="AC12" s="281">
        <v>7.2</v>
      </c>
      <c r="AD12" s="282">
        <v>43.7</v>
      </c>
      <c r="AE12" s="280">
        <v>5998</v>
      </c>
    </row>
    <row r="13" spans="1:31">
      <c r="B13" s="279"/>
      <c r="C13" s="268"/>
      <c r="D13" s="268"/>
      <c r="E13" s="268" t="s">
        <v>467</v>
      </c>
      <c r="F13" s="280">
        <v>236522</v>
      </c>
      <c r="G13" s="281">
        <v>0</v>
      </c>
      <c r="H13" s="282">
        <v>677</v>
      </c>
      <c r="I13" s="281">
        <v>56</v>
      </c>
      <c r="J13" s="284">
        <v>95</v>
      </c>
      <c r="K13" s="280">
        <v>235996</v>
      </c>
      <c r="L13" s="281">
        <v>0</v>
      </c>
      <c r="M13" s="282">
        <v>704</v>
      </c>
      <c r="N13" s="281">
        <v>23</v>
      </c>
      <c r="O13" s="284">
        <v>460</v>
      </c>
      <c r="P13" s="280">
        <v>235775</v>
      </c>
      <c r="Q13" s="281">
        <v>0</v>
      </c>
      <c r="R13" s="282">
        <v>827</v>
      </c>
      <c r="S13" s="281">
        <v>1017</v>
      </c>
      <c r="T13" s="284">
        <v>1434</v>
      </c>
      <c r="U13" s="283">
        <v>237399</v>
      </c>
      <c r="V13" s="281">
        <v>0</v>
      </c>
      <c r="W13" s="282">
        <v>2681</v>
      </c>
      <c r="X13" s="281">
        <v>945</v>
      </c>
      <c r="Y13" s="282">
        <v>820</v>
      </c>
      <c r="Z13" s="280">
        <v>236483</v>
      </c>
      <c r="AA13" s="281">
        <v>0</v>
      </c>
      <c r="AB13" s="282">
        <v>2454</v>
      </c>
      <c r="AC13" s="281">
        <v>814</v>
      </c>
      <c r="AD13" s="282">
        <v>1457</v>
      </c>
      <c r="AE13" s="280">
        <v>236300</v>
      </c>
    </row>
    <row r="14" spans="1:31">
      <c r="B14" s="279"/>
      <c r="C14" s="268"/>
      <c r="D14" s="268"/>
      <c r="E14" s="268"/>
      <c r="F14" s="285"/>
      <c r="G14" s="286"/>
      <c r="H14" s="287"/>
      <c r="I14" s="286"/>
      <c r="J14" s="288"/>
      <c r="K14" s="285"/>
      <c r="L14" s="286"/>
      <c r="M14" s="287"/>
      <c r="N14" s="286"/>
      <c r="O14" s="288"/>
      <c r="P14" s="285"/>
      <c r="Q14" s="286"/>
      <c r="R14" s="287"/>
      <c r="S14" s="286"/>
      <c r="T14" s="288"/>
      <c r="U14" s="289"/>
      <c r="V14" s="286"/>
      <c r="W14" s="287"/>
      <c r="X14" s="286"/>
      <c r="Y14" s="287"/>
      <c r="Z14" s="285"/>
      <c r="AA14" s="286"/>
      <c r="AB14" s="287"/>
      <c r="AC14" s="286"/>
      <c r="AD14" s="287"/>
      <c r="AE14" s="285"/>
    </row>
    <row r="15" spans="1:31">
      <c r="B15" s="279"/>
      <c r="C15" s="268"/>
      <c r="D15" s="273" t="s">
        <v>745</v>
      </c>
      <c r="E15" s="268"/>
      <c r="F15" s="285"/>
      <c r="G15" s="286"/>
      <c r="H15" s="287"/>
      <c r="I15" s="286"/>
      <c r="J15" s="288"/>
      <c r="K15" s="285"/>
      <c r="L15" s="286"/>
      <c r="M15" s="287"/>
      <c r="N15" s="286"/>
      <c r="O15" s="288"/>
      <c r="P15" s="285"/>
      <c r="Q15" s="286"/>
      <c r="R15" s="287"/>
      <c r="S15" s="286"/>
      <c r="T15" s="288"/>
      <c r="U15" s="289"/>
      <c r="V15" s="286"/>
      <c r="W15" s="287"/>
      <c r="X15" s="286"/>
      <c r="Y15" s="287"/>
      <c r="Z15" s="285"/>
      <c r="AA15" s="286"/>
      <c r="AB15" s="287"/>
      <c r="AC15" s="286"/>
      <c r="AD15" s="287"/>
      <c r="AE15" s="285"/>
    </row>
    <row r="16" spans="1:31">
      <c r="B16" s="279"/>
      <c r="C16" s="268"/>
      <c r="D16" s="268"/>
      <c r="E16" s="268" t="s">
        <v>746</v>
      </c>
      <c r="F16" s="280">
        <v>199126</v>
      </c>
      <c r="G16" s="281">
        <v>134</v>
      </c>
      <c r="H16" s="282">
        <v>0</v>
      </c>
      <c r="I16" s="281">
        <v>61</v>
      </c>
      <c r="J16" s="284">
        <v>0</v>
      </c>
      <c r="K16" s="280">
        <v>199053</v>
      </c>
      <c r="L16" s="281">
        <v>781</v>
      </c>
      <c r="M16" s="282">
        <v>0</v>
      </c>
      <c r="N16" s="281">
        <v>54</v>
      </c>
      <c r="O16" s="284">
        <v>0</v>
      </c>
      <c r="P16" s="280">
        <v>198326</v>
      </c>
      <c r="Q16" s="281">
        <v>1955</v>
      </c>
      <c r="R16" s="282">
        <v>1092</v>
      </c>
      <c r="S16" s="281">
        <v>914</v>
      </c>
      <c r="T16" s="284">
        <v>1092</v>
      </c>
      <c r="U16" s="283">
        <v>197285</v>
      </c>
      <c r="V16" s="281">
        <v>1828</v>
      </c>
      <c r="W16" s="282">
        <v>616</v>
      </c>
      <c r="X16" s="281">
        <v>852</v>
      </c>
      <c r="Y16" s="282">
        <v>176</v>
      </c>
      <c r="Z16" s="280">
        <v>195869</v>
      </c>
      <c r="AA16" s="281">
        <v>1517</v>
      </c>
      <c r="AB16" s="282">
        <v>1167</v>
      </c>
      <c r="AC16" s="281">
        <v>719</v>
      </c>
      <c r="AD16" s="282">
        <v>593</v>
      </c>
      <c r="AE16" s="280">
        <v>194497</v>
      </c>
    </row>
    <row r="17" spans="2:31">
      <c r="B17" s="279"/>
      <c r="C17" s="268"/>
      <c r="D17" s="268"/>
      <c r="E17" s="268"/>
      <c r="F17" s="285"/>
      <c r="G17" s="286"/>
      <c r="H17" s="287"/>
      <c r="I17" s="286"/>
      <c r="J17" s="288"/>
      <c r="K17" s="285"/>
      <c r="L17" s="286"/>
      <c r="M17" s="287"/>
      <c r="N17" s="286"/>
      <c r="O17" s="288"/>
      <c r="P17" s="285"/>
      <c r="Q17" s="286"/>
      <c r="R17" s="287"/>
      <c r="S17" s="286"/>
      <c r="T17" s="288"/>
      <c r="U17" s="289"/>
      <c r="V17" s="286"/>
      <c r="W17" s="287"/>
      <c r="X17" s="286"/>
      <c r="Y17" s="287"/>
      <c r="Z17" s="285"/>
      <c r="AA17" s="286"/>
      <c r="AB17" s="287"/>
      <c r="AC17" s="286"/>
      <c r="AD17" s="287"/>
      <c r="AE17" s="285"/>
    </row>
    <row r="18" spans="2:31">
      <c r="B18" s="279"/>
      <c r="C18" s="268"/>
      <c r="D18" s="273" t="s">
        <v>878</v>
      </c>
      <c r="E18" s="268"/>
      <c r="F18" s="285"/>
      <c r="G18" s="286"/>
      <c r="H18" s="287"/>
      <c r="I18" s="286"/>
      <c r="J18" s="288"/>
      <c r="K18" s="285"/>
      <c r="L18" s="286"/>
      <c r="M18" s="287"/>
      <c r="N18" s="286"/>
      <c r="O18" s="288"/>
      <c r="P18" s="285"/>
      <c r="Q18" s="286"/>
      <c r="R18" s="287"/>
      <c r="S18" s="286"/>
      <c r="T18" s="288"/>
      <c r="U18" s="289"/>
      <c r="V18" s="286"/>
      <c r="W18" s="287"/>
      <c r="X18" s="286"/>
      <c r="Y18" s="287"/>
      <c r="Z18" s="285"/>
      <c r="AA18" s="286"/>
      <c r="AB18" s="287"/>
      <c r="AC18" s="286"/>
      <c r="AD18" s="287"/>
      <c r="AE18" s="285"/>
    </row>
    <row r="19" spans="2:31">
      <c r="B19" s="279"/>
      <c r="C19" s="268"/>
      <c r="D19" s="273"/>
      <c r="E19" s="268" t="s">
        <v>773</v>
      </c>
      <c r="F19" s="280">
        <v>4061</v>
      </c>
      <c r="G19" s="281">
        <v>0</v>
      </c>
      <c r="H19" s="282">
        <v>6</v>
      </c>
      <c r="I19" s="281">
        <v>0</v>
      </c>
      <c r="J19" s="284">
        <v>0</v>
      </c>
      <c r="K19" s="280">
        <v>4055</v>
      </c>
      <c r="L19" s="281">
        <v>0</v>
      </c>
      <c r="M19" s="282">
        <v>24</v>
      </c>
      <c r="N19" s="281">
        <v>0</v>
      </c>
      <c r="O19" s="284">
        <v>0</v>
      </c>
      <c r="P19" s="280">
        <v>4031</v>
      </c>
      <c r="Q19" s="281">
        <v>0</v>
      </c>
      <c r="R19" s="282">
        <v>37</v>
      </c>
      <c r="S19" s="281">
        <v>0</v>
      </c>
      <c r="T19" s="284">
        <v>0</v>
      </c>
      <c r="U19" s="283">
        <v>3994</v>
      </c>
      <c r="V19" s="281">
        <v>0</v>
      </c>
      <c r="W19" s="282">
        <v>43</v>
      </c>
      <c r="X19" s="281">
        <v>0</v>
      </c>
      <c r="Y19" s="282">
        <v>0</v>
      </c>
      <c r="Z19" s="280">
        <v>3951</v>
      </c>
      <c r="AA19" s="281">
        <v>0</v>
      </c>
      <c r="AB19" s="282">
        <v>48</v>
      </c>
      <c r="AC19" s="281">
        <v>0</v>
      </c>
      <c r="AD19" s="282">
        <v>0</v>
      </c>
      <c r="AE19" s="280">
        <v>3903</v>
      </c>
    </row>
    <row r="20" spans="2:31">
      <c r="B20" s="279"/>
      <c r="C20" s="268"/>
      <c r="D20" s="273"/>
      <c r="E20" s="268" t="s">
        <v>634</v>
      </c>
      <c r="F20" s="280">
        <v>3759.5</v>
      </c>
      <c r="G20" s="281">
        <v>0</v>
      </c>
      <c r="H20" s="282">
        <v>0</v>
      </c>
      <c r="I20" s="281">
        <v>648</v>
      </c>
      <c r="J20" s="284">
        <v>24</v>
      </c>
      <c r="K20" s="280">
        <v>4431.5</v>
      </c>
      <c r="L20" s="281">
        <v>0</v>
      </c>
      <c r="M20" s="282">
        <v>0</v>
      </c>
      <c r="N20" s="281">
        <v>50</v>
      </c>
      <c r="O20" s="284">
        <v>286</v>
      </c>
      <c r="P20" s="280">
        <v>4767.5</v>
      </c>
      <c r="Q20" s="281">
        <v>0</v>
      </c>
      <c r="R20" s="282">
        <v>0</v>
      </c>
      <c r="S20" s="281">
        <v>301.39999999999998</v>
      </c>
      <c r="T20" s="284">
        <v>56</v>
      </c>
      <c r="U20" s="283">
        <v>5124.8999999999996</v>
      </c>
      <c r="V20" s="281">
        <v>0</v>
      </c>
      <c r="W20" s="282">
        <v>1.3</v>
      </c>
      <c r="X20" s="281">
        <v>281.89999999999998</v>
      </c>
      <c r="Y20" s="282">
        <v>73</v>
      </c>
      <c r="Z20" s="280">
        <v>5478.4999999999991</v>
      </c>
      <c r="AA20" s="281">
        <v>0</v>
      </c>
      <c r="AB20" s="282">
        <v>0.6</v>
      </c>
      <c r="AC20" s="281">
        <v>233.7</v>
      </c>
      <c r="AD20" s="282">
        <v>71.099999999999994</v>
      </c>
      <c r="AE20" s="280">
        <v>5782.6999999999989</v>
      </c>
    </row>
    <row r="21" spans="2:31">
      <c r="B21" s="279"/>
      <c r="C21" s="268"/>
      <c r="D21" s="273"/>
      <c r="E21" s="268" t="s">
        <v>635</v>
      </c>
      <c r="F21" s="280">
        <v>16295</v>
      </c>
      <c r="G21" s="281">
        <v>0</v>
      </c>
      <c r="H21" s="282">
        <v>0</v>
      </c>
      <c r="I21" s="281">
        <v>0</v>
      </c>
      <c r="J21" s="284">
        <v>0</v>
      </c>
      <c r="K21" s="280">
        <v>16295</v>
      </c>
      <c r="L21" s="281">
        <v>0</v>
      </c>
      <c r="M21" s="282">
        <v>30</v>
      </c>
      <c r="N21" s="281">
        <v>0</v>
      </c>
      <c r="O21" s="284">
        <v>0</v>
      </c>
      <c r="P21" s="280">
        <v>16265</v>
      </c>
      <c r="Q21" s="281">
        <v>0</v>
      </c>
      <c r="R21" s="282">
        <v>44</v>
      </c>
      <c r="S21" s="281">
        <v>0</v>
      </c>
      <c r="T21" s="284">
        <v>0</v>
      </c>
      <c r="U21" s="283">
        <v>16221</v>
      </c>
      <c r="V21" s="281">
        <v>0</v>
      </c>
      <c r="W21" s="282">
        <v>3.9</v>
      </c>
      <c r="X21" s="281">
        <v>0</v>
      </c>
      <c r="Y21" s="282">
        <v>0</v>
      </c>
      <c r="Z21" s="280">
        <v>16217.1</v>
      </c>
      <c r="AA21" s="281">
        <v>0</v>
      </c>
      <c r="AB21" s="282">
        <v>1.5999999999999999</v>
      </c>
      <c r="AC21" s="281">
        <v>0</v>
      </c>
      <c r="AD21" s="282">
        <v>0</v>
      </c>
      <c r="AE21" s="280">
        <v>16215.5</v>
      </c>
    </row>
    <row r="22" spans="2:31">
      <c r="B22" s="279"/>
      <c r="C22" s="268"/>
      <c r="D22" s="273"/>
      <c r="E22" s="268" t="s">
        <v>636</v>
      </c>
      <c r="F22" s="280">
        <v>2131108</v>
      </c>
      <c r="G22" s="281">
        <v>55</v>
      </c>
      <c r="H22" s="282">
        <v>680</v>
      </c>
      <c r="I22" s="281">
        <v>27797</v>
      </c>
      <c r="J22" s="284">
        <v>680</v>
      </c>
      <c r="K22" s="280">
        <v>2158850</v>
      </c>
      <c r="L22" s="281">
        <v>0</v>
      </c>
      <c r="M22" s="282">
        <v>1068</v>
      </c>
      <c r="N22" s="281">
        <v>23048</v>
      </c>
      <c r="O22" s="284">
        <v>1486</v>
      </c>
      <c r="P22" s="280">
        <v>2182316</v>
      </c>
      <c r="Q22" s="281">
        <v>0</v>
      </c>
      <c r="R22" s="282">
        <v>10699</v>
      </c>
      <c r="S22" s="281">
        <v>18463</v>
      </c>
      <c r="T22" s="284">
        <v>1653</v>
      </c>
      <c r="U22" s="283">
        <v>2191733</v>
      </c>
      <c r="V22" s="281">
        <v>0</v>
      </c>
      <c r="W22" s="282">
        <v>107</v>
      </c>
      <c r="X22" s="281">
        <v>17278</v>
      </c>
      <c r="Y22" s="282">
        <v>1811</v>
      </c>
      <c r="Z22" s="280">
        <v>2210715</v>
      </c>
      <c r="AA22" s="281">
        <v>0</v>
      </c>
      <c r="AB22" s="282">
        <v>40</v>
      </c>
      <c r="AC22" s="281">
        <v>14289</v>
      </c>
      <c r="AD22" s="282">
        <v>1032</v>
      </c>
      <c r="AE22" s="280">
        <v>2225996</v>
      </c>
    </row>
    <row r="23" spans="2:31">
      <c r="B23" s="279"/>
      <c r="C23" s="268"/>
      <c r="D23" s="268"/>
      <c r="E23" s="268"/>
      <c r="F23" s="285"/>
      <c r="G23" s="286"/>
      <c r="H23" s="287"/>
      <c r="I23" s="286"/>
      <c r="J23" s="288"/>
      <c r="K23" s="285"/>
      <c r="L23" s="286"/>
      <c r="M23" s="287"/>
      <c r="N23" s="286"/>
      <c r="O23" s="288"/>
      <c r="P23" s="285"/>
      <c r="Q23" s="286"/>
      <c r="R23" s="287"/>
      <c r="S23" s="286"/>
      <c r="T23" s="288"/>
      <c r="U23" s="289"/>
      <c r="V23" s="286"/>
      <c r="W23" s="287"/>
      <c r="X23" s="286"/>
      <c r="Y23" s="287"/>
      <c r="Z23" s="285"/>
      <c r="AA23" s="286"/>
      <c r="AB23" s="287"/>
      <c r="AC23" s="286"/>
      <c r="AD23" s="287"/>
      <c r="AE23" s="285"/>
    </row>
    <row r="24" spans="2:31">
      <c r="B24" s="279"/>
      <c r="C24" s="268"/>
      <c r="D24" s="273" t="s">
        <v>637</v>
      </c>
      <c r="E24" s="268"/>
      <c r="F24" s="285"/>
      <c r="G24" s="286"/>
      <c r="H24" s="287"/>
      <c r="I24" s="286"/>
      <c r="J24" s="288"/>
      <c r="K24" s="285"/>
      <c r="L24" s="286"/>
      <c r="M24" s="287"/>
      <c r="N24" s="286"/>
      <c r="O24" s="288"/>
      <c r="P24" s="285"/>
      <c r="Q24" s="286"/>
      <c r="R24" s="287"/>
      <c r="S24" s="286"/>
      <c r="T24" s="288"/>
      <c r="U24" s="289"/>
      <c r="V24" s="286"/>
      <c r="W24" s="287"/>
      <c r="X24" s="286"/>
      <c r="Y24" s="287"/>
      <c r="Z24" s="285"/>
      <c r="AA24" s="286"/>
      <c r="AB24" s="287"/>
      <c r="AC24" s="286"/>
      <c r="AD24" s="287"/>
      <c r="AE24" s="285"/>
    </row>
    <row r="25" spans="2:31">
      <c r="B25" s="279"/>
      <c r="C25" s="268"/>
      <c r="D25" s="273"/>
      <c r="E25" s="268" t="s">
        <v>638</v>
      </c>
      <c r="F25" s="280">
        <v>4508</v>
      </c>
      <c r="G25" s="281">
        <v>43</v>
      </c>
      <c r="H25" s="282">
        <v>13</v>
      </c>
      <c r="I25" s="281">
        <v>230</v>
      </c>
      <c r="J25" s="284">
        <v>13</v>
      </c>
      <c r="K25" s="280">
        <v>4695</v>
      </c>
      <c r="L25" s="281">
        <v>0</v>
      </c>
      <c r="M25" s="282">
        <v>73</v>
      </c>
      <c r="N25" s="281">
        <v>417</v>
      </c>
      <c r="O25" s="284">
        <v>81</v>
      </c>
      <c r="P25" s="280">
        <v>5120</v>
      </c>
      <c r="Q25" s="281">
        <v>0</v>
      </c>
      <c r="R25" s="282">
        <v>65</v>
      </c>
      <c r="S25" s="281">
        <v>134</v>
      </c>
      <c r="T25" s="284">
        <v>87</v>
      </c>
      <c r="U25" s="283">
        <v>5276</v>
      </c>
      <c r="V25" s="281">
        <v>0</v>
      </c>
      <c r="W25" s="282">
        <v>253</v>
      </c>
      <c r="X25" s="281">
        <v>125</v>
      </c>
      <c r="Y25" s="282">
        <v>138</v>
      </c>
      <c r="Z25" s="280">
        <v>5286</v>
      </c>
      <c r="AA25" s="281">
        <v>0</v>
      </c>
      <c r="AB25" s="282">
        <v>278</v>
      </c>
      <c r="AC25" s="281">
        <v>105</v>
      </c>
      <c r="AD25" s="282">
        <v>125</v>
      </c>
      <c r="AE25" s="280">
        <v>5238</v>
      </c>
    </row>
    <row r="26" spans="2:31">
      <c r="B26" s="279"/>
      <c r="C26" s="268"/>
      <c r="D26" s="273"/>
      <c r="E26" s="268" t="s">
        <v>639</v>
      </c>
      <c r="F26" s="280">
        <v>10805</v>
      </c>
      <c r="G26" s="281">
        <v>0</v>
      </c>
      <c r="H26" s="282">
        <v>0</v>
      </c>
      <c r="I26" s="281">
        <v>0</v>
      </c>
      <c r="J26" s="284">
        <v>0</v>
      </c>
      <c r="K26" s="280">
        <v>10805</v>
      </c>
      <c r="L26" s="281">
        <v>111</v>
      </c>
      <c r="M26" s="282">
        <v>0</v>
      </c>
      <c r="N26" s="281">
        <v>0</v>
      </c>
      <c r="O26" s="284">
        <v>0</v>
      </c>
      <c r="P26" s="280">
        <v>10694</v>
      </c>
      <c r="Q26" s="281">
        <v>201</v>
      </c>
      <c r="R26" s="282">
        <v>54</v>
      </c>
      <c r="S26" s="281">
        <v>100</v>
      </c>
      <c r="T26" s="284">
        <v>54</v>
      </c>
      <c r="U26" s="283">
        <v>10593</v>
      </c>
      <c r="V26" s="281">
        <v>188</v>
      </c>
      <c r="W26" s="282">
        <v>0</v>
      </c>
      <c r="X26" s="281">
        <v>94</v>
      </c>
      <c r="Y26" s="282">
        <v>0</v>
      </c>
      <c r="Z26" s="280">
        <v>10499</v>
      </c>
      <c r="AA26" s="281">
        <v>156</v>
      </c>
      <c r="AB26" s="282">
        <v>0</v>
      </c>
      <c r="AC26" s="281">
        <v>77</v>
      </c>
      <c r="AD26" s="282">
        <v>0</v>
      </c>
      <c r="AE26" s="280">
        <v>10420</v>
      </c>
    </row>
    <row r="27" spans="2:31">
      <c r="B27" s="279"/>
      <c r="C27" s="268"/>
      <c r="D27" s="273"/>
      <c r="E27" s="268" t="s">
        <v>758</v>
      </c>
      <c r="F27" s="280">
        <v>0</v>
      </c>
      <c r="G27" s="281">
        <v>0</v>
      </c>
      <c r="H27" s="282">
        <v>0</v>
      </c>
      <c r="I27" s="281">
        <v>0</v>
      </c>
      <c r="J27" s="284">
        <v>0</v>
      </c>
      <c r="K27" s="280">
        <v>0</v>
      </c>
      <c r="L27" s="281">
        <v>0</v>
      </c>
      <c r="M27" s="282">
        <v>0</v>
      </c>
      <c r="N27" s="281">
        <v>0</v>
      </c>
      <c r="O27" s="284">
        <v>0</v>
      </c>
      <c r="P27" s="280">
        <v>0</v>
      </c>
      <c r="Q27" s="281">
        <v>0</v>
      </c>
      <c r="R27" s="282">
        <v>0</v>
      </c>
      <c r="S27" s="281">
        <v>0</v>
      </c>
      <c r="T27" s="284">
        <v>0</v>
      </c>
      <c r="U27" s="283">
        <v>0</v>
      </c>
      <c r="V27" s="281">
        <v>0</v>
      </c>
      <c r="W27" s="282">
        <v>0</v>
      </c>
      <c r="X27" s="281">
        <v>0</v>
      </c>
      <c r="Y27" s="282">
        <v>0</v>
      </c>
      <c r="Z27" s="280">
        <v>0</v>
      </c>
      <c r="AA27" s="281">
        <v>0</v>
      </c>
      <c r="AB27" s="282">
        <v>0</v>
      </c>
      <c r="AC27" s="281">
        <v>0</v>
      </c>
      <c r="AD27" s="282">
        <v>0</v>
      </c>
      <c r="AE27" s="280">
        <v>0</v>
      </c>
    </row>
    <row r="28" spans="2:31">
      <c r="B28" s="279"/>
      <c r="C28" s="268"/>
      <c r="D28" s="273"/>
      <c r="E28" s="268" t="s">
        <v>759</v>
      </c>
      <c r="F28" s="280">
        <v>20522</v>
      </c>
      <c r="G28" s="281">
        <v>0</v>
      </c>
      <c r="H28" s="282">
        <v>275</v>
      </c>
      <c r="I28" s="281">
        <v>341</v>
      </c>
      <c r="J28" s="284">
        <v>281</v>
      </c>
      <c r="K28" s="280">
        <v>20869</v>
      </c>
      <c r="L28" s="281">
        <v>0</v>
      </c>
      <c r="M28" s="282">
        <v>576</v>
      </c>
      <c r="N28" s="281">
        <v>124</v>
      </c>
      <c r="O28" s="284">
        <v>465</v>
      </c>
      <c r="P28" s="280">
        <v>20882</v>
      </c>
      <c r="Q28" s="281">
        <v>0</v>
      </c>
      <c r="R28" s="282">
        <v>713</v>
      </c>
      <c r="S28" s="281">
        <v>155</v>
      </c>
      <c r="T28" s="284">
        <v>582</v>
      </c>
      <c r="U28" s="283">
        <v>20906</v>
      </c>
      <c r="V28" s="281">
        <v>0</v>
      </c>
      <c r="W28" s="282">
        <v>295</v>
      </c>
      <c r="X28" s="281">
        <v>145</v>
      </c>
      <c r="Y28" s="282">
        <v>398.7</v>
      </c>
      <c r="Z28" s="280">
        <v>21154.7</v>
      </c>
      <c r="AA28" s="281">
        <v>0</v>
      </c>
      <c r="AB28" s="282">
        <v>296</v>
      </c>
      <c r="AC28" s="281">
        <v>121</v>
      </c>
      <c r="AD28" s="282">
        <v>418.5</v>
      </c>
      <c r="AE28" s="280">
        <v>21398.2</v>
      </c>
    </row>
    <row r="29" spans="2:31">
      <c r="B29" s="279"/>
      <c r="C29" s="268"/>
      <c r="D29" s="273"/>
      <c r="E29" s="268" t="s">
        <v>41</v>
      </c>
      <c r="F29" s="280">
        <v>34104</v>
      </c>
      <c r="G29" s="281">
        <v>0</v>
      </c>
      <c r="H29" s="282">
        <v>0</v>
      </c>
      <c r="I29" s="281">
        <v>31</v>
      </c>
      <c r="J29" s="284">
        <v>0</v>
      </c>
      <c r="K29" s="280">
        <v>34135</v>
      </c>
      <c r="L29" s="281">
        <v>0</v>
      </c>
      <c r="M29" s="282">
        <v>63</v>
      </c>
      <c r="N29" s="281">
        <v>429</v>
      </c>
      <c r="O29" s="284">
        <v>0</v>
      </c>
      <c r="P29" s="280">
        <v>34501</v>
      </c>
      <c r="Q29" s="281">
        <v>590</v>
      </c>
      <c r="R29" s="282">
        <v>117</v>
      </c>
      <c r="S29" s="281">
        <v>444</v>
      </c>
      <c r="T29" s="284">
        <v>117</v>
      </c>
      <c r="U29" s="283">
        <v>34355</v>
      </c>
      <c r="V29" s="281">
        <v>552</v>
      </c>
      <c r="W29" s="282">
        <v>0</v>
      </c>
      <c r="X29" s="281">
        <v>415</v>
      </c>
      <c r="Y29" s="282">
        <v>0</v>
      </c>
      <c r="Z29" s="280">
        <v>34218</v>
      </c>
      <c r="AA29" s="281">
        <v>458</v>
      </c>
      <c r="AB29" s="282">
        <v>0</v>
      </c>
      <c r="AC29" s="281">
        <v>344</v>
      </c>
      <c r="AD29" s="282">
        <v>0</v>
      </c>
      <c r="AE29" s="280">
        <v>34104</v>
      </c>
    </row>
    <row r="30" spans="2:31">
      <c r="B30" s="279"/>
      <c r="C30" s="268"/>
      <c r="D30" s="273"/>
      <c r="E30" s="268" t="s">
        <v>42</v>
      </c>
      <c r="F30" s="280">
        <v>0</v>
      </c>
      <c r="G30" s="281">
        <v>0</v>
      </c>
      <c r="H30" s="282">
        <v>0</v>
      </c>
      <c r="I30" s="281">
        <v>0</v>
      </c>
      <c r="J30" s="284">
        <v>0</v>
      </c>
      <c r="K30" s="280">
        <v>0</v>
      </c>
      <c r="L30" s="281">
        <v>0</v>
      </c>
      <c r="M30" s="282">
        <v>0</v>
      </c>
      <c r="N30" s="281">
        <v>0</v>
      </c>
      <c r="O30" s="284">
        <v>0</v>
      </c>
      <c r="P30" s="280">
        <v>0</v>
      </c>
      <c r="Q30" s="281">
        <v>0</v>
      </c>
      <c r="R30" s="282">
        <v>0</v>
      </c>
      <c r="S30" s="281">
        <v>0</v>
      </c>
      <c r="T30" s="284">
        <v>0</v>
      </c>
      <c r="U30" s="283">
        <v>0</v>
      </c>
      <c r="V30" s="281">
        <v>0</v>
      </c>
      <c r="W30" s="282">
        <v>0</v>
      </c>
      <c r="X30" s="281">
        <v>0</v>
      </c>
      <c r="Y30" s="282">
        <v>0</v>
      </c>
      <c r="Z30" s="280">
        <v>0</v>
      </c>
      <c r="AA30" s="281">
        <v>0</v>
      </c>
      <c r="AB30" s="282">
        <v>0</v>
      </c>
      <c r="AC30" s="281">
        <v>0</v>
      </c>
      <c r="AD30" s="282">
        <v>0</v>
      </c>
      <c r="AE30" s="280">
        <v>0</v>
      </c>
    </row>
    <row r="31" spans="2:31" ht="13.5" thickBot="1">
      <c r="B31" s="264"/>
      <c r="C31" s="265"/>
      <c r="D31" s="265"/>
      <c r="E31" s="265"/>
      <c r="F31" s="290"/>
      <c r="G31" s="291"/>
      <c r="H31" s="292"/>
      <c r="I31" s="291"/>
      <c r="J31" s="293"/>
      <c r="K31" s="294"/>
      <c r="L31" s="291"/>
      <c r="M31" s="292"/>
      <c r="N31" s="291"/>
      <c r="O31" s="293"/>
      <c r="P31" s="294"/>
      <c r="Q31" s="291"/>
      <c r="R31" s="292"/>
      <c r="S31" s="291"/>
      <c r="T31" s="293"/>
      <c r="U31" s="295"/>
      <c r="V31" s="291"/>
      <c r="W31" s="292"/>
      <c r="X31" s="291"/>
      <c r="Y31" s="292"/>
      <c r="Z31" s="294"/>
      <c r="AA31" s="291"/>
      <c r="AB31" s="292"/>
      <c r="AC31" s="291"/>
      <c r="AD31" s="292"/>
      <c r="AE31" s="294"/>
    </row>
    <row r="32" spans="2:31">
      <c r="B32" s="296"/>
      <c r="C32" s="297" t="s">
        <v>43</v>
      </c>
      <c r="D32" s="297"/>
      <c r="E32" s="298"/>
      <c r="F32" s="285"/>
      <c r="G32" s="286"/>
      <c r="H32" s="287"/>
      <c r="I32" s="286"/>
      <c r="J32" s="288"/>
      <c r="K32" s="285"/>
      <c r="L32" s="286"/>
      <c r="M32" s="287"/>
      <c r="N32" s="286"/>
      <c r="O32" s="288"/>
      <c r="P32" s="285"/>
      <c r="Q32" s="286"/>
      <c r="R32" s="287"/>
      <c r="S32" s="286"/>
      <c r="T32" s="288"/>
      <c r="U32" s="289"/>
      <c r="V32" s="286"/>
      <c r="W32" s="287"/>
      <c r="X32" s="286"/>
      <c r="Y32" s="287"/>
      <c r="Z32" s="285"/>
      <c r="AA32" s="286"/>
      <c r="AB32" s="287"/>
      <c r="AC32" s="286"/>
      <c r="AD32" s="287"/>
      <c r="AE32" s="285"/>
    </row>
    <row r="33" spans="2:31">
      <c r="B33" s="279"/>
      <c r="C33" s="268"/>
      <c r="D33" s="273" t="s">
        <v>584</v>
      </c>
      <c r="E33" s="268"/>
      <c r="F33" s="285"/>
      <c r="G33" s="286"/>
      <c r="H33" s="287"/>
      <c r="I33" s="286"/>
      <c r="J33" s="288"/>
      <c r="K33" s="285"/>
      <c r="L33" s="286"/>
      <c r="M33" s="287"/>
      <c r="N33" s="286"/>
      <c r="O33" s="288"/>
      <c r="P33" s="285"/>
      <c r="Q33" s="286"/>
      <c r="R33" s="287"/>
      <c r="S33" s="286"/>
      <c r="T33" s="288"/>
      <c r="U33" s="289"/>
      <c r="V33" s="286"/>
      <c r="W33" s="287"/>
      <c r="X33" s="286"/>
      <c r="Y33" s="287"/>
      <c r="Z33" s="285"/>
      <c r="AA33" s="286"/>
      <c r="AB33" s="287"/>
      <c r="AC33" s="286"/>
      <c r="AD33" s="287"/>
      <c r="AE33" s="285"/>
    </row>
    <row r="34" spans="2:31">
      <c r="B34" s="279"/>
      <c r="C34" s="268"/>
      <c r="D34" s="273"/>
      <c r="E34" s="268" t="s">
        <v>44</v>
      </c>
      <c r="F34" s="280">
        <v>14594</v>
      </c>
      <c r="G34" s="281">
        <v>2</v>
      </c>
      <c r="H34" s="282">
        <v>14</v>
      </c>
      <c r="I34" s="281">
        <v>13</v>
      </c>
      <c r="J34" s="284">
        <v>14</v>
      </c>
      <c r="K34" s="280">
        <v>14605</v>
      </c>
      <c r="L34" s="281">
        <v>68</v>
      </c>
      <c r="M34" s="282">
        <v>7</v>
      </c>
      <c r="N34" s="281">
        <v>43</v>
      </c>
      <c r="O34" s="284">
        <v>7</v>
      </c>
      <c r="P34" s="280">
        <v>14580</v>
      </c>
      <c r="Q34" s="281">
        <v>46</v>
      </c>
      <c r="R34" s="282">
        <v>252</v>
      </c>
      <c r="S34" s="281">
        <v>4</v>
      </c>
      <c r="T34" s="284">
        <v>252</v>
      </c>
      <c r="U34" s="283">
        <v>14538</v>
      </c>
      <c r="V34" s="281">
        <v>17.3</v>
      </c>
      <c r="W34" s="282">
        <v>250.6</v>
      </c>
      <c r="X34" s="281">
        <v>1.2</v>
      </c>
      <c r="Y34" s="282">
        <v>220.1</v>
      </c>
      <c r="Z34" s="280">
        <v>14491.4</v>
      </c>
      <c r="AA34" s="281">
        <v>30.9</v>
      </c>
      <c r="AB34" s="282">
        <v>270</v>
      </c>
      <c r="AC34" s="281">
        <v>1.2</v>
      </c>
      <c r="AD34" s="282">
        <v>238</v>
      </c>
      <c r="AE34" s="280">
        <v>14429.7</v>
      </c>
    </row>
    <row r="35" spans="2:31">
      <c r="B35" s="279"/>
      <c r="C35" s="268"/>
      <c r="D35" s="273"/>
      <c r="E35" s="268" t="s">
        <v>45</v>
      </c>
      <c r="F35" s="280">
        <v>0</v>
      </c>
      <c r="G35" s="281">
        <v>0</v>
      </c>
      <c r="H35" s="282">
        <v>0</v>
      </c>
      <c r="I35" s="281">
        <v>0</v>
      </c>
      <c r="J35" s="284">
        <v>0</v>
      </c>
      <c r="K35" s="280">
        <v>0</v>
      </c>
      <c r="L35" s="281">
        <v>0</v>
      </c>
      <c r="M35" s="282">
        <v>0</v>
      </c>
      <c r="N35" s="281">
        <v>0</v>
      </c>
      <c r="O35" s="284">
        <v>0</v>
      </c>
      <c r="P35" s="280">
        <v>0</v>
      </c>
      <c r="Q35" s="281">
        <v>0</v>
      </c>
      <c r="R35" s="282">
        <v>0</v>
      </c>
      <c r="S35" s="281">
        <v>0</v>
      </c>
      <c r="T35" s="284">
        <v>0</v>
      </c>
      <c r="U35" s="283">
        <v>0</v>
      </c>
      <c r="V35" s="281">
        <v>0</v>
      </c>
      <c r="W35" s="282">
        <v>0</v>
      </c>
      <c r="X35" s="281">
        <v>0</v>
      </c>
      <c r="Y35" s="282">
        <v>0</v>
      </c>
      <c r="Z35" s="280">
        <v>0</v>
      </c>
      <c r="AA35" s="281">
        <v>0</v>
      </c>
      <c r="AB35" s="282">
        <v>0</v>
      </c>
      <c r="AC35" s="281">
        <v>0</v>
      </c>
      <c r="AD35" s="282">
        <v>0</v>
      </c>
      <c r="AE35" s="280">
        <v>0</v>
      </c>
    </row>
    <row r="36" spans="2:31">
      <c r="B36" s="279"/>
      <c r="C36" s="268"/>
      <c r="D36" s="268"/>
      <c r="E36" s="268" t="s">
        <v>46</v>
      </c>
      <c r="F36" s="280">
        <v>0</v>
      </c>
      <c r="G36" s="281">
        <v>0</v>
      </c>
      <c r="H36" s="282">
        <v>0</v>
      </c>
      <c r="I36" s="281">
        <v>0</v>
      </c>
      <c r="J36" s="284">
        <v>0</v>
      </c>
      <c r="K36" s="280">
        <v>0</v>
      </c>
      <c r="L36" s="281">
        <v>0</v>
      </c>
      <c r="M36" s="282">
        <v>0</v>
      </c>
      <c r="N36" s="281">
        <v>0</v>
      </c>
      <c r="O36" s="284">
        <v>0</v>
      </c>
      <c r="P36" s="280">
        <v>0</v>
      </c>
      <c r="Q36" s="281">
        <v>0</v>
      </c>
      <c r="R36" s="282">
        <v>0</v>
      </c>
      <c r="S36" s="281">
        <v>0</v>
      </c>
      <c r="T36" s="284">
        <v>0</v>
      </c>
      <c r="U36" s="283">
        <v>0</v>
      </c>
      <c r="V36" s="281">
        <v>0</v>
      </c>
      <c r="W36" s="282">
        <v>0</v>
      </c>
      <c r="X36" s="281">
        <v>0</v>
      </c>
      <c r="Y36" s="282">
        <v>0</v>
      </c>
      <c r="Z36" s="280">
        <v>0</v>
      </c>
      <c r="AA36" s="281">
        <v>0</v>
      </c>
      <c r="AB36" s="282">
        <v>0</v>
      </c>
      <c r="AC36" s="281">
        <v>0</v>
      </c>
      <c r="AD36" s="282">
        <v>0</v>
      </c>
      <c r="AE36" s="280">
        <v>0</v>
      </c>
    </row>
    <row r="37" spans="2:31">
      <c r="B37" s="279"/>
      <c r="C37" s="268"/>
      <c r="D37" s="268"/>
      <c r="E37" s="268" t="s">
        <v>649</v>
      </c>
      <c r="F37" s="280">
        <v>0</v>
      </c>
      <c r="G37" s="281">
        <v>0</v>
      </c>
      <c r="H37" s="282">
        <v>0</v>
      </c>
      <c r="I37" s="281">
        <v>0</v>
      </c>
      <c r="J37" s="284">
        <v>0</v>
      </c>
      <c r="K37" s="280">
        <v>0</v>
      </c>
      <c r="L37" s="281">
        <v>0</v>
      </c>
      <c r="M37" s="282">
        <v>0</v>
      </c>
      <c r="N37" s="281">
        <v>0</v>
      </c>
      <c r="O37" s="284">
        <v>0</v>
      </c>
      <c r="P37" s="280">
        <v>0</v>
      </c>
      <c r="Q37" s="281">
        <v>0</v>
      </c>
      <c r="R37" s="282">
        <v>0</v>
      </c>
      <c r="S37" s="281">
        <v>0</v>
      </c>
      <c r="T37" s="284">
        <v>0</v>
      </c>
      <c r="U37" s="283">
        <v>0</v>
      </c>
      <c r="V37" s="281">
        <v>0</v>
      </c>
      <c r="W37" s="282">
        <v>0</v>
      </c>
      <c r="X37" s="281">
        <v>0</v>
      </c>
      <c r="Y37" s="282">
        <v>0</v>
      </c>
      <c r="Z37" s="280">
        <v>0</v>
      </c>
      <c r="AA37" s="281">
        <v>0</v>
      </c>
      <c r="AB37" s="282">
        <v>0</v>
      </c>
      <c r="AC37" s="281">
        <v>0</v>
      </c>
      <c r="AD37" s="282">
        <v>0</v>
      </c>
      <c r="AE37" s="280">
        <v>0</v>
      </c>
    </row>
    <row r="38" spans="2:31">
      <c r="B38" s="279"/>
      <c r="C38" s="268"/>
      <c r="D38" s="268"/>
      <c r="E38" s="268"/>
      <c r="F38" s="285"/>
      <c r="G38" s="286"/>
      <c r="H38" s="287"/>
      <c r="I38" s="286"/>
      <c r="J38" s="288"/>
      <c r="K38" s="285"/>
      <c r="L38" s="286"/>
      <c r="M38" s="287"/>
      <c r="N38" s="286"/>
      <c r="O38" s="288"/>
      <c r="P38" s="285"/>
      <c r="Q38" s="286"/>
      <c r="R38" s="287"/>
      <c r="S38" s="286"/>
      <c r="T38" s="288"/>
      <c r="U38" s="289"/>
      <c r="V38" s="286"/>
      <c r="W38" s="287"/>
      <c r="X38" s="286"/>
      <c r="Y38" s="287"/>
      <c r="Z38" s="285"/>
      <c r="AA38" s="286"/>
      <c r="AB38" s="287"/>
      <c r="AC38" s="286"/>
      <c r="AD38" s="287"/>
      <c r="AE38" s="285"/>
    </row>
    <row r="39" spans="2:31">
      <c r="B39" s="279"/>
      <c r="C39" s="268"/>
      <c r="D39" s="273" t="s">
        <v>745</v>
      </c>
      <c r="E39" s="268"/>
      <c r="F39" s="285"/>
      <c r="G39" s="286"/>
      <c r="H39" s="287"/>
      <c r="I39" s="286"/>
      <c r="J39" s="288"/>
      <c r="K39" s="285"/>
      <c r="L39" s="286"/>
      <c r="M39" s="287"/>
      <c r="N39" s="286"/>
      <c r="O39" s="288"/>
      <c r="P39" s="285"/>
      <c r="Q39" s="286"/>
      <c r="R39" s="287"/>
      <c r="S39" s="286"/>
      <c r="T39" s="288"/>
      <c r="U39" s="289"/>
      <c r="V39" s="286"/>
      <c r="W39" s="287"/>
      <c r="X39" s="286"/>
      <c r="Y39" s="287"/>
      <c r="Z39" s="285"/>
      <c r="AA39" s="286"/>
      <c r="AB39" s="287"/>
      <c r="AC39" s="286"/>
      <c r="AD39" s="287"/>
      <c r="AE39" s="285"/>
    </row>
    <row r="40" spans="2:31">
      <c r="B40" s="279"/>
      <c r="C40" s="268"/>
      <c r="D40" s="298"/>
      <c r="E40" s="268" t="s">
        <v>767</v>
      </c>
      <c r="F40" s="280">
        <v>209466</v>
      </c>
      <c r="G40" s="281">
        <v>23</v>
      </c>
      <c r="H40" s="282">
        <v>137</v>
      </c>
      <c r="I40" s="281">
        <v>148</v>
      </c>
      <c r="J40" s="284">
        <v>137</v>
      </c>
      <c r="K40" s="280">
        <v>209591</v>
      </c>
      <c r="L40" s="281">
        <v>808</v>
      </c>
      <c r="M40" s="282">
        <v>94</v>
      </c>
      <c r="N40" s="281">
        <v>573</v>
      </c>
      <c r="O40" s="284">
        <v>94</v>
      </c>
      <c r="P40" s="280">
        <v>209356</v>
      </c>
      <c r="Q40" s="281">
        <v>1577</v>
      </c>
      <c r="R40" s="282">
        <v>660</v>
      </c>
      <c r="S40" s="281">
        <v>991</v>
      </c>
      <c r="T40" s="284">
        <v>660</v>
      </c>
      <c r="U40" s="283">
        <v>208770</v>
      </c>
      <c r="V40" s="281">
        <v>592</v>
      </c>
      <c r="W40" s="282">
        <v>1779.2</v>
      </c>
      <c r="X40" s="281">
        <v>402</v>
      </c>
      <c r="Y40" s="282">
        <v>1474.8</v>
      </c>
      <c r="Z40" s="280">
        <v>208275.59999999998</v>
      </c>
      <c r="AA40" s="281">
        <v>1060</v>
      </c>
      <c r="AB40" s="282">
        <v>2050.3000000000002</v>
      </c>
      <c r="AC40" s="281">
        <v>835</v>
      </c>
      <c r="AD40" s="282">
        <v>1730.7</v>
      </c>
      <c r="AE40" s="280">
        <v>207731</v>
      </c>
    </row>
    <row r="41" spans="2:31">
      <c r="B41" s="279"/>
      <c r="C41" s="268"/>
      <c r="D41" s="273"/>
      <c r="E41" s="268" t="s">
        <v>768</v>
      </c>
      <c r="F41" s="280">
        <v>0</v>
      </c>
      <c r="G41" s="281">
        <v>0</v>
      </c>
      <c r="H41" s="282">
        <v>0</v>
      </c>
      <c r="I41" s="281">
        <v>0</v>
      </c>
      <c r="J41" s="284">
        <v>0</v>
      </c>
      <c r="K41" s="280">
        <v>0</v>
      </c>
      <c r="L41" s="281">
        <v>0</v>
      </c>
      <c r="M41" s="282">
        <v>0</v>
      </c>
      <c r="N41" s="281">
        <v>0</v>
      </c>
      <c r="O41" s="284">
        <v>0</v>
      </c>
      <c r="P41" s="280">
        <v>0</v>
      </c>
      <c r="Q41" s="281">
        <v>0</v>
      </c>
      <c r="R41" s="282">
        <v>0</v>
      </c>
      <c r="S41" s="281">
        <v>0</v>
      </c>
      <c r="T41" s="284">
        <v>0</v>
      </c>
      <c r="U41" s="283">
        <v>0</v>
      </c>
      <c r="V41" s="281">
        <v>0</v>
      </c>
      <c r="W41" s="282">
        <v>0</v>
      </c>
      <c r="X41" s="281">
        <v>0</v>
      </c>
      <c r="Y41" s="282">
        <v>0</v>
      </c>
      <c r="Z41" s="280">
        <v>0</v>
      </c>
      <c r="AA41" s="281">
        <v>0</v>
      </c>
      <c r="AB41" s="282">
        <v>0</v>
      </c>
      <c r="AC41" s="281">
        <v>0</v>
      </c>
      <c r="AD41" s="282">
        <v>0</v>
      </c>
      <c r="AE41" s="280">
        <v>0</v>
      </c>
    </row>
    <row r="42" spans="2:31">
      <c r="B42" s="279"/>
      <c r="C42" s="268"/>
      <c r="D42" s="268"/>
      <c r="E42" s="268"/>
      <c r="F42" s="285"/>
      <c r="G42" s="286"/>
      <c r="H42" s="287"/>
      <c r="I42" s="286"/>
      <c r="J42" s="288"/>
      <c r="K42" s="285"/>
      <c r="L42" s="286"/>
      <c r="M42" s="287"/>
      <c r="N42" s="286"/>
      <c r="O42" s="288"/>
      <c r="P42" s="285"/>
      <c r="Q42" s="286"/>
      <c r="R42" s="287"/>
      <c r="S42" s="286"/>
      <c r="T42" s="288"/>
      <c r="U42" s="289"/>
      <c r="V42" s="286"/>
      <c r="W42" s="287"/>
      <c r="X42" s="286"/>
      <c r="Y42" s="287"/>
      <c r="Z42" s="285"/>
      <c r="AA42" s="286"/>
      <c r="AB42" s="287"/>
      <c r="AC42" s="286"/>
      <c r="AD42" s="287"/>
      <c r="AE42" s="285"/>
    </row>
    <row r="43" spans="2:31">
      <c r="B43" s="279"/>
      <c r="C43" s="268"/>
      <c r="D43" s="273" t="s">
        <v>769</v>
      </c>
      <c r="E43" s="268"/>
      <c r="F43" s="285"/>
      <c r="G43" s="286"/>
      <c r="H43" s="287"/>
      <c r="I43" s="286"/>
      <c r="J43" s="288"/>
      <c r="K43" s="285"/>
      <c r="L43" s="286"/>
      <c r="M43" s="287"/>
      <c r="N43" s="286"/>
      <c r="O43" s="288"/>
      <c r="P43" s="285"/>
      <c r="Q43" s="286"/>
      <c r="R43" s="287"/>
      <c r="S43" s="286"/>
      <c r="T43" s="288"/>
      <c r="U43" s="289"/>
      <c r="V43" s="286"/>
      <c r="W43" s="287"/>
      <c r="X43" s="286"/>
      <c r="Y43" s="287"/>
      <c r="Z43" s="285"/>
      <c r="AA43" s="286"/>
      <c r="AB43" s="287"/>
      <c r="AC43" s="286"/>
      <c r="AD43" s="287"/>
      <c r="AE43" s="285"/>
    </row>
    <row r="44" spans="2:31">
      <c r="B44" s="279"/>
      <c r="C44" s="268"/>
      <c r="D44" s="273"/>
      <c r="E44" s="268" t="s">
        <v>770</v>
      </c>
      <c r="F44" s="280">
        <v>11712</v>
      </c>
      <c r="G44" s="281">
        <v>0</v>
      </c>
      <c r="H44" s="282">
        <v>1</v>
      </c>
      <c r="I44" s="281">
        <v>91</v>
      </c>
      <c r="J44" s="284">
        <v>19</v>
      </c>
      <c r="K44" s="280">
        <v>11821</v>
      </c>
      <c r="L44" s="281">
        <v>0</v>
      </c>
      <c r="M44" s="282">
        <v>73</v>
      </c>
      <c r="N44" s="281">
        <v>134</v>
      </c>
      <c r="O44" s="284">
        <v>76</v>
      </c>
      <c r="P44" s="280">
        <v>11958</v>
      </c>
      <c r="Q44" s="281">
        <v>0</v>
      </c>
      <c r="R44" s="282">
        <v>5</v>
      </c>
      <c r="S44" s="281">
        <v>89</v>
      </c>
      <c r="T44" s="284">
        <v>43</v>
      </c>
      <c r="U44" s="283">
        <v>12085</v>
      </c>
      <c r="V44" s="281">
        <v>0</v>
      </c>
      <c r="W44" s="282">
        <v>10.7</v>
      </c>
      <c r="X44" s="281">
        <v>32.799999999999997</v>
      </c>
      <c r="Y44" s="282">
        <v>77.099999999999994</v>
      </c>
      <c r="Z44" s="280">
        <v>12184.199999999999</v>
      </c>
      <c r="AA44" s="281">
        <v>0</v>
      </c>
      <c r="AB44" s="282">
        <v>6.1</v>
      </c>
      <c r="AC44" s="281">
        <v>64.8</v>
      </c>
      <c r="AD44" s="282">
        <v>51.2</v>
      </c>
      <c r="AE44" s="280">
        <v>12294.099999999999</v>
      </c>
    </row>
    <row r="45" spans="2:31">
      <c r="B45" s="279"/>
      <c r="C45" s="268"/>
      <c r="D45" s="273"/>
      <c r="E45" s="268" t="s">
        <v>771</v>
      </c>
      <c r="F45" s="280">
        <v>0</v>
      </c>
      <c r="G45" s="281">
        <v>0</v>
      </c>
      <c r="H45" s="282">
        <v>0</v>
      </c>
      <c r="I45" s="281">
        <v>0</v>
      </c>
      <c r="J45" s="284">
        <v>0</v>
      </c>
      <c r="K45" s="280">
        <v>0</v>
      </c>
      <c r="L45" s="281">
        <v>0</v>
      </c>
      <c r="M45" s="282">
        <v>0</v>
      </c>
      <c r="N45" s="281">
        <v>0</v>
      </c>
      <c r="O45" s="284">
        <v>0</v>
      </c>
      <c r="P45" s="280">
        <v>0</v>
      </c>
      <c r="Q45" s="281">
        <v>0</v>
      </c>
      <c r="R45" s="282">
        <v>0</v>
      </c>
      <c r="S45" s="281">
        <v>0</v>
      </c>
      <c r="T45" s="284">
        <v>0</v>
      </c>
      <c r="U45" s="283">
        <v>0</v>
      </c>
      <c r="V45" s="281">
        <v>0</v>
      </c>
      <c r="W45" s="282">
        <v>0</v>
      </c>
      <c r="X45" s="281">
        <v>0</v>
      </c>
      <c r="Y45" s="282">
        <v>0</v>
      </c>
      <c r="Z45" s="280">
        <v>0</v>
      </c>
      <c r="AA45" s="281">
        <v>0</v>
      </c>
      <c r="AB45" s="282">
        <v>0</v>
      </c>
      <c r="AC45" s="281">
        <v>0</v>
      </c>
      <c r="AD45" s="282">
        <v>0</v>
      </c>
      <c r="AE45" s="280">
        <v>0</v>
      </c>
    </row>
    <row r="46" spans="2:31">
      <c r="B46" s="279"/>
      <c r="C46" s="268"/>
      <c r="D46" s="273"/>
      <c r="E46" s="268"/>
      <c r="F46" s="285"/>
      <c r="G46" s="286"/>
      <c r="H46" s="287"/>
      <c r="I46" s="286"/>
      <c r="J46" s="288"/>
      <c r="K46" s="285"/>
      <c r="L46" s="286"/>
      <c r="M46" s="287"/>
      <c r="N46" s="286"/>
      <c r="O46" s="288"/>
      <c r="P46" s="285"/>
      <c r="Q46" s="286"/>
      <c r="R46" s="287"/>
      <c r="S46" s="286"/>
      <c r="T46" s="288"/>
      <c r="U46" s="289"/>
      <c r="V46" s="286"/>
      <c r="W46" s="287"/>
      <c r="X46" s="286"/>
      <c r="Y46" s="287"/>
      <c r="Z46" s="285"/>
      <c r="AA46" s="286"/>
      <c r="AB46" s="287"/>
      <c r="AC46" s="286"/>
      <c r="AD46" s="287"/>
      <c r="AE46" s="285"/>
    </row>
    <row r="47" spans="2:31">
      <c r="B47" s="279"/>
      <c r="C47" s="268"/>
      <c r="D47" s="273" t="s">
        <v>68</v>
      </c>
      <c r="E47" s="268"/>
      <c r="F47" s="285"/>
      <c r="G47" s="286"/>
      <c r="H47" s="287"/>
      <c r="I47" s="286"/>
      <c r="J47" s="288"/>
      <c r="K47" s="285"/>
      <c r="L47" s="286"/>
      <c r="M47" s="287"/>
      <c r="N47" s="286"/>
      <c r="O47" s="288"/>
      <c r="P47" s="285"/>
      <c r="Q47" s="286"/>
      <c r="R47" s="287"/>
      <c r="S47" s="286"/>
      <c r="T47" s="288"/>
      <c r="U47" s="289"/>
      <c r="V47" s="286"/>
      <c r="W47" s="287"/>
      <c r="X47" s="286"/>
      <c r="Y47" s="287"/>
      <c r="Z47" s="285"/>
      <c r="AA47" s="286"/>
      <c r="AB47" s="287"/>
      <c r="AC47" s="286"/>
      <c r="AD47" s="287"/>
      <c r="AE47" s="285"/>
    </row>
    <row r="48" spans="2:31">
      <c r="B48" s="279"/>
      <c r="C48" s="268"/>
      <c r="D48" s="273"/>
      <c r="E48" s="268" t="s">
        <v>69</v>
      </c>
      <c r="F48" s="280">
        <v>0</v>
      </c>
      <c r="G48" s="281">
        <v>0</v>
      </c>
      <c r="H48" s="282">
        <v>0</v>
      </c>
      <c r="I48" s="281">
        <v>0</v>
      </c>
      <c r="J48" s="284">
        <v>0</v>
      </c>
      <c r="K48" s="280">
        <v>0</v>
      </c>
      <c r="L48" s="281">
        <v>0</v>
      </c>
      <c r="M48" s="282">
        <v>0</v>
      </c>
      <c r="N48" s="281">
        <v>0</v>
      </c>
      <c r="O48" s="284">
        <v>0</v>
      </c>
      <c r="P48" s="280">
        <v>0</v>
      </c>
      <c r="Q48" s="281">
        <v>0</v>
      </c>
      <c r="R48" s="282">
        <v>0</v>
      </c>
      <c r="S48" s="281">
        <v>0</v>
      </c>
      <c r="T48" s="284">
        <v>0</v>
      </c>
      <c r="U48" s="283">
        <v>0</v>
      </c>
      <c r="V48" s="281">
        <v>0</v>
      </c>
      <c r="W48" s="282">
        <v>0</v>
      </c>
      <c r="X48" s="281">
        <v>0</v>
      </c>
      <c r="Y48" s="282">
        <v>0</v>
      </c>
      <c r="Z48" s="280">
        <v>0</v>
      </c>
      <c r="AA48" s="281">
        <v>0</v>
      </c>
      <c r="AB48" s="282">
        <v>0</v>
      </c>
      <c r="AC48" s="281">
        <v>0</v>
      </c>
      <c r="AD48" s="282">
        <v>0</v>
      </c>
      <c r="AE48" s="280">
        <v>0</v>
      </c>
    </row>
    <row r="49" spans="2:31">
      <c r="B49" s="279"/>
      <c r="C49" s="268"/>
      <c r="D49" s="273"/>
      <c r="E49" s="268"/>
      <c r="F49" s="285"/>
      <c r="G49" s="286"/>
      <c r="H49" s="287"/>
      <c r="I49" s="286"/>
      <c r="J49" s="288"/>
      <c r="K49" s="285"/>
      <c r="L49" s="286"/>
      <c r="M49" s="287"/>
      <c r="N49" s="286"/>
      <c r="O49" s="288"/>
      <c r="P49" s="285"/>
      <c r="Q49" s="286"/>
      <c r="R49" s="287"/>
      <c r="S49" s="286"/>
      <c r="T49" s="288"/>
      <c r="U49" s="289"/>
      <c r="V49" s="286"/>
      <c r="W49" s="287"/>
      <c r="X49" s="286"/>
      <c r="Y49" s="287"/>
      <c r="Z49" s="285"/>
      <c r="AA49" s="286"/>
      <c r="AB49" s="287"/>
      <c r="AC49" s="286"/>
      <c r="AD49" s="287"/>
      <c r="AE49" s="285"/>
    </row>
    <row r="50" spans="2:31">
      <c r="B50" s="279"/>
      <c r="C50" s="268"/>
      <c r="D50" s="273" t="s">
        <v>637</v>
      </c>
      <c r="E50" s="268"/>
      <c r="F50" s="285"/>
      <c r="G50" s="286"/>
      <c r="H50" s="287"/>
      <c r="I50" s="286"/>
      <c r="J50" s="288"/>
      <c r="K50" s="285"/>
      <c r="L50" s="286"/>
      <c r="M50" s="287"/>
      <c r="N50" s="286"/>
      <c r="O50" s="288"/>
      <c r="P50" s="285"/>
      <c r="Q50" s="286"/>
      <c r="R50" s="287"/>
      <c r="S50" s="286"/>
      <c r="T50" s="288"/>
      <c r="U50" s="289"/>
      <c r="V50" s="286"/>
      <c r="W50" s="287"/>
      <c r="X50" s="286"/>
      <c r="Y50" s="287"/>
      <c r="Z50" s="285"/>
      <c r="AA50" s="286"/>
      <c r="AB50" s="287"/>
      <c r="AC50" s="286"/>
      <c r="AD50" s="287"/>
      <c r="AE50" s="285"/>
    </row>
    <row r="51" spans="2:31">
      <c r="B51" s="279"/>
      <c r="C51" s="268"/>
      <c r="D51" s="273"/>
      <c r="E51" s="268" t="s">
        <v>70</v>
      </c>
      <c r="F51" s="280">
        <v>1660</v>
      </c>
      <c r="G51" s="281">
        <v>0</v>
      </c>
      <c r="H51" s="282">
        <v>28</v>
      </c>
      <c r="I51" s="281">
        <v>0</v>
      </c>
      <c r="J51" s="284">
        <v>34</v>
      </c>
      <c r="K51" s="280">
        <v>1666</v>
      </c>
      <c r="L51" s="281">
        <v>0</v>
      </c>
      <c r="M51" s="282">
        <v>4</v>
      </c>
      <c r="N51" s="281">
        <v>1</v>
      </c>
      <c r="O51" s="284">
        <v>44</v>
      </c>
      <c r="P51" s="280">
        <v>1707</v>
      </c>
      <c r="Q51" s="281">
        <v>0</v>
      </c>
      <c r="R51" s="282">
        <v>39</v>
      </c>
      <c r="S51" s="281">
        <v>0</v>
      </c>
      <c r="T51" s="284">
        <v>60</v>
      </c>
      <c r="U51" s="283">
        <v>1728</v>
      </c>
      <c r="V51" s="281">
        <v>0</v>
      </c>
      <c r="W51" s="282">
        <v>0</v>
      </c>
      <c r="X51" s="281">
        <v>0</v>
      </c>
      <c r="Y51" s="282">
        <v>26</v>
      </c>
      <c r="Z51" s="280">
        <v>1754</v>
      </c>
      <c r="AA51" s="281">
        <v>0</v>
      </c>
      <c r="AB51" s="282">
        <v>0</v>
      </c>
      <c r="AC51" s="281">
        <v>0</v>
      </c>
      <c r="AD51" s="282">
        <v>25</v>
      </c>
      <c r="AE51" s="280">
        <v>1779</v>
      </c>
    </row>
    <row r="52" spans="2:31">
      <c r="B52" s="279"/>
      <c r="C52" s="268"/>
      <c r="D52" s="273"/>
      <c r="E52" s="268" t="s">
        <v>80</v>
      </c>
      <c r="F52" s="280">
        <v>10293</v>
      </c>
      <c r="G52" s="281">
        <v>0</v>
      </c>
      <c r="H52" s="282">
        <v>1</v>
      </c>
      <c r="I52" s="281">
        <v>37</v>
      </c>
      <c r="J52" s="284">
        <v>0</v>
      </c>
      <c r="K52" s="280">
        <v>10329</v>
      </c>
      <c r="L52" s="281">
        <v>0</v>
      </c>
      <c r="M52" s="282">
        <v>228</v>
      </c>
      <c r="N52" s="281">
        <v>3</v>
      </c>
      <c r="O52" s="284">
        <v>11</v>
      </c>
      <c r="P52" s="280">
        <v>10115</v>
      </c>
      <c r="Q52" s="281">
        <v>0</v>
      </c>
      <c r="R52" s="282">
        <v>463</v>
      </c>
      <c r="S52" s="281">
        <v>0</v>
      </c>
      <c r="T52" s="284">
        <v>177</v>
      </c>
      <c r="U52" s="283">
        <v>9829</v>
      </c>
      <c r="V52" s="281">
        <v>0</v>
      </c>
      <c r="W52" s="282">
        <v>8</v>
      </c>
      <c r="X52" s="281">
        <v>0</v>
      </c>
      <c r="Y52" s="282">
        <v>36</v>
      </c>
      <c r="Z52" s="280">
        <v>9857</v>
      </c>
      <c r="AA52" s="281">
        <v>0</v>
      </c>
      <c r="AB52" s="282">
        <v>12</v>
      </c>
      <c r="AC52" s="281">
        <v>0</v>
      </c>
      <c r="AD52" s="282">
        <v>30</v>
      </c>
      <c r="AE52" s="280">
        <v>9875</v>
      </c>
    </row>
    <row r="53" spans="2:31">
      <c r="B53" s="279"/>
      <c r="C53" s="268"/>
      <c r="D53" s="273"/>
      <c r="E53" s="268" t="s">
        <v>81</v>
      </c>
      <c r="F53" s="280">
        <v>773</v>
      </c>
      <c r="G53" s="281">
        <v>0</v>
      </c>
      <c r="H53" s="282">
        <v>0</v>
      </c>
      <c r="I53" s="281">
        <v>0</v>
      </c>
      <c r="J53" s="284">
        <v>2</v>
      </c>
      <c r="K53" s="280">
        <v>775</v>
      </c>
      <c r="L53" s="281">
        <v>0</v>
      </c>
      <c r="M53" s="282">
        <v>13</v>
      </c>
      <c r="N53" s="281">
        <v>0</v>
      </c>
      <c r="O53" s="284">
        <v>21</v>
      </c>
      <c r="P53" s="280">
        <v>783</v>
      </c>
      <c r="Q53" s="281">
        <v>0</v>
      </c>
      <c r="R53" s="282">
        <v>0</v>
      </c>
      <c r="S53" s="281">
        <v>0</v>
      </c>
      <c r="T53" s="284">
        <v>103</v>
      </c>
      <c r="U53" s="283">
        <v>886</v>
      </c>
      <c r="V53" s="281">
        <v>0</v>
      </c>
      <c r="W53" s="282">
        <v>382</v>
      </c>
      <c r="X53" s="281">
        <v>0</v>
      </c>
      <c r="Y53" s="282">
        <v>412</v>
      </c>
      <c r="Z53" s="280">
        <v>916</v>
      </c>
      <c r="AA53" s="281">
        <v>0</v>
      </c>
      <c r="AB53" s="282">
        <v>235</v>
      </c>
      <c r="AC53" s="281">
        <v>0</v>
      </c>
      <c r="AD53" s="282">
        <v>254</v>
      </c>
      <c r="AE53" s="280">
        <v>935</v>
      </c>
    </row>
    <row r="54" spans="2:31">
      <c r="B54" s="279"/>
      <c r="C54" s="268"/>
      <c r="D54" s="273"/>
      <c r="E54" s="268" t="s">
        <v>82</v>
      </c>
      <c r="F54" s="280">
        <v>10115</v>
      </c>
      <c r="G54" s="281">
        <v>0</v>
      </c>
      <c r="H54" s="282">
        <v>137</v>
      </c>
      <c r="I54" s="281">
        <v>1</v>
      </c>
      <c r="J54" s="284">
        <v>169</v>
      </c>
      <c r="K54" s="280">
        <v>10148</v>
      </c>
      <c r="L54" s="281">
        <v>0</v>
      </c>
      <c r="M54" s="282">
        <v>353</v>
      </c>
      <c r="N54" s="281">
        <v>1</v>
      </c>
      <c r="O54" s="284">
        <v>0</v>
      </c>
      <c r="P54" s="280">
        <v>9796</v>
      </c>
      <c r="Q54" s="281">
        <v>0</v>
      </c>
      <c r="R54" s="282">
        <v>629</v>
      </c>
      <c r="S54" s="281">
        <v>0</v>
      </c>
      <c r="T54" s="284">
        <v>1</v>
      </c>
      <c r="U54" s="283">
        <v>9168</v>
      </c>
      <c r="V54" s="281">
        <v>0</v>
      </c>
      <c r="W54" s="282">
        <v>232</v>
      </c>
      <c r="X54" s="281">
        <v>0</v>
      </c>
      <c r="Y54" s="282">
        <v>1</v>
      </c>
      <c r="Z54" s="280">
        <v>8937</v>
      </c>
      <c r="AA54" s="281">
        <v>0</v>
      </c>
      <c r="AB54" s="282">
        <v>184</v>
      </c>
      <c r="AC54" s="281">
        <v>0</v>
      </c>
      <c r="AD54" s="282">
        <v>1</v>
      </c>
      <c r="AE54" s="280">
        <v>8754</v>
      </c>
    </row>
    <row r="55" spans="2:31">
      <c r="B55" s="279"/>
      <c r="C55" s="268"/>
      <c r="D55" s="273"/>
      <c r="E55" s="268" t="s">
        <v>782</v>
      </c>
      <c r="F55" s="280">
        <v>11364</v>
      </c>
      <c r="G55" s="281">
        <v>16</v>
      </c>
      <c r="H55" s="282">
        <v>6</v>
      </c>
      <c r="I55" s="281">
        <v>355</v>
      </c>
      <c r="J55" s="284">
        <v>6</v>
      </c>
      <c r="K55" s="280">
        <v>11703</v>
      </c>
      <c r="L55" s="281">
        <v>0</v>
      </c>
      <c r="M55" s="282">
        <v>113</v>
      </c>
      <c r="N55" s="281">
        <v>357</v>
      </c>
      <c r="O55" s="284">
        <v>343</v>
      </c>
      <c r="P55" s="280">
        <v>12290</v>
      </c>
      <c r="Q55" s="281">
        <v>0</v>
      </c>
      <c r="R55" s="282">
        <v>236</v>
      </c>
      <c r="S55" s="281">
        <v>590</v>
      </c>
      <c r="T55" s="284">
        <v>140</v>
      </c>
      <c r="U55" s="283">
        <v>12784</v>
      </c>
      <c r="V55" s="281">
        <v>0</v>
      </c>
      <c r="W55" s="282">
        <v>63</v>
      </c>
      <c r="X55" s="281">
        <v>254</v>
      </c>
      <c r="Y55" s="282">
        <v>268</v>
      </c>
      <c r="Z55" s="280">
        <v>13243</v>
      </c>
      <c r="AA55" s="281">
        <v>0</v>
      </c>
      <c r="AB55" s="282">
        <v>60</v>
      </c>
      <c r="AC55" s="281">
        <v>576</v>
      </c>
      <c r="AD55" s="282">
        <v>232</v>
      </c>
      <c r="AE55" s="280">
        <v>13991</v>
      </c>
    </row>
    <row r="56" spans="2:31">
      <c r="B56" s="279"/>
      <c r="C56" s="268"/>
      <c r="D56" s="273"/>
      <c r="E56" s="268" t="s">
        <v>783</v>
      </c>
      <c r="F56" s="280">
        <v>11757</v>
      </c>
      <c r="G56" s="281">
        <v>0</v>
      </c>
      <c r="H56" s="282">
        <v>209</v>
      </c>
      <c r="I56" s="281">
        <v>0</v>
      </c>
      <c r="J56" s="284">
        <v>249</v>
      </c>
      <c r="K56" s="280">
        <v>11797</v>
      </c>
      <c r="L56" s="281">
        <v>58</v>
      </c>
      <c r="M56" s="282">
        <v>264</v>
      </c>
      <c r="N56" s="281">
        <v>0</v>
      </c>
      <c r="O56" s="284">
        <v>264</v>
      </c>
      <c r="P56" s="280">
        <v>11739</v>
      </c>
      <c r="Q56" s="281">
        <v>230</v>
      </c>
      <c r="R56" s="282">
        <v>360</v>
      </c>
      <c r="S56" s="281">
        <v>33</v>
      </c>
      <c r="T56" s="284">
        <v>360</v>
      </c>
      <c r="U56" s="283">
        <v>11542</v>
      </c>
      <c r="V56" s="281">
        <v>86</v>
      </c>
      <c r="W56" s="282">
        <v>0</v>
      </c>
      <c r="X56" s="281">
        <v>10</v>
      </c>
      <c r="Y56" s="282">
        <v>0</v>
      </c>
      <c r="Z56" s="280">
        <v>11466</v>
      </c>
      <c r="AA56" s="281">
        <v>155</v>
      </c>
      <c r="AB56" s="282">
        <v>0</v>
      </c>
      <c r="AC56" s="281">
        <v>10</v>
      </c>
      <c r="AD56" s="282">
        <v>0</v>
      </c>
      <c r="AE56" s="280">
        <v>11321</v>
      </c>
    </row>
    <row r="57" spans="2:31">
      <c r="B57" s="279"/>
      <c r="C57" s="268"/>
      <c r="D57" s="273"/>
      <c r="E57" s="268" t="s">
        <v>72</v>
      </c>
      <c r="F57" s="280">
        <v>0</v>
      </c>
      <c r="G57" s="281">
        <v>0</v>
      </c>
      <c r="H57" s="282">
        <v>0</v>
      </c>
      <c r="I57" s="281">
        <v>0</v>
      </c>
      <c r="J57" s="284">
        <v>0</v>
      </c>
      <c r="K57" s="280">
        <v>0</v>
      </c>
      <c r="L57" s="281">
        <v>0</v>
      </c>
      <c r="M57" s="282">
        <v>0</v>
      </c>
      <c r="N57" s="281">
        <v>0</v>
      </c>
      <c r="O57" s="284">
        <v>0</v>
      </c>
      <c r="P57" s="280">
        <v>0</v>
      </c>
      <c r="Q57" s="281">
        <v>0</v>
      </c>
      <c r="R57" s="282">
        <v>0</v>
      </c>
      <c r="S57" s="281">
        <v>0</v>
      </c>
      <c r="T57" s="284">
        <v>0</v>
      </c>
      <c r="U57" s="283">
        <v>0</v>
      </c>
      <c r="V57" s="281">
        <v>0</v>
      </c>
      <c r="W57" s="282">
        <v>0</v>
      </c>
      <c r="X57" s="281">
        <v>0</v>
      </c>
      <c r="Y57" s="282">
        <v>0</v>
      </c>
      <c r="Z57" s="280">
        <v>0</v>
      </c>
      <c r="AA57" s="281">
        <v>0</v>
      </c>
      <c r="AB57" s="282">
        <v>0</v>
      </c>
      <c r="AC57" s="281">
        <v>0</v>
      </c>
      <c r="AD57" s="282">
        <v>0</v>
      </c>
      <c r="AE57" s="280">
        <v>0</v>
      </c>
    </row>
    <row r="58" spans="2:31">
      <c r="B58" s="279"/>
      <c r="C58" s="268"/>
      <c r="D58" s="268"/>
      <c r="E58" s="268" t="s">
        <v>662</v>
      </c>
      <c r="F58" s="280">
        <v>0</v>
      </c>
      <c r="G58" s="281">
        <v>0</v>
      </c>
      <c r="H58" s="282">
        <v>0</v>
      </c>
      <c r="I58" s="281">
        <v>0</v>
      </c>
      <c r="J58" s="284">
        <v>0</v>
      </c>
      <c r="K58" s="280">
        <v>0</v>
      </c>
      <c r="L58" s="281">
        <v>0</v>
      </c>
      <c r="M58" s="282">
        <v>0</v>
      </c>
      <c r="N58" s="281">
        <v>0</v>
      </c>
      <c r="O58" s="284">
        <v>0</v>
      </c>
      <c r="P58" s="280">
        <v>0</v>
      </c>
      <c r="Q58" s="281">
        <v>0</v>
      </c>
      <c r="R58" s="282">
        <v>0</v>
      </c>
      <c r="S58" s="281">
        <v>0</v>
      </c>
      <c r="T58" s="284">
        <v>0</v>
      </c>
      <c r="U58" s="283">
        <v>0</v>
      </c>
      <c r="V58" s="281">
        <v>0</v>
      </c>
      <c r="W58" s="282">
        <v>0</v>
      </c>
      <c r="X58" s="281">
        <v>0</v>
      </c>
      <c r="Y58" s="282">
        <v>0</v>
      </c>
      <c r="Z58" s="280">
        <v>0</v>
      </c>
      <c r="AA58" s="281">
        <v>0</v>
      </c>
      <c r="AB58" s="282">
        <v>0</v>
      </c>
      <c r="AC58" s="281">
        <v>0</v>
      </c>
      <c r="AD58" s="282">
        <v>0</v>
      </c>
      <c r="AE58" s="280">
        <v>0</v>
      </c>
    </row>
    <row r="59" spans="2:31">
      <c r="B59" s="279"/>
      <c r="C59" s="268"/>
      <c r="D59" s="268"/>
      <c r="E59" s="268" t="s">
        <v>501</v>
      </c>
      <c r="F59" s="280">
        <v>0</v>
      </c>
      <c r="G59" s="281">
        <v>0</v>
      </c>
      <c r="H59" s="282">
        <v>0</v>
      </c>
      <c r="I59" s="281">
        <v>0</v>
      </c>
      <c r="J59" s="284">
        <v>0</v>
      </c>
      <c r="K59" s="280">
        <v>0</v>
      </c>
      <c r="L59" s="281">
        <v>0</v>
      </c>
      <c r="M59" s="282">
        <v>0</v>
      </c>
      <c r="N59" s="281">
        <v>0</v>
      </c>
      <c r="O59" s="284">
        <v>0</v>
      </c>
      <c r="P59" s="280">
        <v>0</v>
      </c>
      <c r="Q59" s="281">
        <v>0</v>
      </c>
      <c r="R59" s="282">
        <v>0</v>
      </c>
      <c r="S59" s="281">
        <v>0</v>
      </c>
      <c r="T59" s="284">
        <v>0</v>
      </c>
      <c r="U59" s="283">
        <v>0</v>
      </c>
      <c r="V59" s="281">
        <v>0</v>
      </c>
      <c r="W59" s="282">
        <v>0</v>
      </c>
      <c r="X59" s="281">
        <v>0</v>
      </c>
      <c r="Y59" s="282">
        <v>0</v>
      </c>
      <c r="Z59" s="280">
        <v>0</v>
      </c>
      <c r="AA59" s="281">
        <v>0</v>
      </c>
      <c r="AB59" s="282">
        <v>0</v>
      </c>
      <c r="AC59" s="281">
        <v>0</v>
      </c>
      <c r="AD59" s="282">
        <v>0</v>
      </c>
      <c r="AE59" s="280">
        <v>0</v>
      </c>
    </row>
    <row r="60" spans="2:31">
      <c r="B60" s="279"/>
      <c r="C60" s="268"/>
      <c r="D60" s="273"/>
      <c r="E60" s="268" t="s">
        <v>502</v>
      </c>
      <c r="F60" s="280">
        <v>0</v>
      </c>
      <c r="G60" s="281">
        <v>0</v>
      </c>
      <c r="H60" s="282">
        <v>0</v>
      </c>
      <c r="I60" s="281">
        <v>0</v>
      </c>
      <c r="J60" s="284">
        <v>0</v>
      </c>
      <c r="K60" s="280">
        <v>0</v>
      </c>
      <c r="L60" s="281">
        <v>0</v>
      </c>
      <c r="M60" s="282">
        <v>0</v>
      </c>
      <c r="N60" s="281">
        <v>0</v>
      </c>
      <c r="O60" s="284">
        <v>0</v>
      </c>
      <c r="P60" s="280">
        <v>0</v>
      </c>
      <c r="Q60" s="281">
        <v>0</v>
      </c>
      <c r="R60" s="282">
        <v>0</v>
      </c>
      <c r="S60" s="281">
        <v>0</v>
      </c>
      <c r="T60" s="284">
        <v>0</v>
      </c>
      <c r="U60" s="283">
        <v>0</v>
      </c>
      <c r="V60" s="281">
        <v>0</v>
      </c>
      <c r="W60" s="282">
        <v>0</v>
      </c>
      <c r="X60" s="281">
        <v>0</v>
      </c>
      <c r="Y60" s="282">
        <v>0</v>
      </c>
      <c r="Z60" s="280">
        <v>0</v>
      </c>
      <c r="AA60" s="281">
        <v>0</v>
      </c>
      <c r="AB60" s="282">
        <v>0</v>
      </c>
      <c r="AC60" s="281">
        <v>0</v>
      </c>
      <c r="AD60" s="282">
        <v>0</v>
      </c>
      <c r="AE60" s="280">
        <v>0</v>
      </c>
    </row>
    <row r="61" spans="2:31">
      <c r="B61" s="279"/>
      <c r="C61" s="268"/>
      <c r="D61" s="273"/>
      <c r="E61" s="268" t="s">
        <v>503</v>
      </c>
      <c r="F61" s="280">
        <v>0</v>
      </c>
      <c r="G61" s="281">
        <v>0</v>
      </c>
      <c r="H61" s="282">
        <v>0</v>
      </c>
      <c r="I61" s="281">
        <v>0</v>
      </c>
      <c r="J61" s="284">
        <v>0</v>
      </c>
      <c r="K61" s="280">
        <v>0</v>
      </c>
      <c r="L61" s="281">
        <v>0</v>
      </c>
      <c r="M61" s="282">
        <v>0</v>
      </c>
      <c r="N61" s="281">
        <v>0</v>
      </c>
      <c r="O61" s="284">
        <v>0</v>
      </c>
      <c r="P61" s="280">
        <v>0</v>
      </c>
      <c r="Q61" s="281">
        <v>0</v>
      </c>
      <c r="R61" s="282">
        <v>0</v>
      </c>
      <c r="S61" s="281">
        <v>0</v>
      </c>
      <c r="T61" s="284">
        <v>0</v>
      </c>
      <c r="U61" s="283">
        <v>0</v>
      </c>
      <c r="V61" s="281">
        <v>0</v>
      </c>
      <c r="W61" s="282">
        <v>0</v>
      </c>
      <c r="X61" s="281">
        <v>0</v>
      </c>
      <c r="Y61" s="282">
        <v>0</v>
      </c>
      <c r="Z61" s="280">
        <v>0</v>
      </c>
      <c r="AA61" s="281">
        <v>0</v>
      </c>
      <c r="AB61" s="282">
        <v>0</v>
      </c>
      <c r="AC61" s="281">
        <v>0</v>
      </c>
      <c r="AD61" s="282">
        <v>0</v>
      </c>
      <c r="AE61" s="280">
        <v>0</v>
      </c>
    </row>
    <row r="62" spans="2:31">
      <c r="B62" s="279"/>
      <c r="C62" s="268"/>
      <c r="D62" s="273"/>
      <c r="E62" s="268" t="s">
        <v>506</v>
      </c>
      <c r="F62" s="280">
        <v>0</v>
      </c>
      <c r="G62" s="281">
        <v>0</v>
      </c>
      <c r="H62" s="282">
        <v>0</v>
      </c>
      <c r="I62" s="281">
        <v>0</v>
      </c>
      <c r="J62" s="284">
        <v>0</v>
      </c>
      <c r="K62" s="280">
        <v>0</v>
      </c>
      <c r="L62" s="281">
        <v>0</v>
      </c>
      <c r="M62" s="282">
        <v>0</v>
      </c>
      <c r="N62" s="281">
        <v>0</v>
      </c>
      <c r="O62" s="284">
        <v>0</v>
      </c>
      <c r="P62" s="280">
        <v>0</v>
      </c>
      <c r="Q62" s="281">
        <v>0</v>
      </c>
      <c r="R62" s="282">
        <v>0</v>
      </c>
      <c r="S62" s="281">
        <v>0</v>
      </c>
      <c r="T62" s="284">
        <v>0</v>
      </c>
      <c r="U62" s="283">
        <v>0</v>
      </c>
      <c r="V62" s="281">
        <v>0</v>
      </c>
      <c r="W62" s="282">
        <v>0</v>
      </c>
      <c r="X62" s="281">
        <v>0</v>
      </c>
      <c r="Y62" s="282">
        <v>0</v>
      </c>
      <c r="Z62" s="280">
        <v>0</v>
      </c>
      <c r="AA62" s="281">
        <v>0</v>
      </c>
      <c r="AB62" s="282">
        <v>0</v>
      </c>
      <c r="AC62" s="281">
        <v>0</v>
      </c>
      <c r="AD62" s="282">
        <v>0</v>
      </c>
      <c r="AE62" s="280">
        <v>0</v>
      </c>
    </row>
    <row r="63" spans="2:31">
      <c r="B63" s="279"/>
      <c r="C63" s="268"/>
      <c r="D63" s="273"/>
      <c r="E63" s="268" t="s">
        <v>665</v>
      </c>
      <c r="F63" s="280">
        <v>0</v>
      </c>
      <c r="G63" s="281">
        <v>0</v>
      </c>
      <c r="H63" s="282">
        <v>0</v>
      </c>
      <c r="I63" s="281">
        <v>0</v>
      </c>
      <c r="J63" s="284">
        <v>0</v>
      </c>
      <c r="K63" s="280">
        <v>0</v>
      </c>
      <c r="L63" s="281">
        <v>0</v>
      </c>
      <c r="M63" s="282">
        <v>0</v>
      </c>
      <c r="N63" s="281">
        <v>0</v>
      </c>
      <c r="O63" s="284">
        <v>0</v>
      </c>
      <c r="P63" s="280">
        <v>0</v>
      </c>
      <c r="Q63" s="281">
        <v>0</v>
      </c>
      <c r="R63" s="282">
        <v>0</v>
      </c>
      <c r="S63" s="281">
        <v>0</v>
      </c>
      <c r="T63" s="284">
        <v>0</v>
      </c>
      <c r="U63" s="283">
        <v>0</v>
      </c>
      <c r="V63" s="281">
        <v>0</v>
      </c>
      <c r="W63" s="282">
        <v>0</v>
      </c>
      <c r="X63" s="281">
        <v>0</v>
      </c>
      <c r="Y63" s="282">
        <v>0</v>
      </c>
      <c r="Z63" s="280">
        <v>0</v>
      </c>
      <c r="AA63" s="281">
        <v>0</v>
      </c>
      <c r="AB63" s="282">
        <v>0</v>
      </c>
      <c r="AC63" s="281">
        <v>0</v>
      </c>
      <c r="AD63" s="282">
        <v>0</v>
      </c>
      <c r="AE63" s="280">
        <v>0</v>
      </c>
    </row>
    <row r="64" spans="2:31">
      <c r="B64" s="279"/>
      <c r="C64" s="268"/>
      <c r="D64" s="273"/>
      <c r="E64" s="268" t="s">
        <v>511</v>
      </c>
      <c r="F64" s="280">
        <v>0</v>
      </c>
      <c r="G64" s="281">
        <v>0</v>
      </c>
      <c r="H64" s="282">
        <v>0</v>
      </c>
      <c r="I64" s="281">
        <v>0</v>
      </c>
      <c r="J64" s="284">
        <v>0</v>
      </c>
      <c r="K64" s="280">
        <v>0</v>
      </c>
      <c r="L64" s="281">
        <v>0</v>
      </c>
      <c r="M64" s="282">
        <v>0</v>
      </c>
      <c r="N64" s="281">
        <v>0</v>
      </c>
      <c r="O64" s="284">
        <v>0</v>
      </c>
      <c r="P64" s="280">
        <v>0</v>
      </c>
      <c r="Q64" s="281">
        <v>0</v>
      </c>
      <c r="R64" s="282">
        <v>0</v>
      </c>
      <c r="S64" s="281">
        <v>0</v>
      </c>
      <c r="T64" s="284">
        <v>0</v>
      </c>
      <c r="U64" s="283">
        <v>0</v>
      </c>
      <c r="V64" s="281">
        <v>0</v>
      </c>
      <c r="W64" s="282">
        <v>0</v>
      </c>
      <c r="X64" s="281">
        <v>0</v>
      </c>
      <c r="Y64" s="282">
        <v>0</v>
      </c>
      <c r="Z64" s="280">
        <v>0</v>
      </c>
      <c r="AA64" s="281">
        <v>0</v>
      </c>
      <c r="AB64" s="282">
        <v>0</v>
      </c>
      <c r="AC64" s="281">
        <v>0</v>
      </c>
      <c r="AD64" s="282">
        <v>0</v>
      </c>
      <c r="AE64" s="280">
        <v>0</v>
      </c>
    </row>
    <row r="65" spans="2:31">
      <c r="B65" s="279"/>
      <c r="C65" s="268"/>
      <c r="D65" s="273"/>
      <c r="E65" s="268"/>
      <c r="F65" s="285"/>
      <c r="G65" s="286"/>
      <c r="H65" s="287"/>
      <c r="I65" s="286"/>
      <c r="J65" s="288"/>
      <c r="K65" s="285"/>
      <c r="L65" s="286"/>
      <c r="M65" s="287"/>
      <c r="N65" s="286"/>
      <c r="O65" s="288"/>
      <c r="P65" s="285"/>
      <c r="Q65" s="286"/>
      <c r="R65" s="287"/>
      <c r="S65" s="286"/>
      <c r="T65" s="288"/>
      <c r="U65" s="289"/>
      <c r="V65" s="286"/>
      <c r="W65" s="287"/>
      <c r="X65" s="286"/>
      <c r="Y65" s="287"/>
      <c r="Z65" s="285"/>
      <c r="AA65" s="286"/>
      <c r="AB65" s="287"/>
      <c r="AC65" s="286"/>
      <c r="AD65" s="287"/>
      <c r="AE65" s="285"/>
    </row>
    <row r="66" spans="2:31">
      <c r="B66" s="279"/>
      <c r="C66" s="268"/>
      <c r="D66" s="273" t="s">
        <v>512</v>
      </c>
      <c r="E66" s="268"/>
      <c r="F66" s="285"/>
      <c r="G66" s="286"/>
      <c r="H66" s="287"/>
      <c r="I66" s="286"/>
      <c r="J66" s="288"/>
      <c r="K66" s="285"/>
      <c r="L66" s="286"/>
      <c r="M66" s="287"/>
      <c r="N66" s="286"/>
      <c r="O66" s="288"/>
      <c r="P66" s="285"/>
      <c r="Q66" s="286"/>
      <c r="R66" s="287"/>
      <c r="S66" s="286"/>
      <c r="T66" s="288"/>
      <c r="U66" s="289"/>
      <c r="V66" s="286"/>
      <c r="W66" s="287"/>
      <c r="X66" s="286"/>
      <c r="Y66" s="287"/>
      <c r="Z66" s="285"/>
      <c r="AA66" s="286"/>
      <c r="AB66" s="287"/>
      <c r="AC66" s="286"/>
      <c r="AD66" s="287"/>
      <c r="AE66" s="285"/>
    </row>
    <row r="67" spans="2:31">
      <c r="B67" s="279"/>
      <c r="C67" s="268"/>
      <c r="D67" s="273"/>
      <c r="E67" s="268" t="s">
        <v>513</v>
      </c>
      <c r="F67" s="280">
        <v>33900</v>
      </c>
      <c r="G67" s="281">
        <v>254</v>
      </c>
      <c r="H67" s="282">
        <v>38</v>
      </c>
      <c r="I67" s="281">
        <v>411</v>
      </c>
      <c r="J67" s="284">
        <v>58</v>
      </c>
      <c r="K67" s="280">
        <v>34077</v>
      </c>
      <c r="L67" s="281">
        <v>0</v>
      </c>
      <c r="M67" s="282">
        <v>109</v>
      </c>
      <c r="N67" s="281">
        <v>404</v>
      </c>
      <c r="O67" s="284">
        <v>129</v>
      </c>
      <c r="P67" s="280">
        <v>34501</v>
      </c>
      <c r="Q67" s="281">
        <v>519</v>
      </c>
      <c r="R67" s="282">
        <v>188</v>
      </c>
      <c r="S67" s="281">
        <v>592</v>
      </c>
      <c r="T67" s="284">
        <v>188</v>
      </c>
      <c r="U67" s="283">
        <v>34574</v>
      </c>
      <c r="V67" s="281">
        <v>195</v>
      </c>
      <c r="W67" s="282">
        <v>133</v>
      </c>
      <c r="X67" s="281">
        <v>253</v>
      </c>
      <c r="Y67" s="282">
        <v>136</v>
      </c>
      <c r="Z67" s="280">
        <v>34635</v>
      </c>
      <c r="AA67" s="281">
        <v>349</v>
      </c>
      <c r="AB67" s="282">
        <v>133</v>
      </c>
      <c r="AC67" s="281">
        <v>572</v>
      </c>
      <c r="AD67" s="282">
        <v>127</v>
      </c>
      <c r="AE67" s="280">
        <v>34852</v>
      </c>
    </row>
    <row r="68" spans="2:31">
      <c r="B68" s="279"/>
      <c r="C68" s="268"/>
      <c r="D68" s="273"/>
      <c r="E68" s="268" t="s">
        <v>514</v>
      </c>
      <c r="F68" s="280">
        <v>15050</v>
      </c>
      <c r="G68" s="281">
        <v>34</v>
      </c>
      <c r="H68" s="282">
        <v>20</v>
      </c>
      <c r="I68" s="281">
        <v>325</v>
      </c>
      <c r="J68" s="284">
        <v>10</v>
      </c>
      <c r="K68" s="280">
        <v>15331</v>
      </c>
      <c r="L68" s="281">
        <v>63</v>
      </c>
      <c r="M68" s="282">
        <v>47</v>
      </c>
      <c r="N68" s="281">
        <v>290</v>
      </c>
      <c r="O68" s="284">
        <v>47</v>
      </c>
      <c r="P68" s="280">
        <v>15558</v>
      </c>
      <c r="Q68" s="281">
        <v>280</v>
      </c>
      <c r="R68" s="282">
        <v>140</v>
      </c>
      <c r="S68" s="281">
        <v>305</v>
      </c>
      <c r="T68" s="284">
        <v>140</v>
      </c>
      <c r="U68" s="283">
        <v>15583</v>
      </c>
      <c r="V68" s="281">
        <v>105</v>
      </c>
      <c r="W68" s="282">
        <v>73</v>
      </c>
      <c r="X68" s="281">
        <v>130</v>
      </c>
      <c r="Y68" s="282">
        <v>89</v>
      </c>
      <c r="Z68" s="280">
        <v>15624</v>
      </c>
      <c r="AA68" s="281">
        <v>188</v>
      </c>
      <c r="AB68" s="282">
        <v>59</v>
      </c>
      <c r="AC68" s="281">
        <v>294</v>
      </c>
      <c r="AD68" s="282">
        <v>79</v>
      </c>
      <c r="AE68" s="280">
        <v>15750</v>
      </c>
    </row>
    <row r="69" spans="2:31">
      <c r="B69" s="279"/>
      <c r="C69" s="268"/>
      <c r="D69" s="273"/>
      <c r="E69" s="268" t="s">
        <v>515</v>
      </c>
      <c r="F69" s="280">
        <v>0</v>
      </c>
      <c r="G69" s="281">
        <v>0</v>
      </c>
      <c r="H69" s="282">
        <v>0</v>
      </c>
      <c r="I69" s="281">
        <v>0</v>
      </c>
      <c r="J69" s="284">
        <v>0</v>
      </c>
      <c r="K69" s="280">
        <v>0</v>
      </c>
      <c r="L69" s="281">
        <v>0</v>
      </c>
      <c r="M69" s="282">
        <v>0</v>
      </c>
      <c r="N69" s="281">
        <v>0</v>
      </c>
      <c r="O69" s="284">
        <v>0</v>
      </c>
      <c r="P69" s="280">
        <v>0</v>
      </c>
      <c r="Q69" s="281">
        <v>0</v>
      </c>
      <c r="R69" s="282">
        <v>0</v>
      </c>
      <c r="S69" s="281">
        <v>0</v>
      </c>
      <c r="T69" s="284">
        <v>0</v>
      </c>
      <c r="U69" s="283">
        <v>0</v>
      </c>
      <c r="V69" s="281">
        <v>0</v>
      </c>
      <c r="W69" s="282">
        <v>0</v>
      </c>
      <c r="X69" s="281">
        <v>0</v>
      </c>
      <c r="Y69" s="282">
        <v>0</v>
      </c>
      <c r="Z69" s="280">
        <v>0</v>
      </c>
      <c r="AA69" s="281">
        <v>0</v>
      </c>
      <c r="AB69" s="282">
        <v>0</v>
      </c>
      <c r="AC69" s="281">
        <v>0</v>
      </c>
      <c r="AD69" s="282">
        <v>0</v>
      </c>
      <c r="AE69" s="280">
        <v>0</v>
      </c>
    </row>
    <row r="70" spans="2:31">
      <c r="B70" s="279"/>
      <c r="C70" s="268"/>
      <c r="D70" s="273"/>
      <c r="E70" s="268" t="s">
        <v>516</v>
      </c>
      <c r="F70" s="280">
        <v>0</v>
      </c>
      <c r="G70" s="281">
        <v>0</v>
      </c>
      <c r="H70" s="282">
        <v>0</v>
      </c>
      <c r="I70" s="281">
        <v>0</v>
      </c>
      <c r="J70" s="284">
        <v>0</v>
      </c>
      <c r="K70" s="280">
        <v>0</v>
      </c>
      <c r="L70" s="281">
        <v>0</v>
      </c>
      <c r="M70" s="282">
        <v>0</v>
      </c>
      <c r="N70" s="281">
        <v>0</v>
      </c>
      <c r="O70" s="284">
        <v>0</v>
      </c>
      <c r="P70" s="280">
        <v>0</v>
      </c>
      <c r="Q70" s="281">
        <v>0</v>
      </c>
      <c r="R70" s="282">
        <v>0</v>
      </c>
      <c r="S70" s="281">
        <v>0</v>
      </c>
      <c r="T70" s="284">
        <v>0</v>
      </c>
      <c r="U70" s="283">
        <v>0</v>
      </c>
      <c r="V70" s="281">
        <v>0</v>
      </c>
      <c r="W70" s="282">
        <v>0</v>
      </c>
      <c r="X70" s="281">
        <v>0</v>
      </c>
      <c r="Y70" s="282">
        <v>0</v>
      </c>
      <c r="Z70" s="280">
        <v>0</v>
      </c>
      <c r="AA70" s="281">
        <v>0</v>
      </c>
      <c r="AB70" s="282">
        <v>0</v>
      </c>
      <c r="AC70" s="281">
        <v>0</v>
      </c>
      <c r="AD70" s="282">
        <v>0</v>
      </c>
      <c r="AE70" s="280">
        <v>0</v>
      </c>
    </row>
    <row r="71" spans="2:31" ht="13.5" thickBot="1">
      <c r="B71" s="264"/>
      <c r="C71" s="265"/>
      <c r="D71" s="265"/>
      <c r="E71" s="265"/>
      <c r="F71" s="290"/>
      <c r="G71" s="291"/>
      <c r="H71" s="292"/>
      <c r="I71" s="291"/>
      <c r="J71" s="293"/>
      <c r="K71" s="294"/>
      <c r="L71" s="291"/>
      <c r="M71" s="292"/>
      <c r="N71" s="291"/>
      <c r="O71" s="293"/>
      <c r="P71" s="294"/>
      <c r="Q71" s="291"/>
      <c r="R71" s="292"/>
      <c r="S71" s="291"/>
      <c r="T71" s="293"/>
      <c r="U71" s="295"/>
      <c r="V71" s="291"/>
      <c r="W71" s="292"/>
      <c r="X71" s="291"/>
      <c r="Y71" s="292"/>
      <c r="Z71" s="294"/>
      <c r="AA71" s="291"/>
      <c r="AB71" s="292"/>
      <c r="AC71" s="291"/>
      <c r="AD71" s="292"/>
      <c r="AE71" s="294"/>
    </row>
    <row r="72" spans="2:31">
      <c r="B72" s="296"/>
      <c r="C72" s="297" t="s">
        <v>530</v>
      </c>
      <c r="D72" s="297"/>
      <c r="E72" s="298"/>
      <c r="F72" s="299"/>
      <c r="G72" s="300"/>
      <c r="H72" s="301"/>
      <c r="I72" s="300"/>
      <c r="J72" s="302"/>
      <c r="K72" s="299"/>
      <c r="L72" s="300"/>
      <c r="M72" s="301"/>
      <c r="N72" s="300"/>
      <c r="O72" s="302"/>
      <c r="P72" s="299"/>
      <c r="Q72" s="300"/>
      <c r="R72" s="301"/>
      <c r="S72" s="300"/>
      <c r="T72" s="302"/>
      <c r="U72" s="303"/>
      <c r="V72" s="300"/>
      <c r="W72" s="301"/>
      <c r="X72" s="300"/>
      <c r="Y72" s="301"/>
      <c r="Z72" s="299"/>
      <c r="AA72" s="300"/>
      <c r="AB72" s="301"/>
      <c r="AC72" s="300"/>
      <c r="AD72" s="301"/>
      <c r="AE72" s="299"/>
    </row>
    <row r="73" spans="2:31">
      <c r="B73" s="279"/>
      <c r="C73" s="268"/>
      <c r="D73" s="273" t="s">
        <v>584</v>
      </c>
      <c r="E73" s="268"/>
      <c r="F73" s="285"/>
      <c r="G73" s="286"/>
      <c r="H73" s="287"/>
      <c r="I73" s="286"/>
      <c r="J73" s="288"/>
      <c r="K73" s="285"/>
      <c r="L73" s="286"/>
      <c r="M73" s="287"/>
      <c r="N73" s="286"/>
      <c r="O73" s="288"/>
      <c r="P73" s="285"/>
      <c r="Q73" s="286"/>
      <c r="R73" s="287"/>
      <c r="S73" s="286"/>
      <c r="T73" s="288"/>
      <c r="U73" s="289"/>
      <c r="V73" s="286"/>
      <c r="W73" s="287"/>
      <c r="X73" s="286"/>
      <c r="Y73" s="287"/>
      <c r="Z73" s="285"/>
      <c r="AA73" s="286"/>
      <c r="AB73" s="287"/>
      <c r="AC73" s="286"/>
      <c r="AD73" s="287"/>
      <c r="AE73" s="285"/>
    </row>
    <row r="74" spans="2:31">
      <c r="B74" s="279"/>
      <c r="C74" s="268"/>
      <c r="D74" s="268"/>
      <c r="E74" s="268" t="s">
        <v>531</v>
      </c>
      <c r="F74" s="280">
        <v>1032</v>
      </c>
      <c r="G74" s="281">
        <v>0</v>
      </c>
      <c r="H74" s="282">
        <v>6</v>
      </c>
      <c r="I74" s="281">
        <v>5</v>
      </c>
      <c r="J74" s="284">
        <v>6</v>
      </c>
      <c r="K74" s="280">
        <v>1037</v>
      </c>
      <c r="L74" s="281">
        <v>8</v>
      </c>
      <c r="M74" s="282">
        <v>8</v>
      </c>
      <c r="N74" s="281">
        <v>6</v>
      </c>
      <c r="O74" s="284">
        <v>8</v>
      </c>
      <c r="P74" s="280">
        <v>1035</v>
      </c>
      <c r="Q74" s="281">
        <v>3</v>
      </c>
      <c r="R74" s="282">
        <v>8</v>
      </c>
      <c r="S74" s="281">
        <v>5</v>
      </c>
      <c r="T74" s="284">
        <v>8</v>
      </c>
      <c r="U74" s="283">
        <v>1037</v>
      </c>
      <c r="V74" s="281">
        <v>5</v>
      </c>
      <c r="W74" s="282">
        <v>3.1</v>
      </c>
      <c r="X74" s="281">
        <v>4.3</v>
      </c>
      <c r="Y74" s="282">
        <v>1.9000000000000001</v>
      </c>
      <c r="Z74" s="280">
        <v>1035.1000000000001</v>
      </c>
      <c r="AA74" s="281">
        <v>0.6</v>
      </c>
      <c r="AB74" s="282">
        <v>9.6999999999999993</v>
      </c>
      <c r="AC74" s="281">
        <v>0.7</v>
      </c>
      <c r="AD74" s="282">
        <v>3.5</v>
      </c>
      <c r="AE74" s="280">
        <v>1029.0000000000002</v>
      </c>
    </row>
    <row r="75" spans="2:31">
      <c r="B75" s="279"/>
      <c r="C75" s="268"/>
      <c r="D75" s="273"/>
      <c r="E75" s="268" t="s">
        <v>532</v>
      </c>
      <c r="F75" s="280">
        <v>0</v>
      </c>
      <c r="G75" s="281">
        <v>0</v>
      </c>
      <c r="H75" s="282">
        <v>0</v>
      </c>
      <c r="I75" s="281">
        <v>0</v>
      </c>
      <c r="J75" s="284">
        <v>0</v>
      </c>
      <c r="K75" s="280">
        <v>0</v>
      </c>
      <c r="L75" s="281">
        <v>0</v>
      </c>
      <c r="M75" s="282">
        <v>0</v>
      </c>
      <c r="N75" s="281">
        <v>0</v>
      </c>
      <c r="O75" s="284">
        <v>0</v>
      </c>
      <c r="P75" s="280">
        <v>0</v>
      </c>
      <c r="Q75" s="281">
        <v>0</v>
      </c>
      <c r="R75" s="282">
        <v>0</v>
      </c>
      <c r="S75" s="281">
        <v>0</v>
      </c>
      <c r="T75" s="284">
        <v>0</v>
      </c>
      <c r="U75" s="283">
        <v>0</v>
      </c>
      <c r="V75" s="281">
        <v>0</v>
      </c>
      <c r="W75" s="282">
        <v>0</v>
      </c>
      <c r="X75" s="281">
        <v>0</v>
      </c>
      <c r="Y75" s="282">
        <v>0</v>
      </c>
      <c r="Z75" s="280">
        <v>0</v>
      </c>
      <c r="AA75" s="281">
        <v>0</v>
      </c>
      <c r="AB75" s="282">
        <v>0</v>
      </c>
      <c r="AC75" s="281">
        <v>0</v>
      </c>
      <c r="AD75" s="282">
        <v>0</v>
      </c>
      <c r="AE75" s="280">
        <v>0</v>
      </c>
    </row>
    <row r="76" spans="2:31">
      <c r="B76" s="279"/>
      <c r="C76" s="268"/>
      <c r="D76" s="273"/>
      <c r="E76" s="268" t="s">
        <v>533</v>
      </c>
      <c r="F76" s="280">
        <v>801</v>
      </c>
      <c r="G76" s="281">
        <v>0</v>
      </c>
      <c r="H76" s="282">
        <v>0</v>
      </c>
      <c r="I76" s="281">
        <v>0</v>
      </c>
      <c r="J76" s="284">
        <v>0</v>
      </c>
      <c r="K76" s="280">
        <v>801</v>
      </c>
      <c r="L76" s="281">
        <v>8</v>
      </c>
      <c r="M76" s="282">
        <v>0</v>
      </c>
      <c r="N76" s="281">
        <v>0</v>
      </c>
      <c r="O76" s="284">
        <v>0</v>
      </c>
      <c r="P76" s="280">
        <v>793</v>
      </c>
      <c r="Q76" s="281">
        <v>0</v>
      </c>
      <c r="R76" s="282">
        <v>0</v>
      </c>
      <c r="S76" s="281">
        <v>0</v>
      </c>
      <c r="T76" s="284">
        <v>0</v>
      </c>
      <c r="U76" s="283">
        <v>793</v>
      </c>
      <c r="V76" s="281">
        <v>0</v>
      </c>
      <c r="W76" s="282">
        <v>0</v>
      </c>
      <c r="X76" s="281">
        <v>0</v>
      </c>
      <c r="Y76" s="282">
        <v>0</v>
      </c>
      <c r="Z76" s="280">
        <v>793</v>
      </c>
      <c r="AA76" s="281">
        <v>0</v>
      </c>
      <c r="AB76" s="282">
        <v>0</v>
      </c>
      <c r="AC76" s="281">
        <v>0</v>
      </c>
      <c r="AD76" s="282">
        <v>0</v>
      </c>
      <c r="AE76" s="280">
        <v>793</v>
      </c>
    </row>
    <row r="77" spans="2:31">
      <c r="B77" s="279"/>
      <c r="C77" s="268"/>
      <c r="D77" s="273"/>
      <c r="E77" s="268" t="s">
        <v>534</v>
      </c>
      <c r="F77" s="280">
        <v>0</v>
      </c>
      <c r="G77" s="281">
        <v>0</v>
      </c>
      <c r="H77" s="282">
        <v>0</v>
      </c>
      <c r="I77" s="281">
        <v>0</v>
      </c>
      <c r="J77" s="284">
        <v>0</v>
      </c>
      <c r="K77" s="280">
        <v>0</v>
      </c>
      <c r="L77" s="281">
        <v>0</v>
      </c>
      <c r="M77" s="282">
        <v>0</v>
      </c>
      <c r="N77" s="281">
        <v>0</v>
      </c>
      <c r="O77" s="284">
        <v>0</v>
      </c>
      <c r="P77" s="280">
        <v>0</v>
      </c>
      <c r="Q77" s="281">
        <v>0</v>
      </c>
      <c r="R77" s="282">
        <v>0</v>
      </c>
      <c r="S77" s="281">
        <v>0</v>
      </c>
      <c r="T77" s="284">
        <v>0</v>
      </c>
      <c r="U77" s="283">
        <v>0</v>
      </c>
      <c r="V77" s="281">
        <v>0</v>
      </c>
      <c r="W77" s="282">
        <v>0</v>
      </c>
      <c r="X77" s="281">
        <v>0</v>
      </c>
      <c r="Y77" s="282">
        <v>0</v>
      </c>
      <c r="Z77" s="280">
        <v>0</v>
      </c>
      <c r="AA77" s="281">
        <v>0</v>
      </c>
      <c r="AB77" s="282">
        <v>0</v>
      </c>
      <c r="AC77" s="281">
        <v>0</v>
      </c>
      <c r="AD77" s="282">
        <v>0</v>
      </c>
      <c r="AE77" s="280">
        <v>0</v>
      </c>
    </row>
    <row r="78" spans="2:31">
      <c r="B78" s="279"/>
      <c r="C78" s="268"/>
      <c r="D78" s="273"/>
      <c r="E78" s="268"/>
      <c r="F78" s="285"/>
      <c r="G78" s="286"/>
      <c r="H78" s="287"/>
      <c r="I78" s="286"/>
      <c r="J78" s="288"/>
      <c r="K78" s="285"/>
      <c r="L78" s="286"/>
      <c r="M78" s="287"/>
      <c r="N78" s="286"/>
      <c r="O78" s="288"/>
      <c r="P78" s="285"/>
      <c r="Q78" s="286"/>
      <c r="R78" s="287"/>
      <c r="S78" s="286"/>
      <c r="T78" s="288"/>
      <c r="U78" s="289"/>
      <c r="V78" s="286"/>
      <c r="W78" s="287"/>
      <c r="X78" s="286"/>
      <c r="Y78" s="287"/>
      <c r="Z78" s="285"/>
      <c r="AA78" s="286"/>
      <c r="AB78" s="287"/>
      <c r="AC78" s="286"/>
      <c r="AD78" s="287"/>
      <c r="AE78" s="285"/>
    </row>
    <row r="79" spans="2:31">
      <c r="B79" s="279"/>
      <c r="C79" s="268"/>
      <c r="D79" s="273" t="s">
        <v>745</v>
      </c>
      <c r="E79" s="268"/>
      <c r="F79" s="285"/>
      <c r="G79" s="286"/>
      <c r="H79" s="287"/>
      <c r="I79" s="286"/>
      <c r="J79" s="288"/>
      <c r="K79" s="285"/>
      <c r="L79" s="286"/>
      <c r="M79" s="287"/>
      <c r="N79" s="286"/>
      <c r="O79" s="288"/>
      <c r="P79" s="285"/>
      <c r="Q79" s="286"/>
      <c r="R79" s="287"/>
      <c r="S79" s="286"/>
      <c r="T79" s="288"/>
      <c r="U79" s="289"/>
      <c r="V79" s="286"/>
      <c r="W79" s="287"/>
      <c r="X79" s="286"/>
      <c r="Y79" s="287"/>
      <c r="Z79" s="285"/>
      <c r="AA79" s="286"/>
      <c r="AB79" s="287"/>
      <c r="AC79" s="286"/>
      <c r="AD79" s="287"/>
      <c r="AE79" s="285"/>
    </row>
    <row r="80" spans="2:31">
      <c r="B80" s="279"/>
      <c r="C80" s="268"/>
      <c r="D80" s="268"/>
      <c r="E80" s="268" t="s">
        <v>535</v>
      </c>
      <c r="F80" s="280">
        <v>7723</v>
      </c>
      <c r="G80" s="281">
        <v>0</v>
      </c>
      <c r="H80" s="282">
        <v>58</v>
      </c>
      <c r="I80" s="281">
        <v>45</v>
      </c>
      <c r="J80" s="284">
        <v>43</v>
      </c>
      <c r="K80" s="280">
        <v>7753</v>
      </c>
      <c r="L80" s="281">
        <v>0</v>
      </c>
      <c r="M80" s="282">
        <v>0</v>
      </c>
      <c r="N80" s="281">
        <v>0</v>
      </c>
      <c r="O80" s="284">
        <v>0</v>
      </c>
      <c r="P80" s="280">
        <v>7753</v>
      </c>
      <c r="Q80" s="281">
        <v>168</v>
      </c>
      <c r="R80" s="282">
        <v>448</v>
      </c>
      <c r="S80" s="281">
        <v>97</v>
      </c>
      <c r="T80" s="284">
        <v>158</v>
      </c>
      <c r="U80" s="283">
        <v>7392</v>
      </c>
      <c r="V80" s="281">
        <v>50</v>
      </c>
      <c r="W80" s="282">
        <v>35</v>
      </c>
      <c r="X80" s="281">
        <v>43</v>
      </c>
      <c r="Y80" s="282">
        <v>22.7</v>
      </c>
      <c r="Z80" s="280">
        <v>7372.7</v>
      </c>
      <c r="AA80" s="281">
        <v>6</v>
      </c>
      <c r="AB80" s="282">
        <v>98.8</v>
      </c>
      <c r="AC80" s="281">
        <v>7</v>
      </c>
      <c r="AD80" s="282">
        <v>36.5</v>
      </c>
      <c r="AE80" s="280">
        <v>7311.4</v>
      </c>
    </row>
    <row r="81" spans="2:31">
      <c r="B81" s="279"/>
      <c r="C81" s="268"/>
      <c r="D81" s="268"/>
      <c r="E81" s="268" t="s">
        <v>536</v>
      </c>
      <c r="F81" s="280">
        <v>730</v>
      </c>
      <c r="G81" s="281">
        <v>5</v>
      </c>
      <c r="H81" s="282">
        <v>0</v>
      </c>
      <c r="I81" s="281">
        <v>0</v>
      </c>
      <c r="J81" s="284">
        <v>0</v>
      </c>
      <c r="K81" s="280">
        <v>725</v>
      </c>
      <c r="L81" s="281">
        <v>0</v>
      </c>
      <c r="M81" s="282">
        <v>0</v>
      </c>
      <c r="N81" s="281">
        <v>0</v>
      </c>
      <c r="O81" s="284">
        <v>0</v>
      </c>
      <c r="P81" s="280">
        <v>725</v>
      </c>
      <c r="Q81" s="281">
        <v>0</v>
      </c>
      <c r="R81" s="282">
        <v>0</v>
      </c>
      <c r="S81" s="281">
        <v>0</v>
      </c>
      <c r="T81" s="284">
        <v>0</v>
      </c>
      <c r="U81" s="283">
        <v>725</v>
      </c>
      <c r="V81" s="281">
        <v>0</v>
      </c>
      <c r="W81" s="282">
        <v>0</v>
      </c>
      <c r="X81" s="281">
        <v>0</v>
      </c>
      <c r="Y81" s="282">
        <v>0</v>
      </c>
      <c r="Z81" s="280">
        <v>725</v>
      </c>
      <c r="AA81" s="281">
        <v>0</v>
      </c>
      <c r="AB81" s="282">
        <v>0</v>
      </c>
      <c r="AC81" s="281">
        <v>0</v>
      </c>
      <c r="AD81" s="282">
        <v>0</v>
      </c>
      <c r="AE81" s="280">
        <v>725</v>
      </c>
    </row>
    <row r="82" spans="2:31">
      <c r="B82" s="279"/>
      <c r="C82" s="268"/>
      <c r="D82" s="273"/>
      <c r="E82" s="268" t="s">
        <v>537</v>
      </c>
      <c r="F82" s="280">
        <v>8891</v>
      </c>
      <c r="G82" s="281">
        <v>0</v>
      </c>
      <c r="H82" s="282">
        <v>0</v>
      </c>
      <c r="I82" s="281">
        <v>0</v>
      </c>
      <c r="J82" s="284">
        <v>0</v>
      </c>
      <c r="K82" s="280">
        <v>8891</v>
      </c>
      <c r="L82" s="281">
        <v>0</v>
      </c>
      <c r="M82" s="282">
        <v>0</v>
      </c>
      <c r="N82" s="281">
        <v>0</v>
      </c>
      <c r="O82" s="284">
        <v>0</v>
      </c>
      <c r="P82" s="280">
        <v>8891</v>
      </c>
      <c r="Q82" s="281">
        <v>0</v>
      </c>
      <c r="R82" s="282">
        <v>0</v>
      </c>
      <c r="S82" s="281">
        <v>0</v>
      </c>
      <c r="T82" s="284">
        <v>0</v>
      </c>
      <c r="U82" s="283">
        <v>8891</v>
      </c>
      <c r="V82" s="281">
        <v>0</v>
      </c>
      <c r="W82" s="282">
        <v>0</v>
      </c>
      <c r="X82" s="281">
        <v>0</v>
      </c>
      <c r="Y82" s="282">
        <v>0</v>
      </c>
      <c r="Z82" s="280">
        <v>8891</v>
      </c>
      <c r="AA82" s="281">
        <v>0</v>
      </c>
      <c r="AB82" s="282">
        <v>0</v>
      </c>
      <c r="AC82" s="281">
        <v>0</v>
      </c>
      <c r="AD82" s="282">
        <v>0</v>
      </c>
      <c r="AE82" s="280">
        <v>8891</v>
      </c>
    </row>
    <row r="83" spans="2:31">
      <c r="B83" s="279"/>
      <c r="C83" s="268"/>
      <c r="D83" s="273"/>
      <c r="E83" s="268" t="s">
        <v>538</v>
      </c>
      <c r="F83" s="280">
        <v>672</v>
      </c>
      <c r="G83" s="281">
        <v>0</v>
      </c>
      <c r="H83" s="282">
        <v>0</v>
      </c>
      <c r="I83" s="281">
        <v>0</v>
      </c>
      <c r="J83" s="284">
        <v>0</v>
      </c>
      <c r="K83" s="280">
        <v>672</v>
      </c>
      <c r="L83" s="281">
        <v>3</v>
      </c>
      <c r="M83" s="282">
        <v>0</v>
      </c>
      <c r="N83" s="281">
        <v>0</v>
      </c>
      <c r="O83" s="284">
        <v>0</v>
      </c>
      <c r="P83" s="280">
        <v>669</v>
      </c>
      <c r="Q83" s="281">
        <v>0</v>
      </c>
      <c r="R83" s="282">
        <v>0</v>
      </c>
      <c r="S83" s="281">
        <v>0</v>
      </c>
      <c r="T83" s="284">
        <v>0</v>
      </c>
      <c r="U83" s="283">
        <v>669</v>
      </c>
      <c r="V83" s="281">
        <v>0</v>
      </c>
      <c r="W83" s="282">
        <v>0</v>
      </c>
      <c r="X83" s="281">
        <v>0</v>
      </c>
      <c r="Y83" s="282">
        <v>0</v>
      </c>
      <c r="Z83" s="280">
        <v>669</v>
      </c>
      <c r="AA83" s="281">
        <v>0</v>
      </c>
      <c r="AB83" s="282">
        <v>0</v>
      </c>
      <c r="AC83" s="281">
        <v>0</v>
      </c>
      <c r="AD83" s="282">
        <v>0</v>
      </c>
      <c r="AE83" s="280">
        <v>669</v>
      </c>
    </row>
    <row r="84" spans="2:31">
      <c r="B84" s="279"/>
      <c r="C84" s="268"/>
      <c r="D84" s="268"/>
      <c r="E84" s="268"/>
      <c r="F84" s="285"/>
      <c r="G84" s="286"/>
      <c r="H84" s="287"/>
      <c r="I84" s="286"/>
      <c r="J84" s="288"/>
      <c r="K84" s="285"/>
      <c r="L84" s="286"/>
      <c r="M84" s="287"/>
      <c r="N84" s="286"/>
      <c r="O84" s="288"/>
      <c r="P84" s="285"/>
      <c r="Q84" s="286"/>
      <c r="R84" s="287"/>
      <c r="S84" s="286"/>
      <c r="T84" s="288"/>
      <c r="U84" s="289"/>
      <c r="V84" s="286"/>
      <c r="W84" s="287"/>
      <c r="X84" s="286"/>
      <c r="Y84" s="287"/>
      <c r="Z84" s="285"/>
      <c r="AA84" s="286"/>
      <c r="AB84" s="287"/>
      <c r="AC84" s="286"/>
      <c r="AD84" s="287"/>
      <c r="AE84" s="285"/>
    </row>
    <row r="85" spans="2:31">
      <c r="B85" s="266"/>
      <c r="C85" s="268"/>
      <c r="D85" s="273" t="s">
        <v>769</v>
      </c>
      <c r="E85" s="268"/>
      <c r="F85" s="285"/>
      <c r="G85" s="286"/>
      <c r="H85" s="287"/>
      <c r="I85" s="286"/>
      <c r="J85" s="288"/>
      <c r="K85" s="285"/>
      <c r="L85" s="286"/>
      <c r="M85" s="287"/>
      <c r="N85" s="286"/>
      <c r="O85" s="288"/>
      <c r="P85" s="285"/>
      <c r="Q85" s="286"/>
      <c r="R85" s="287"/>
      <c r="S85" s="286"/>
      <c r="T85" s="288"/>
      <c r="U85" s="289"/>
      <c r="V85" s="286"/>
      <c r="W85" s="287"/>
      <c r="X85" s="286"/>
      <c r="Y85" s="287"/>
      <c r="Z85" s="285"/>
      <c r="AA85" s="286"/>
      <c r="AB85" s="287"/>
      <c r="AC85" s="286"/>
      <c r="AD85" s="287"/>
      <c r="AE85" s="285"/>
    </row>
    <row r="86" spans="2:31">
      <c r="B86" s="266"/>
      <c r="C86" s="268"/>
      <c r="D86" s="273"/>
      <c r="E86" s="268" t="s">
        <v>417</v>
      </c>
      <c r="F86" s="280">
        <v>219</v>
      </c>
      <c r="G86" s="281">
        <v>0</v>
      </c>
      <c r="H86" s="282">
        <v>0</v>
      </c>
      <c r="I86" s="281">
        <v>1</v>
      </c>
      <c r="J86" s="284">
        <v>2</v>
      </c>
      <c r="K86" s="280">
        <v>222</v>
      </c>
      <c r="L86" s="281">
        <v>1</v>
      </c>
      <c r="M86" s="282">
        <v>3</v>
      </c>
      <c r="N86" s="281">
        <v>3</v>
      </c>
      <c r="O86" s="284">
        <v>3</v>
      </c>
      <c r="P86" s="280">
        <v>224</v>
      </c>
      <c r="Q86" s="281">
        <v>0</v>
      </c>
      <c r="R86" s="282">
        <v>7</v>
      </c>
      <c r="S86" s="281">
        <v>6</v>
      </c>
      <c r="T86" s="284">
        <v>10</v>
      </c>
      <c r="U86" s="283">
        <v>233</v>
      </c>
      <c r="V86" s="281">
        <v>1.9</v>
      </c>
      <c r="W86" s="282">
        <v>19.2</v>
      </c>
      <c r="X86" s="281">
        <v>11.9</v>
      </c>
      <c r="Y86" s="282">
        <v>4.5</v>
      </c>
      <c r="Z86" s="280">
        <v>228.3</v>
      </c>
      <c r="AA86" s="281">
        <v>1.1000000000000001</v>
      </c>
      <c r="AB86" s="282">
        <v>12.3</v>
      </c>
      <c r="AC86" s="281">
        <v>4.4000000000000004</v>
      </c>
      <c r="AD86" s="282">
        <v>2.2000000000000002</v>
      </c>
      <c r="AE86" s="280">
        <v>221.5</v>
      </c>
    </row>
    <row r="87" spans="2:31">
      <c r="B87" s="266"/>
      <c r="C87" s="268"/>
      <c r="D87" s="273"/>
      <c r="E87" s="268" t="s">
        <v>418</v>
      </c>
      <c r="F87" s="280">
        <v>130</v>
      </c>
      <c r="G87" s="281">
        <v>0</v>
      </c>
      <c r="H87" s="282">
        <v>0</v>
      </c>
      <c r="I87" s="281">
        <v>0</v>
      </c>
      <c r="J87" s="284">
        <v>0</v>
      </c>
      <c r="K87" s="280">
        <v>130</v>
      </c>
      <c r="L87" s="281">
        <v>2</v>
      </c>
      <c r="M87" s="282">
        <v>0</v>
      </c>
      <c r="N87" s="281">
        <v>0</v>
      </c>
      <c r="O87" s="284">
        <v>0</v>
      </c>
      <c r="P87" s="280">
        <v>128</v>
      </c>
      <c r="Q87" s="281">
        <v>6</v>
      </c>
      <c r="R87" s="282">
        <v>0</v>
      </c>
      <c r="S87" s="281">
        <v>0</v>
      </c>
      <c r="T87" s="284">
        <v>0</v>
      </c>
      <c r="U87" s="283">
        <v>122</v>
      </c>
      <c r="V87" s="281">
        <v>0</v>
      </c>
      <c r="W87" s="282">
        <v>0</v>
      </c>
      <c r="X87" s="281">
        <v>0</v>
      </c>
      <c r="Y87" s="282">
        <v>0</v>
      </c>
      <c r="Z87" s="280">
        <v>122</v>
      </c>
      <c r="AA87" s="281">
        <v>0</v>
      </c>
      <c r="AB87" s="282">
        <v>0</v>
      </c>
      <c r="AC87" s="281">
        <v>0</v>
      </c>
      <c r="AD87" s="282">
        <v>0</v>
      </c>
      <c r="AE87" s="280">
        <v>122</v>
      </c>
    </row>
    <row r="88" spans="2:31">
      <c r="B88" s="266"/>
      <c r="C88" s="268"/>
      <c r="D88" s="273"/>
      <c r="E88" s="268" t="s">
        <v>419</v>
      </c>
      <c r="F88" s="280">
        <v>9</v>
      </c>
      <c r="G88" s="281">
        <v>0</v>
      </c>
      <c r="H88" s="282">
        <v>0</v>
      </c>
      <c r="I88" s="281">
        <v>0</v>
      </c>
      <c r="J88" s="284">
        <v>0</v>
      </c>
      <c r="K88" s="280">
        <v>9</v>
      </c>
      <c r="L88" s="281">
        <v>0</v>
      </c>
      <c r="M88" s="282">
        <v>0</v>
      </c>
      <c r="N88" s="281">
        <v>0</v>
      </c>
      <c r="O88" s="284">
        <v>0</v>
      </c>
      <c r="P88" s="280">
        <v>9</v>
      </c>
      <c r="Q88" s="281">
        <v>0</v>
      </c>
      <c r="R88" s="282">
        <v>0</v>
      </c>
      <c r="S88" s="281">
        <v>0</v>
      </c>
      <c r="T88" s="284">
        <v>0</v>
      </c>
      <c r="U88" s="283">
        <v>9</v>
      </c>
      <c r="V88" s="281">
        <v>0</v>
      </c>
      <c r="W88" s="282">
        <v>0</v>
      </c>
      <c r="X88" s="281">
        <v>0</v>
      </c>
      <c r="Y88" s="282">
        <v>0</v>
      </c>
      <c r="Z88" s="280">
        <v>9</v>
      </c>
      <c r="AA88" s="281">
        <v>0</v>
      </c>
      <c r="AB88" s="282">
        <v>0</v>
      </c>
      <c r="AC88" s="281">
        <v>0</v>
      </c>
      <c r="AD88" s="282">
        <v>0</v>
      </c>
      <c r="AE88" s="280">
        <v>9</v>
      </c>
    </row>
    <row r="89" spans="2:31">
      <c r="B89" s="266"/>
      <c r="C89" s="268"/>
      <c r="D89" s="273"/>
      <c r="E89" s="268" t="s">
        <v>543</v>
      </c>
      <c r="F89" s="280">
        <v>8</v>
      </c>
      <c r="G89" s="281">
        <v>0</v>
      </c>
      <c r="H89" s="282">
        <v>0</v>
      </c>
      <c r="I89" s="281">
        <v>0</v>
      </c>
      <c r="J89" s="284">
        <v>0</v>
      </c>
      <c r="K89" s="280">
        <v>8</v>
      </c>
      <c r="L89" s="281">
        <v>0</v>
      </c>
      <c r="M89" s="282">
        <v>0</v>
      </c>
      <c r="N89" s="281">
        <v>0</v>
      </c>
      <c r="O89" s="284">
        <v>0</v>
      </c>
      <c r="P89" s="280">
        <v>8</v>
      </c>
      <c r="Q89" s="281">
        <v>0</v>
      </c>
      <c r="R89" s="282">
        <v>0</v>
      </c>
      <c r="S89" s="281">
        <v>0</v>
      </c>
      <c r="T89" s="284">
        <v>0</v>
      </c>
      <c r="U89" s="283">
        <v>8</v>
      </c>
      <c r="V89" s="281">
        <v>0</v>
      </c>
      <c r="W89" s="282">
        <v>0</v>
      </c>
      <c r="X89" s="281">
        <v>0</v>
      </c>
      <c r="Y89" s="282">
        <v>0</v>
      </c>
      <c r="Z89" s="280">
        <v>8</v>
      </c>
      <c r="AA89" s="281">
        <v>0</v>
      </c>
      <c r="AB89" s="282">
        <v>0</v>
      </c>
      <c r="AC89" s="281">
        <v>0</v>
      </c>
      <c r="AD89" s="282">
        <v>0</v>
      </c>
      <c r="AE89" s="280">
        <v>8</v>
      </c>
    </row>
    <row r="90" spans="2:31">
      <c r="B90" s="266"/>
      <c r="C90" s="268"/>
      <c r="D90" s="273"/>
      <c r="E90" s="268" t="s">
        <v>429</v>
      </c>
      <c r="F90" s="280">
        <v>8</v>
      </c>
      <c r="G90" s="281">
        <v>0</v>
      </c>
      <c r="H90" s="282">
        <v>0</v>
      </c>
      <c r="I90" s="281">
        <v>0</v>
      </c>
      <c r="J90" s="284">
        <v>0</v>
      </c>
      <c r="K90" s="280">
        <v>8</v>
      </c>
      <c r="L90" s="281">
        <v>0</v>
      </c>
      <c r="M90" s="282">
        <v>0</v>
      </c>
      <c r="N90" s="281">
        <v>0</v>
      </c>
      <c r="O90" s="284">
        <v>0</v>
      </c>
      <c r="P90" s="280">
        <v>8</v>
      </c>
      <c r="Q90" s="281">
        <v>0</v>
      </c>
      <c r="R90" s="282">
        <v>0</v>
      </c>
      <c r="S90" s="281">
        <v>0</v>
      </c>
      <c r="T90" s="284">
        <v>0</v>
      </c>
      <c r="U90" s="283">
        <v>8</v>
      </c>
      <c r="V90" s="281">
        <v>0</v>
      </c>
      <c r="W90" s="282">
        <v>0</v>
      </c>
      <c r="X90" s="281">
        <v>0</v>
      </c>
      <c r="Y90" s="282">
        <v>0</v>
      </c>
      <c r="Z90" s="280">
        <v>8</v>
      </c>
      <c r="AA90" s="281">
        <v>0</v>
      </c>
      <c r="AB90" s="282">
        <v>0</v>
      </c>
      <c r="AC90" s="281">
        <v>0</v>
      </c>
      <c r="AD90" s="282">
        <v>0</v>
      </c>
      <c r="AE90" s="280">
        <v>8</v>
      </c>
    </row>
    <row r="91" spans="2:31">
      <c r="B91" s="266"/>
      <c r="C91" s="268"/>
      <c r="D91" s="273"/>
      <c r="E91" s="268" t="s">
        <v>430</v>
      </c>
      <c r="F91" s="280">
        <v>0</v>
      </c>
      <c r="G91" s="281">
        <v>0</v>
      </c>
      <c r="H91" s="282">
        <v>0</v>
      </c>
      <c r="I91" s="281">
        <v>0</v>
      </c>
      <c r="J91" s="284">
        <v>0</v>
      </c>
      <c r="K91" s="280">
        <v>0</v>
      </c>
      <c r="L91" s="281">
        <v>0</v>
      </c>
      <c r="M91" s="282">
        <v>0</v>
      </c>
      <c r="N91" s="281">
        <v>0</v>
      </c>
      <c r="O91" s="284">
        <v>0</v>
      </c>
      <c r="P91" s="280">
        <v>0</v>
      </c>
      <c r="Q91" s="281">
        <v>0</v>
      </c>
      <c r="R91" s="282">
        <v>0</v>
      </c>
      <c r="S91" s="281">
        <v>0</v>
      </c>
      <c r="T91" s="284">
        <v>0</v>
      </c>
      <c r="U91" s="283">
        <v>0</v>
      </c>
      <c r="V91" s="281">
        <v>0</v>
      </c>
      <c r="W91" s="282">
        <v>0</v>
      </c>
      <c r="X91" s="281">
        <v>0</v>
      </c>
      <c r="Y91" s="282">
        <v>0</v>
      </c>
      <c r="Z91" s="280">
        <v>0</v>
      </c>
      <c r="AA91" s="281">
        <v>0</v>
      </c>
      <c r="AB91" s="282">
        <v>0</v>
      </c>
      <c r="AC91" s="281">
        <v>0</v>
      </c>
      <c r="AD91" s="282">
        <v>0</v>
      </c>
      <c r="AE91" s="280">
        <v>0</v>
      </c>
    </row>
    <row r="92" spans="2:31">
      <c r="B92" s="266"/>
      <c r="C92" s="268"/>
      <c r="D92" s="268"/>
      <c r="E92" s="268"/>
      <c r="F92" s="285"/>
      <c r="G92" s="286"/>
      <c r="H92" s="287"/>
      <c r="I92" s="286"/>
      <c r="J92" s="288"/>
      <c r="K92" s="285"/>
      <c r="L92" s="286"/>
      <c r="M92" s="287"/>
      <c r="N92" s="286"/>
      <c r="O92" s="288"/>
      <c r="P92" s="285"/>
      <c r="Q92" s="286"/>
      <c r="R92" s="287"/>
      <c r="S92" s="286"/>
      <c r="T92" s="288"/>
      <c r="U92" s="289"/>
      <c r="V92" s="286"/>
      <c r="W92" s="287"/>
      <c r="X92" s="286"/>
      <c r="Y92" s="287"/>
      <c r="Z92" s="285"/>
      <c r="AA92" s="286"/>
      <c r="AB92" s="287"/>
      <c r="AC92" s="286"/>
      <c r="AD92" s="287"/>
      <c r="AE92" s="285"/>
    </row>
    <row r="93" spans="2:31">
      <c r="B93" s="266"/>
      <c r="C93" s="268"/>
      <c r="D93" s="273" t="s">
        <v>68</v>
      </c>
      <c r="E93" s="268"/>
      <c r="F93" s="285"/>
      <c r="G93" s="286"/>
      <c r="H93" s="287"/>
      <c r="I93" s="286"/>
      <c r="J93" s="288"/>
      <c r="K93" s="285"/>
      <c r="L93" s="286"/>
      <c r="M93" s="287"/>
      <c r="N93" s="286"/>
      <c r="O93" s="288"/>
      <c r="P93" s="285"/>
      <c r="Q93" s="286"/>
      <c r="R93" s="287"/>
      <c r="S93" s="286"/>
      <c r="T93" s="288"/>
      <c r="U93" s="289"/>
      <c r="V93" s="286"/>
      <c r="W93" s="287"/>
      <c r="X93" s="286"/>
      <c r="Y93" s="287"/>
      <c r="Z93" s="285"/>
      <c r="AA93" s="286"/>
      <c r="AB93" s="287"/>
      <c r="AC93" s="286"/>
      <c r="AD93" s="287"/>
      <c r="AE93" s="285"/>
    </row>
    <row r="94" spans="2:31">
      <c r="B94" s="266"/>
      <c r="C94" s="268"/>
      <c r="D94" s="268"/>
      <c r="E94" s="268" t="s">
        <v>389</v>
      </c>
      <c r="F94" s="280">
        <v>0</v>
      </c>
      <c r="G94" s="281">
        <v>0</v>
      </c>
      <c r="H94" s="282">
        <v>0</v>
      </c>
      <c r="I94" s="281">
        <v>0</v>
      </c>
      <c r="J94" s="284">
        <v>0</v>
      </c>
      <c r="K94" s="280">
        <v>0</v>
      </c>
      <c r="L94" s="281">
        <v>0</v>
      </c>
      <c r="M94" s="282">
        <v>0</v>
      </c>
      <c r="N94" s="281">
        <v>0</v>
      </c>
      <c r="O94" s="284">
        <v>0</v>
      </c>
      <c r="P94" s="280">
        <v>0</v>
      </c>
      <c r="Q94" s="281">
        <v>0</v>
      </c>
      <c r="R94" s="282">
        <v>0</v>
      </c>
      <c r="S94" s="281">
        <v>0</v>
      </c>
      <c r="T94" s="284">
        <v>0</v>
      </c>
      <c r="U94" s="283">
        <v>0</v>
      </c>
      <c r="V94" s="281" t="s">
        <v>1021</v>
      </c>
      <c r="W94" s="282">
        <v>0</v>
      </c>
      <c r="X94" s="281" t="s">
        <v>1021</v>
      </c>
      <c r="Y94" s="282">
        <v>0</v>
      </c>
      <c r="Z94" s="280">
        <v>0</v>
      </c>
      <c r="AA94" s="281" t="s">
        <v>1021</v>
      </c>
      <c r="AB94" s="282">
        <v>0</v>
      </c>
      <c r="AC94" s="281" t="s">
        <v>1021</v>
      </c>
      <c r="AD94" s="282">
        <v>0</v>
      </c>
      <c r="AE94" s="280">
        <v>0</v>
      </c>
    </row>
    <row r="95" spans="2:31">
      <c r="B95" s="266"/>
      <c r="C95" s="268"/>
      <c r="D95" s="273"/>
      <c r="E95" s="268"/>
      <c r="F95" s="285"/>
      <c r="G95" s="286"/>
      <c r="H95" s="287"/>
      <c r="I95" s="286"/>
      <c r="J95" s="288"/>
      <c r="K95" s="285"/>
      <c r="L95" s="286"/>
      <c r="M95" s="287"/>
      <c r="N95" s="286"/>
      <c r="O95" s="288"/>
      <c r="P95" s="285"/>
      <c r="Q95" s="286"/>
      <c r="R95" s="287"/>
      <c r="S95" s="286"/>
      <c r="T95" s="288"/>
      <c r="U95" s="289"/>
      <c r="V95" s="286"/>
      <c r="W95" s="287"/>
      <c r="X95" s="286"/>
      <c r="Y95" s="287"/>
      <c r="Z95" s="285"/>
      <c r="AA95" s="286"/>
      <c r="AB95" s="287"/>
      <c r="AC95" s="286"/>
      <c r="AD95" s="287"/>
      <c r="AE95" s="285"/>
    </row>
    <row r="96" spans="2:31">
      <c r="B96" s="266"/>
      <c r="C96" s="268"/>
      <c r="D96" s="273" t="s">
        <v>637</v>
      </c>
      <c r="E96" s="268"/>
      <c r="F96" s="285"/>
      <c r="G96" s="286"/>
      <c r="H96" s="287"/>
      <c r="I96" s="286"/>
      <c r="J96" s="288"/>
      <c r="K96" s="285"/>
      <c r="L96" s="286"/>
      <c r="M96" s="287"/>
      <c r="N96" s="286"/>
      <c r="O96" s="288"/>
      <c r="P96" s="285"/>
      <c r="Q96" s="286"/>
      <c r="R96" s="287"/>
      <c r="S96" s="286"/>
      <c r="T96" s="288"/>
      <c r="U96" s="289"/>
      <c r="V96" s="286"/>
      <c r="W96" s="287"/>
      <c r="X96" s="286"/>
      <c r="Y96" s="287"/>
      <c r="Z96" s="285"/>
      <c r="AA96" s="286"/>
      <c r="AB96" s="287"/>
      <c r="AC96" s="286"/>
      <c r="AD96" s="287"/>
      <c r="AE96" s="285"/>
    </row>
    <row r="97" spans="2:31">
      <c r="B97" s="266"/>
      <c r="C97" s="268"/>
      <c r="D97" s="273"/>
      <c r="E97" s="298" t="s">
        <v>390</v>
      </c>
      <c r="F97" s="280">
        <v>85</v>
      </c>
      <c r="G97" s="281">
        <v>0</v>
      </c>
      <c r="H97" s="282">
        <v>0</v>
      </c>
      <c r="I97" s="281">
        <v>0</v>
      </c>
      <c r="J97" s="284">
        <v>0</v>
      </c>
      <c r="K97" s="280">
        <v>85</v>
      </c>
      <c r="L97" s="281">
        <v>0</v>
      </c>
      <c r="M97" s="282">
        <v>0</v>
      </c>
      <c r="N97" s="281">
        <v>0</v>
      </c>
      <c r="O97" s="284">
        <v>0</v>
      </c>
      <c r="P97" s="280">
        <v>85</v>
      </c>
      <c r="Q97" s="281">
        <v>0</v>
      </c>
      <c r="R97" s="282">
        <v>0</v>
      </c>
      <c r="S97" s="281">
        <v>0</v>
      </c>
      <c r="T97" s="284">
        <v>0</v>
      </c>
      <c r="U97" s="283">
        <v>85</v>
      </c>
      <c r="V97" s="281">
        <v>0</v>
      </c>
      <c r="W97" s="282">
        <v>10</v>
      </c>
      <c r="X97" s="281">
        <v>0</v>
      </c>
      <c r="Y97" s="282">
        <v>10</v>
      </c>
      <c r="Z97" s="280">
        <v>85</v>
      </c>
      <c r="AA97" s="281">
        <v>0</v>
      </c>
      <c r="AB97" s="282">
        <v>4</v>
      </c>
      <c r="AC97" s="281">
        <v>3</v>
      </c>
      <c r="AD97" s="282">
        <v>4</v>
      </c>
      <c r="AE97" s="280">
        <v>88</v>
      </c>
    </row>
    <row r="98" spans="2:31">
      <c r="B98" s="266"/>
      <c r="C98" s="268"/>
      <c r="D98" s="273"/>
      <c r="E98" s="298" t="s">
        <v>391</v>
      </c>
      <c r="F98" s="280">
        <v>307</v>
      </c>
      <c r="G98" s="281">
        <v>0</v>
      </c>
      <c r="H98" s="282">
        <v>0</v>
      </c>
      <c r="I98" s="281">
        <v>1</v>
      </c>
      <c r="J98" s="284">
        <v>0</v>
      </c>
      <c r="K98" s="280">
        <v>308</v>
      </c>
      <c r="L98" s="281">
        <v>4</v>
      </c>
      <c r="M98" s="282">
        <v>3</v>
      </c>
      <c r="N98" s="281">
        <v>1</v>
      </c>
      <c r="O98" s="284">
        <v>3</v>
      </c>
      <c r="P98" s="280">
        <v>305</v>
      </c>
      <c r="Q98" s="281">
        <v>0</v>
      </c>
      <c r="R98" s="282">
        <v>0</v>
      </c>
      <c r="S98" s="281">
        <v>0</v>
      </c>
      <c r="T98" s="284">
        <v>0</v>
      </c>
      <c r="U98" s="283">
        <v>305</v>
      </c>
      <c r="V98" s="281">
        <v>0</v>
      </c>
      <c r="W98" s="282">
        <v>18</v>
      </c>
      <c r="X98" s="281">
        <v>0</v>
      </c>
      <c r="Y98" s="282">
        <v>18</v>
      </c>
      <c r="Z98" s="280">
        <v>305</v>
      </c>
      <c r="AA98" s="281">
        <v>0</v>
      </c>
      <c r="AB98" s="282">
        <v>9</v>
      </c>
      <c r="AC98" s="281">
        <v>0</v>
      </c>
      <c r="AD98" s="282">
        <v>9</v>
      </c>
      <c r="AE98" s="280">
        <v>305</v>
      </c>
    </row>
    <row r="99" spans="2:31">
      <c r="B99" s="266"/>
      <c r="C99" s="268"/>
      <c r="D99" s="273"/>
      <c r="E99" s="298" t="s">
        <v>392</v>
      </c>
      <c r="F99" s="280">
        <v>0</v>
      </c>
      <c r="G99" s="281">
        <v>0</v>
      </c>
      <c r="H99" s="282">
        <v>0</v>
      </c>
      <c r="I99" s="281">
        <v>0</v>
      </c>
      <c r="J99" s="284">
        <v>0</v>
      </c>
      <c r="K99" s="280">
        <v>0</v>
      </c>
      <c r="L99" s="281">
        <v>0</v>
      </c>
      <c r="M99" s="282">
        <v>0</v>
      </c>
      <c r="N99" s="281">
        <v>0</v>
      </c>
      <c r="O99" s="284">
        <v>0</v>
      </c>
      <c r="P99" s="280">
        <v>0</v>
      </c>
      <c r="Q99" s="281">
        <v>0</v>
      </c>
      <c r="R99" s="282">
        <v>0</v>
      </c>
      <c r="S99" s="281">
        <v>0</v>
      </c>
      <c r="T99" s="284">
        <v>0</v>
      </c>
      <c r="U99" s="283">
        <v>0</v>
      </c>
      <c r="V99" s="281">
        <v>0</v>
      </c>
      <c r="W99" s="282">
        <v>0</v>
      </c>
      <c r="X99" s="281">
        <v>0</v>
      </c>
      <c r="Y99" s="282">
        <v>0</v>
      </c>
      <c r="Z99" s="280">
        <v>0</v>
      </c>
      <c r="AA99" s="281">
        <v>0</v>
      </c>
      <c r="AB99" s="282">
        <v>0</v>
      </c>
      <c r="AC99" s="281">
        <v>0</v>
      </c>
      <c r="AD99" s="282">
        <v>0</v>
      </c>
      <c r="AE99" s="280">
        <v>0</v>
      </c>
    </row>
    <row r="100" spans="2:31">
      <c r="B100" s="266"/>
      <c r="C100" s="268"/>
      <c r="D100" s="273"/>
      <c r="E100" s="298" t="s">
        <v>393</v>
      </c>
      <c r="F100" s="280">
        <v>0</v>
      </c>
      <c r="G100" s="281">
        <v>0</v>
      </c>
      <c r="H100" s="282">
        <v>0</v>
      </c>
      <c r="I100" s="281">
        <v>0</v>
      </c>
      <c r="J100" s="284">
        <v>0</v>
      </c>
      <c r="K100" s="280">
        <v>0</v>
      </c>
      <c r="L100" s="281">
        <v>0</v>
      </c>
      <c r="M100" s="282">
        <v>0</v>
      </c>
      <c r="N100" s="281">
        <v>0</v>
      </c>
      <c r="O100" s="284">
        <v>0</v>
      </c>
      <c r="P100" s="280">
        <v>0</v>
      </c>
      <c r="Q100" s="281">
        <v>0</v>
      </c>
      <c r="R100" s="282">
        <v>0</v>
      </c>
      <c r="S100" s="281">
        <v>0</v>
      </c>
      <c r="T100" s="284">
        <v>0</v>
      </c>
      <c r="U100" s="283">
        <v>0</v>
      </c>
      <c r="V100" s="281">
        <v>0</v>
      </c>
      <c r="W100" s="282">
        <v>0</v>
      </c>
      <c r="X100" s="281">
        <v>0</v>
      </c>
      <c r="Y100" s="282">
        <v>0</v>
      </c>
      <c r="Z100" s="280">
        <v>0</v>
      </c>
      <c r="AA100" s="281">
        <v>0</v>
      </c>
      <c r="AB100" s="282">
        <v>0</v>
      </c>
      <c r="AC100" s="281">
        <v>0</v>
      </c>
      <c r="AD100" s="282">
        <v>0</v>
      </c>
      <c r="AE100" s="280">
        <v>0</v>
      </c>
    </row>
    <row r="101" spans="2:31">
      <c r="B101" s="266"/>
      <c r="C101" s="268"/>
      <c r="D101" s="273"/>
      <c r="E101" s="298" t="s">
        <v>394</v>
      </c>
      <c r="F101" s="280">
        <v>0</v>
      </c>
      <c r="G101" s="281">
        <v>0</v>
      </c>
      <c r="H101" s="282">
        <v>0</v>
      </c>
      <c r="I101" s="281">
        <v>0</v>
      </c>
      <c r="J101" s="284">
        <v>0</v>
      </c>
      <c r="K101" s="280">
        <v>0</v>
      </c>
      <c r="L101" s="281">
        <v>0</v>
      </c>
      <c r="M101" s="282">
        <v>0</v>
      </c>
      <c r="N101" s="281">
        <v>0</v>
      </c>
      <c r="O101" s="284">
        <v>0</v>
      </c>
      <c r="P101" s="280">
        <v>0</v>
      </c>
      <c r="Q101" s="281">
        <v>0</v>
      </c>
      <c r="R101" s="282">
        <v>0</v>
      </c>
      <c r="S101" s="281">
        <v>0</v>
      </c>
      <c r="T101" s="284">
        <v>0</v>
      </c>
      <c r="U101" s="283">
        <v>0</v>
      </c>
      <c r="V101" s="281">
        <v>0</v>
      </c>
      <c r="W101" s="282">
        <v>0</v>
      </c>
      <c r="X101" s="281">
        <v>0</v>
      </c>
      <c r="Y101" s="282">
        <v>0</v>
      </c>
      <c r="Z101" s="280">
        <v>0</v>
      </c>
      <c r="AA101" s="281">
        <v>0</v>
      </c>
      <c r="AB101" s="282">
        <v>0</v>
      </c>
      <c r="AC101" s="281">
        <v>0</v>
      </c>
      <c r="AD101" s="282">
        <v>0</v>
      </c>
      <c r="AE101" s="280">
        <v>0</v>
      </c>
    </row>
    <row r="102" spans="2:31">
      <c r="B102" s="266"/>
      <c r="C102" s="268"/>
      <c r="D102" s="273"/>
      <c r="E102" s="298" t="s">
        <v>395</v>
      </c>
      <c r="F102" s="280">
        <v>1438</v>
      </c>
      <c r="G102" s="281">
        <v>0</v>
      </c>
      <c r="H102" s="282">
        <v>0</v>
      </c>
      <c r="I102" s="281">
        <v>0</v>
      </c>
      <c r="J102" s="284">
        <v>0</v>
      </c>
      <c r="K102" s="280">
        <v>1438</v>
      </c>
      <c r="L102" s="281">
        <v>0</v>
      </c>
      <c r="M102" s="282">
        <v>0</v>
      </c>
      <c r="N102" s="281">
        <v>0</v>
      </c>
      <c r="O102" s="284">
        <v>0</v>
      </c>
      <c r="P102" s="280">
        <v>1438</v>
      </c>
      <c r="Q102" s="281">
        <v>0</v>
      </c>
      <c r="R102" s="282">
        <v>0</v>
      </c>
      <c r="S102" s="281">
        <v>0</v>
      </c>
      <c r="T102" s="284">
        <v>6</v>
      </c>
      <c r="U102" s="283">
        <v>1444</v>
      </c>
      <c r="V102" s="281">
        <v>0</v>
      </c>
      <c r="W102" s="282">
        <v>0</v>
      </c>
      <c r="X102" s="281">
        <v>0</v>
      </c>
      <c r="Y102" s="282">
        <v>0</v>
      </c>
      <c r="Z102" s="280">
        <v>1444</v>
      </c>
      <c r="AA102" s="281">
        <v>0</v>
      </c>
      <c r="AB102" s="282">
        <v>0</v>
      </c>
      <c r="AC102" s="281">
        <v>0</v>
      </c>
      <c r="AD102" s="282">
        <v>0</v>
      </c>
      <c r="AE102" s="280">
        <v>1444</v>
      </c>
    </row>
    <row r="103" spans="2:31">
      <c r="B103" s="266"/>
      <c r="C103" s="268"/>
      <c r="D103" s="273"/>
      <c r="E103" s="298" t="s">
        <v>396</v>
      </c>
      <c r="F103" s="280">
        <v>71</v>
      </c>
      <c r="G103" s="281">
        <v>0</v>
      </c>
      <c r="H103" s="282">
        <v>0</v>
      </c>
      <c r="I103" s="281">
        <v>0</v>
      </c>
      <c r="J103" s="284">
        <v>0</v>
      </c>
      <c r="K103" s="280">
        <v>71</v>
      </c>
      <c r="L103" s="281">
        <v>0</v>
      </c>
      <c r="M103" s="282">
        <v>0</v>
      </c>
      <c r="N103" s="281">
        <v>0</v>
      </c>
      <c r="O103" s="284">
        <v>1</v>
      </c>
      <c r="P103" s="280">
        <v>72</v>
      </c>
      <c r="Q103" s="281">
        <v>0</v>
      </c>
      <c r="R103" s="282">
        <v>0</v>
      </c>
      <c r="S103" s="281">
        <v>0</v>
      </c>
      <c r="T103" s="284">
        <v>5</v>
      </c>
      <c r="U103" s="283">
        <v>77</v>
      </c>
      <c r="V103" s="281">
        <v>0</v>
      </c>
      <c r="W103" s="282">
        <v>0</v>
      </c>
      <c r="X103" s="281">
        <v>0</v>
      </c>
      <c r="Y103" s="282">
        <v>0</v>
      </c>
      <c r="Z103" s="280">
        <v>77</v>
      </c>
      <c r="AA103" s="281">
        <v>0</v>
      </c>
      <c r="AB103" s="282">
        <v>0</v>
      </c>
      <c r="AC103" s="281">
        <v>0</v>
      </c>
      <c r="AD103" s="282">
        <v>0</v>
      </c>
      <c r="AE103" s="280">
        <v>77</v>
      </c>
    </row>
    <row r="104" spans="2:31">
      <c r="B104" s="266"/>
      <c r="C104" s="268"/>
      <c r="D104" s="273"/>
      <c r="E104" s="298" t="s">
        <v>397</v>
      </c>
      <c r="F104" s="280">
        <v>561</v>
      </c>
      <c r="G104" s="281">
        <v>0</v>
      </c>
      <c r="H104" s="282">
        <v>0</v>
      </c>
      <c r="I104" s="281">
        <v>0</v>
      </c>
      <c r="J104" s="284">
        <v>0</v>
      </c>
      <c r="K104" s="280">
        <v>561</v>
      </c>
      <c r="L104" s="281">
        <v>0</v>
      </c>
      <c r="M104" s="282">
        <v>0</v>
      </c>
      <c r="N104" s="281">
        <v>0</v>
      </c>
      <c r="O104" s="284">
        <v>0</v>
      </c>
      <c r="P104" s="280">
        <v>561</v>
      </c>
      <c r="Q104" s="281">
        <v>0</v>
      </c>
      <c r="R104" s="282">
        <v>0</v>
      </c>
      <c r="S104" s="281">
        <v>0</v>
      </c>
      <c r="T104" s="284">
        <v>14</v>
      </c>
      <c r="U104" s="283">
        <v>575</v>
      </c>
      <c r="V104" s="281">
        <v>0</v>
      </c>
      <c r="W104" s="282">
        <v>0</v>
      </c>
      <c r="X104" s="281">
        <v>0</v>
      </c>
      <c r="Y104" s="282">
        <v>0</v>
      </c>
      <c r="Z104" s="280">
        <v>575</v>
      </c>
      <c r="AA104" s="281">
        <v>0</v>
      </c>
      <c r="AB104" s="282">
        <v>0</v>
      </c>
      <c r="AC104" s="281">
        <v>0</v>
      </c>
      <c r="AD104" s="282">
        <v>0</v>
      </c>
      <c r="AE104" s="280">
        <v>575</v>
      </c>
    </row>
    <row r="105" spans="2:31">
      <c r="B105" s="266"/>
      <c r="C105" s="268"/>
      <c r="D105" s="273"/>
      <c r="E105" s="268"/>
      <c r="F105" s="285"/>
      <c r="G105" s="286"/>
      <c r="H105" s="287"/>
      <c r="I105" s="286"/>
      <c r="J105" s="288"/>
      <c r="K105" s="285"/>
      <c r="L105" s="286"/>
      <c r="M105" s="287"/>
      <c r="N105" s="286"/>
      <c r="O105" s="288"/>
      <c r="P105" s="285"/>
      <c r="Q105" s="286"/>
      <c r="R105" s="287"/>
      <c r="S105" s="286"/>
      <c r="T105" s="288"/>
      <c r="U105" s="289"/>
      <c r="V105" s="286"/>
      <c r="W105" s="287"/>
      <c r="X105" s="286"/>
      <c r="Y105" s="287"/>
      <c r="Z105" s="285"/>
      <c r="AA105" s="286"/>
      <c r="AB105" s="287"/>
      <c r="AC105" s="286"/>
      <c r="AD105" s="287"/>
      <c r="AE105" s="285"/>
    </row>
    <row r="106" spans="2:31">
      <c r="B106" s="266"/>
      <c r="C106" s="268"/>
      <c r="D106" s="273" t="s">
        <v>512</v>
      </c>
      <c r="E106" s="268"/>
      <c r="F106" s="285"/>
      <c r="G106" s="286"/>
      <c r="H106" s="287"/>
      <c r="I106" s="286"/>
      <c r="J106" s="288"/>
      <c r="K106" s="285"/>
      <c r="L106" s="286"/>
      <c r="M106" s="287"/>
      <c r="N106" s="286"/>
      <c r="O106" s="288"/>
      <c r="P106" s="285"/>
      <c r="Q106" s="286"/>
      <c r="R106" s="287"/>
      <c r="S106" s="286"/>
      <c r="T106" s="288"/>
      <c r="U106" s="289"/>
      <c r="V106" s="286"/>
      <c r="W106" s="287"/>
      <c r="X106" s="286"/>
      <c r="Y106" s="287"/>
      <c r="Z106" s="285"/>
      <c r="AA106" s="286"/>
      <c r="AB106" s="287"/>
      <c r="AC106" s="286"/>
      <c r="AD106" s="287"/>
      <c r="AE106" s="285"/>
    </row>
    <row r="107" spans="2:31">
      <c r="B107" s="266"/>
      <c r="C107" s="268"/>
      <c r="D107" s="268"/>
      <c r="E107" s="298" t="s">
        <v>398</v>
      </c>
      <c r="F107" s="280">
        <v>3</v>
      </c>
      <c r="G107" s="281">
        <v>0</v>
      </c>
      <c r="H107" s="282">
        <v>0</v>
      </c>
      <c r="I107" s="281">
        <v>0</v>
      </c>
      <c r="J107" s="284">
        <v>0</v>
      </c>
      <c r="K107" s="280">
        <v>3</v>
      </c>
      <c r="L107" s="281">
        <v>0</v>
      </c>
      <c r="M107" s="282">
        <v>0</v>
      </c>
      <c r="N107" s="281">
        <v>0</v>
      </c>
      <c r="O107" s="284">
        <v>0</v>
      </c>
      <c r="P107" s="280">
        <v>3</v>
      </c>
      <c r="Q107" s="281">
        <v>0</v>
      </c>
      <c r="R107" s="282">
        <v>0</v>
      </c>
      <c r="S107" s="281">
        <v>0</v>
      </c>
      <c r="T107" s="284">
        <v>0</v>
      </c>
      <c r="U107" s="283">
        <v>3</v>
      </c>
      <c r="V107" s="281">
        <v>0</v>
      </c>
      <c r="W107" s="282">
        <v>0</v>
      </c>
      <c r="X107" s="281">
        <v>0</v>
      </c>
      <c r="Y107" s="282">
        <v>0</v>
      </c>
      <c r="Z107" s="280">
        <v>3</v>
      </c>
      <c r="AA107" s="281">
        <v>0</v>
      </c>
      <c r="AB107" s="282">
        <v>0</v>
      </c>
      <c r="AC107" s="281">
        <v>0</v>
      </c>
      <c r="AD107" s="282">
        <v>0</v>
      </c>
      <c r="AE107" s="280">
        <v>3</v>
      </c>
    </row>
    <row r="108" spans="2:31">
      <c r="B108" s="266"/>
      <c r="C108" s="268"/>
      <c r="D108" s="268"/>
      <c r="E108" s="298" t="s">
        <v>399</v>
      </c>
      <c r="F108" s="280">
        <v>208</v>
      </c>
      <c r="G108" s="281">
        <v>4</v>
      </c>
      <c r="H108" s="282">
        <v>0</v>
      </c>
      <c r="I108" s="281">
        <v>0</v>
      </c>
      <c r="J108" s="284">
        <v>0</v>
      </c>
      <c r="K108" s="280">
        <v>204</v>
      </c>
      <c r="L108" s="281">
        <v>0</v>
      </c>
      <c r="M108" s="282">
        <v>0</v>
      </c>
      <c r="N108" s="281">
        <v>0</v>
      </c>
      <c r="O108" s="284">
        <v>0</v>
      </c>
      <c r="P108" s="280">
        <v>204</v>
      </c>
      <c r="Q108" s="281">
        <v>2</v>
      </c>
      <c r="R108" s="282">
        <v>1</v>
      </c>
      <c r="S108" s="281">
        <v>1</v>
      </c>
      <c r="T108" s="284">
        <v>1</v>
      </c>
      <c r="U108" s="283">
        <v>203</v>
      </c>
      <c r="V108" s="281">
        <v>0</v>
      </c>
      <c r="W108" s="282">
        <v>16</v>
      </c>
      <c r="X108" s="281">
        <v>0</v>
      </c>
      <c r="Y108" s="282">
        <v>16</v>
      </c>
      <c r="Z108" s="280">
        <v>203</v>
      </c>
      <c r="AA108" s="281">
        <v>2</v>
      </c>
      <c r="AB108" s="282">
        <v>0</v>
      </c>
      <c r="AC108" s="281">
        <v>2</v>
      </c>
      <c r="AD108" s="282">
        <v>0</v>
      </c>
      <c r="AE108" s="280">
        <v>203</v>
      </c>
    </row>
    <row r="109" spans="2:31">
      <c r="B109" s="266"/>
      <c r="C109" s="268"/>
      <c r="D109" s="268"/>
      <c r="E109" s="268" t="s">
        <v>400</v>
      </c>
      <c r="F109" s="280">
        <v>190</v>
      </c>
      <c r="G109" s="281">
        <v>0</v>
      </c>
      <c r="H109" s="282">
        <v>0</v>
      </c>
      <c r="I109" s="281">
        <v>0</v>
      </c>
      <c r="J109" s="284">
        <v>0</v>
      </c>
      <c r="K109" s="280">
        <v>190</v>
      </c>
      <c r="L109" s="281">
        <v>0</v>
      </c>
      <c r="M109" s="282">
        <v>0</v>
      </c>
      <c r="N109" s="281">
        <v>0</v>
      </c>
      <c r="O109" s="284">
        <v>0</v>
      </c>
      <c r="P109" s="280">
        <v>190</v>
      </c>
      <c r="Q109" s="281">
        <v>0</v>
      </c>
      <c r="R109" s="282">
        <v>0</v>
      </c>
      <c r="S109" s="281">
        <v>0</v>
      </c>
      <c r="T109" s="284">
        <v>3</v>
      </c>
      <c r="U109" s="283">
        <v>193</v>
      </c>
      <c r="V109" s="281">
        <v>0</v>
      </c>
      <c r="W109" s="282">
        <v>0</v>
      </c>
      <c r="X109" s="281">
        <v>0</v>
      </c>
      <c r="Y109" s="282">
        <v>0</v>
      </c>
      <c r="Z109" s="280">
        <v>193</v>
      </c>
      <c r="AA109" s="281">
        <v>0</v>
      </c>
      <c r="AB109" s="282">
        <v>0</v>
      </c>
      <c r="AC109" s="281">
        <v>0</v>
      </c>
      <c r="AD109" s="282">
        <v>0</v>
      </c>
      <c r="AE109" s="280">
        <v>193</v>
      </c>
    </row>
    <row r="110" spans="2:31">
      <c r="B110" s="266"/>
      <c r="C110" s="268"/>
      <c r="D110" s="268"/>
      <c r="E110" s="298" t="s">
        <v>595</v>
      </c>
      <c r="F110" s="280">
        <v>78</v>
      </c>
      <c r="G110" s="281">
        <v>0</v>
      </c>
      <c r="H110" s="282">
        <v>0</v>
      </c>
      <c r="I110" s="281">
        <v>0</v>
      </c>
      <c r="J110" s="284">
        <v>1</v>
      </c>
      <c r="K110" s="280">
        <v>79</v>
      </c>
      <c r="L110" s="281">
        <v>0</v>
      </c>
      <c r="M110" s="282">
        <v>0</v>
      </c>
      <c r="N110" s="281">
        <v>0</v>
      </c>
      <c r="O110" s="284">
        <v>1</v>
      </c>
      <c r="P110" s="280">
        <v>80</v>
      </c>
      <c r="Q110" s="281">
        <v>0</v>
      </c>
      <c r="R110" s="282">
        <v>4</v>
      </c>
      <c r="S110" s="281">
        <v>1</v>
      </c>
      <c r="T110" s="284">
        <v>5</v>
      </c>
      <c r="U110" s="283">
        <v>82</v>
      </c>
      <c r="V110" s="281">
        <v>0</v>
      </c>
      <c r="W110" s="282">
        <v>3</v>
      </c>
      <c r="X110" s="281">
        <v>0</v>
      </c>
      <c r="Y110" s="282">
        <v>3</v>
      </c>
      <c r="Z110" s="280">
        <v>82</v>
      </c>
      <c r="AA110" s="281">
        <v>0</v>
      </c>
      <c r="AB110" s="282">
        <v>0</v>
      </c>
      <c r="AC110" s="281">
        <v>0</v>
      </c>
      <c r="AD110" s="282">
        <v>0</v>
      </c>
      <c r="AE110" s="280">
        <v>82</v>
      </c>
    </row>
    <row r="111" spans="2:31">
      <c r="B111" s="266"/>
      <c r="C111" s="268"/>
      <c r="D111" s="273"/>
      <c r="E111" s="268" t="s">
        <v>596</v>
      </c>
      <c r="F111" s="280">
        <v>42</v>
      </c>
      <c r="G111" s="281">
        <v>0</v>
      </c>
      <c r="H111" s="282">
        <v>0</v>
      </c>
      <c r="I111" s="281">
        <v>0</v>
      </c>
      <c r="J111" s="284">
        <v>0</v>
      </c>
      <c r="K111" s="280">
        <v>42</v>
      </c>
      <c r="L111" s="281">
        <v>0</v>
      </c>
      <c r="M111" s="282">
        <v>0</v>
      </c>
      <c r="N111" s="281">
        <v>0</v>
      </c>
      <c r="O111" s="284">
        <v>0</v>
      </c>
      <c r="P111" s="280">
        <v>42</v>
      </c>
      <c r="Q111" s="281">
        <v>0</v>
      </c>
      <c r="R111" s="282">
        <v>0</v>
      </c>
      <c r="S111" s="281">
        <v>0</v>
      </c>
      <c r="T111" s="284">
        <v>4</v>
      </c>
      <c r="U111" s="283">
        <v>46</v>
      </c>
      <c r="V111" s="281">
        <v>0</v>
      </c>
      <c r="W111" s="282">
        <v>0</v>
      </c>
      <c r="X111" s="281">
        <v>0</v>
      </c>
      <c r="Y111" s="282">
        <v>0</v>
      </c>
      <c r="Z111" s="280">
        <v>46</v>
      </c>
      <c r="AA111" s="281">
        <v>0</v>
      </c>
      <c r="AB111" s="282">
        <v>0</v>
      </c>
      <c r="AC111" s="281">
        <v>0</v>
      </c>
      <c r="AD111" s="282">
        <v>0</v>
      </c>
      <c r="AE111" s="280">
        <v>46</v>
      </c>
    </row>
    <row r="112" spans="2:31" ht="13.5" thickBot="1">
      <c r="B112" s="264"/>
      <c r="C112" s="265"/>
      <c r="D112" s="265"/>
      <c r="E112" s="265"/>
      <c r="F112" s="290"/>
      <c r="G112" s="291"/>
      <c r="H112" s="292"/>
      <c r="I112" s="291"/>
      <c r="J112" s="293"/>
      <c r="K112" s="294"/>
      <c r="L112" s="291"/>
      <c r="M112" s="292"/>
      <c r="N112" s="291"/>
      <c r="O112" s="293"/>
      <c r="P112" s="294"/>
      <c r="Q112" s="291"/>
      <c r="R112" s="292"/>
      <c r="S112" s="291"/>
      <c r="T112" s="293"/>
      <c r="U112" s="295"/>
      <c r="V112" s="291"/>
      <c r="W112" s="292"/>
      <c r="X112" s="291"/>
      <c r="Y112" s="292"/>
      <c r="Z112" s="294"/>
      <c r="AA112" s="291"/>
      <c r="AB112" s="292"/>
      <c r="AC112" s="291"/>
      <c r="AD112" s="292"/>
      <c r="AE112" s="294"/>
    </row>
    <row r="113" spans="2:31">
      <c r="B113" s="296"/>
      <c r="C113" s="297" t="s">
        <v>597</v>
      </c>
      <c r="D113" s="297"/>
      <c r="E113" s="298"/>
      <c r="F113" s="285"/>
      <c r="G113" s="286"/>
      <c r="H113" s="287"/>
      <c r="I113" s="286"/>
      <c r="J113" s="288"/>
      <c r="K113" s="285"/>
      <c r="L113" s="286"/>
      <c r="M113" s="287"/>
      <c r="N113" s="286"/>
      <c r="O113" s="288"/>
      <c r="P113" s="285"/>
      <c r="Q113" s="286"/>
      <c r="R113" s="287"/>
      <c r="S113" s="286"/>
      <c r="T113" s="288"/>
      <c r="U113" s="289"/>
      <c r="V113" s="286"/>
      <c r="W113" s="287"/>
      <c r="X113" s="286"/>
      <c r="Y113" s="287"/>
      <c r="Z113" s="285"/>
      <c r="AA113" s="286"/>
      <c r="AB113" s="287"/>
      <c r="AC113" s="286"/>
      <c r="AD113" s="287"/>
      <c r="AE113" s="285"/>
    </row>
    <row r="114" spans="2:31">
      <c r="B114" s="266"/>
      <c r="C114" s="268"/>
      <c r="D114" s="273" t="s">
        <v>584</v>
      </c>
      <c r="E114" s="268"/>
      <c r="F114" s="285"/>
      <c r="G114" s="286"/>
      <c r="H114" s="287"/>
      <c r="I114" s="286"/>
      <c r="J114" s="288"/>
      <c r="K114" s="285"/>
      <c r="L114" s="286"/>
      <c r="M114" s="287"/>
      <c r="N114" s="286"/>
      <c r="O114" s="288"/>
      <c r="P114" s="285"/>
      <c r="Q114" s="286"/>
      <c r="R114" s="287"/>
      <c r="S114" s="286"/>
      <c r="T114" s="288"/>
      <c r="U114" s="289"/>
      <c r="V114" s="286"/>
      <c r="W114" s="287"/>
      <c r="X114" s="286"/>
      <c r="Y114" s="287"/>
      <c r="Z114" s="285"/>
      <c r="AA114" s="286"/>
      <c r="AB114" s="287"/>
      <c r="AC114" s="286"/>
      <c r="AD114" s="287"/>
      <c r="AE114" s="285"/>
    </row>
    <row r="115" spans="2:31">
      <c r="B115" s="266"/>
      <c r="C115" s="268"/>
      <c r="D115" s="273"/>
      <c r="E115" s="268" t="s">
        <v>598</v>
      </c>
      <c r="F115" s="280">
        <v>0</v>
      </c>
      <c r="G115" s="281">
        <v>0</v>
      </c>
      <c r="H115" s="282">
        <v>0</v>
      </c>
      <c r="I115" s="281">
        <v>0</v>
      </c>
      <c r="J115" s="284">
        <v>0</v>
      </c>
      <c r="K115" s="280">
        <v>0</v>
      </c>
      <c r="L115" s="281">
        <v>0</v>
      </c>
      <c r="M115" s="282">
        <v>0</v>
      </c>
      <c r="N115" s="281">
        <v>0</v>
      </c>
      <c r="O115" s="284">
        <v>0</v>
      </c>
      <c r="P115" s="280">
        <v>0</v>
      </c>
      <c r="Q115" s="281">
        <v>0</v>
      </c>
      <c r="R115" s="282">
        <v>0</v>
      </c>
      <c r="S115" s="281">
        <v>0</v>
      </c>
      <c r="T115" s="284">
        <v>0</v>
      </c>
      <c r="U115" s="283">
        <v>0</v>
      </c>
      <c r="V115" s="281">
        <v>0</v>
      </c>
      <c r="W115" s="282">
        <v>0</v>
      </c>
      <c r="X115" s="281">
        <v>0</v>
      </c>
      <c r="Y115" s="282">
        <v>0</v>
      </c>
      <c r="Z115" s="280">
        <v>0</v>
      </c>
      <c r="AA115" s="281">
        <v>0</v>
      </c>
      <c r="AB115" s="282">
        <v>0</v>
      </c>
      <c r="AC115" s="281">
        <v>0</v>
      </c>
      <c r="AD115" s="282">
        <v>0</v>
      </c>
      <c r="AE115" s="280">
        <v>0</v>
      </c>
    </row>
    <row r="116" spans="2:31">
      <c r="B116" s="266"/>
      <c r="C116" s="268"/>
      <c r="D116" s="273"/>
      <c r="E116" s="268" t="s">
        <v>599</v>
      </c>
      <c r="F116" s="280">
        <v>1403</v>
      </c>
      <c r="G116" s="281">
        <v>11</v>
      </c>
      <c r="H116" s="282">
        <v>0</v>
      </c>
      <c r="I116" s="281">
        <v>0</v>
      </c>
      <c r="J116" s="284">
        <v>0</v>
      </c>
      <c r="K116" s="280">
        <v>1392</v>
      </c>
      <c r="L116" s="281">
        <v>0</v>
      </c>
      <c r="M116" s="282">
        <v>2</v>
      </c>
      <c r="N116" s="281">
        <v>0</v>
      </c>
      <c r="O116" s="284">
        <v>2</v>
      </c>
      <c r="P116" s="280">
        <v>1392</v>
      </c>
      <c r="Q116" s="281">
        <v>24</v>
      </c>
      <c r="R116" s="282">
        <v>0</v>
      </c>
      <c r="S116" s="281">
        <v>0</v>
      </c>
      <c r="T116" s="284">
        <v>0</v>
      </c>
      <c r="U116" s="283">
        <v>1368</v>
      </c>
      <c r="V116" s="281">
        <v>0</v>
      </c>
      <c r="W116" s="282">
        <v>200</v>
      </c>
      <c r="X116" s="281">
        <v>0</v>
      </c>
      <c r="Y116" s="282">
        <v>200</v>
      </c>
      <c r="Z116" s="280">
        <v>1368</v>
      </c>
      <c r="AA116" s="281">
        <v>0</v>
      </c>
      <c r="AB116" s="282">
        <v>46</v>
      </c>
      <c r="AC116" s="281">
        <v>0</v>
      </c>
      <c r="AD116" s="282">
        <v>46</v>
      </c>
      <c r="AE116" s="280">
        <v>1368</v>
      </c>
    </row>
    <row r="117" spans="2:31">
      <c r="B117" s="266"/>
      <c r="C117" s="268"/>
      <c r="D117" s="273"/>
      <c r="E117" s="298"/>
      <c r="F117" s="285"/>
      <c r="G117" s="286"/>
      <c r="H117" s="287"/>
      <c r="I117" s="286"/>
      <c r="J117" s="288"/>
      <c r="K117" s="285"/>
      <c r="L117" s="286"/>
      <c r="M117" s="287"/>
      <c r="N117" s="286"/>
      <c r="O117" s="288"/>
      <c r="P117" s="285"/>
      <c r="Q117" s="286"/>
      <c r="R117" s="287"/>
      <c r="S117" s="286"/>
      <c r="T117" s="288"/>
      <c r="U117" s="289"/>
      <c r="V117" s="286"/>
      <c r="W117" s="287"/>
      <c r="X117" s="286"/>
      <c r="Y117" s="287"/>
      <c r="Z117" s="285"/>
      <c r="AA117" s="286"/>
      <c r="AB117" s="287"/>
      <c r="AC117" s="286"/>
      <c r="AD117" s="287"/>
      <c r="AE117" s="285"/>
    </row>
    <row r="118" spans="2:31">
      <c r="B118" s="266"/>
      <c r="C118" s="268"/>
      <c r="D118" s="273" t="s">
        <v>745</v>
      </c>
      <c r="E118" s="268"/>
      <c r="F118" s="285"/>
      <c r="G118" s="286"/>
      <c r="H118" s="287"/>
      <c r="I118" s="286"/>
      <c r="J118" s="288"/>
      <c r="K118" s="285"/>
      <c r="L118" s="286"/>
      <c r="M118" s="287"/>
      <c r="N118" s="286"/>
      <c r="O118" s="288"/>
      <c r="P118" s="285"/>
      <c r="Q118" s="286"/>
      <c r="R118" s="287"/>
      <c r="S118" s="286"/>
      <c r="T118" s="288"/>
      <c r="U118" s="289"/>
      <c r="V118" s="286"/>
      <c r="W118" s="287"/>
      <c r="X118" s="286"/>
      <c r="Y118" s="287"/>
      <c r="Z118" s="285"/>
      <c r="AA118" s="286"/>
      <c r="AB118" s="287"/>
      <c r="AC118" s="286"/>
      <c r="AD118" s="287"/>
      <c r="AE118" s="285"/>
    </row>
    <row r="119" spans="2:31">
      <c r="B119" s="266"/>
      <c r="C119" s="268"/>
      <c r="D119" s="273"/>
      <c r="E119" s="268" t="s">
        <v>600</v>
      </c>
      <c r="F119" s="280">
        <v>843</v>
      </c>
      <c r="G119" s="281">
        <v>0</v>
      </c>
      <c r="H119" s="282">
        <v>0</v>
      </c>
      <c r="I119" s="281">
        <v>0</v>
      </c>
      <c r="J119" s="284">
        <v>0</v>
      </c>
      <c r="K119" s="280">
        <v>843</v>
      </c>
      <c r="L119" s="281">
        <v>0</v>
      </c>
      <c r="M119" s="282">
        <v>0</v>
      </c>
      <c r="N119" s="281">
        <v>0</v>
      </c>
      <c r="O119" s="284">
        <v>0</v>
      </c>
      <c r="P119" s="280">
        <v>843</v>
      </c>
      <c r="Q119" s="281">
        <v>0</v>
      </c>
      <c r="R119" s="282">
        <v>0</v>
      </c>
      <c r="S119" s="281">
        <v>0</v>
      </c>
      <c r="T119" s="284">
        <v>0</v>
      </c>
      <c r="U119" s="283">
        <v>843</v>
      </c>
      <c r="V119" s="281">
        <v>0</v>
      </c>
      <c r="W119" s="282">
        <v>0</v>
      </c>
      <c r="X119" s="281">
        <v>0</v>
      </c>
      <c r="Y119" s="282">
        <v>0</v>
      </c>
      <c r="Z119" s="280">
        <v>843</v>
      </c>
      <c r="AA119" s="281">
        <v>0</v>
      </c>
      <c r="AB119" s="282">
        <v>0</v>
      </c>
      <c r="AC119" s="281">
        <v>0</v>
      </c>
      <c r="AD119" s="282">
        <v>0</v>
      </c>
      <c r="AE119" s="280">
        <v>843</v>
      </c>
    </row>
    <row r="120" spans="2:31">
      <c r="B120" s="266"/>
      <c r="C120" s="268"/>
      <c r="D120" s="273"/>
      <c r="E120" s="268" t="s">
        <v>601</v>
      </c>
      <c r="F120" s="280">
        <v>2799</v>
      </c>
      <c r="G120" s="281">
        <v>23</v>
      </c>
      <c r="H120" s="282">
        <v>0</v>
      </c>
      <c r="I120" s="281">
        <v>0</v>
      </c>
      <c r="J120" s="284">
        <v>0</v>
      </c>
      <c r="K120" s="280">
        <v>2776</v>
      </c>
      <c r="L120" s="281">
        <v>0</v>
      </c>
      <c r="M120" s="282">
        <v>0</v>
      </c>
      <c r="N120" s="281">
        <v>0</v>
      </c>
      <c r="O120" s="284">
        <v>0</v>
      </c>
      <c r="P120" s="280">
        <v>2776</v>
      </c>
      <c r="Q120" s="281">
        <v>0</v>
      </c>
      <c r="R120" s="282">
        <v>0</v>
      </c>
      <c r="S120" s="281">
        <v>0</v>
      </c>
      <c r="T120" s="284">
        <v>0</v>
      </c>
      <c r="U120" s="283">
        <v>2776</v>
      </c>
      <c r="V120" s="281">
        <v>0</v>
      </c>
      <c r="W120" s="282">
        <v>50</v>
      </c>
      <c r="X120" s="281">
        <v>0</v>
      </c>
      <c r="Y120" s="282">
        <v>50</v>
      </c>
      <c r="Z120" s="280">
        <v>2776</v>
      </c>
      <c r="AA120" s="281">
        <v>0</v>
      </c>
      <c r="AB120" s="282">
        <v>9</v>
      </c>
      <c r="AC120" s="281">
        <v>0</v>
      </c>
      <c r="AD120" s="282">
        <v>9</v>
      </c>
      <c r="AE120" s="280">
        <v>2776</v>
      </c>
    </row>
    <row r="121" spans="2:31">
      <c r="B121" s="266"/>
      <c r="C121" s="268"/>
      <c r="D121" s="273"/>
      <c r="E121" s="298" t="s">
        <v>442</v>
      </c>
      <c r="F121" s="280">
        <v>4787</v>
      </c>
      <c r="G121" s="281">
        <v>0</v>
      </c>
      <c r="H121" s="282">
        <v>0</v>
      </c>
      <c r="I121" s="281">
        <v>0</v>
      </c>
      <c r="J121" s="284">
        <v>0</v>
      </c>
      <c r="K121" s="280">
        <v>4787</v>
      </c>
      <c r="L121" s="281">
        <v>0</v>
      </c>
      <c r="M121" s="282">
        <v>0</v>
      </c>
      <c r="N121" s="281">
        <v>0</v>
      </c>
      <c r="O121" s="284">
        <v>0</v>
      </c>
      <c r="P121" s="280">
        <v>4787</v>
      </c>
      <c r="Q121" s="281">
        <v>0</v>
      </c>
      <c r="R121" s="282">
        <v>0</v>
      </c>
      <c r="S121" s="281">
        <v>0</v>
      </c>
      <c r="T121" s="284">
        <v>0</v>
      </c>
      <c r="U121" s="283">
        <v>4787</v>
      </c>
      <c r="V121" s="281">
        <v>0</v>
      </c>
      <c r="W121" s="282">
        <v>70</v>
      </c>
      <c r="X121" s="281">
        <v>0</v>
      </c>
      <c r="Y121" s="282">
        <v>70</v>
      </c>
      <c r="Z121" s="280">
        <v>4787</v>
      </c>
      <c r="AA121" s="281">
        <v>0</v>
      </c>
      <c r="AB121" s="282">
        <v>19</v>
      </c>
      <c r="AC121" s="281">
        <v>0</v>
      </c>
      <c r="AD121" s="282">
        <v>19</v>
      </c>
      <c r="AE121" s="280">
        <v>4787</v>
      </c>
    </row>
    <row r="122" spans="2:31">
      <c r="B122" s="266"/>
      <c r="C122" s="268"/>
      <c r="D122" s="268"/>
      <c r="E122" s="268"/>
      <c r="F122" s="285"/>
      <c r="G122" s="286"/>
      <c r="H122" s="287"/>
      <c r="I122" s="286"/>
      <c r="J122" s="288"/>
      <c r="K122" s="285"/>
      <c r="L122" s="286"/>
      <c r="M122" s="287"/>
      <c r="N122" s="286"/>
      <c r="O122" s="288"/>
      <c r="P122" s="285"/>
      <c r="Q122" s="286"/>
      <c r="R122" s="287"/>
      <c r="S122" s="286"/>
      <c r="T122" s="288"/>
      <c r="U122" s="289"/>
      <c r="V122" s="286"/>
      <c r="W122" s="287"/>
      <c r="X122" s="286"/>
      <c r="Y122" s="287"/>
      <c r="Z122" s="285"/>
      <c r="AA122" s="286"/>
      <c r="AB122" s="287"/>
      <c r="AC122" s="286"/>
      <c r="AD122" s="287"/>
      <c r="AE122" s="285"/>
    </row>
    <row r="123" spans="2:31">
      <c r="B123" s="266"/>
      <c r="C123" s="268"/>
      <c r="D123" s="273" t="s">
        <v>769</v>
      </c>
      <c r="E123" s="268"/>
      <c r="F123" s="285"/>
      <c r="G123" s="286"/>
      <c r="H123" s="287"/>
      <c r="I123" s="286"/>
      <c r="J123" s="288"/>
      <c r="K123" s="285"/>
      <c r="L123" s="286"/>
      <c r="M123" s="287"/>
      <c r="N123" s="286"/>
      <c r="O123" s="288"/>
      <c r="P123" s="285"/>
      <c r="Q123" s="286"/>
      <c r="R123" s="287"/>
      <c r="S123" s="286"/>
      <c r="T123" s="288"/>
      <c r="U123" s="289"/>
      <c r="V123" s="286"/>
      <c r="W123" s="287"/>
      <c r="X123" s="286"/>
      <c r="Y123" s="287"/>
      <c r="Z123" s="285"/>
      <c r="AA123" s="286"/>
      <c r="AB123" s="287"/>
      <c r="AC123" s="286"/>
      <c r="AD123" s="287"/>
      <c r="AE123" s="285"/>
    </row>
    <row r="124" spans="2:31">
      <c r="B124" s="266"/>
      <c r="C124" s="268"/>
      <c r="D124" s="268"/>
      <c r="E124" s="268" t="s">
        <v>710</v>
      </c>
      <c r="F124" s="280">
        <v>35</v>
      </c>
      <c r="G124" s="281">
        <v>0</v>
      </c>
      <c r="H124" s="282">
        <v>0</v>
      </c>
      <c r="I124" s="281">
        <v>0</v>
      </c>
      <c r="J124" s="284">
        <v>0</v>
      </c>
      <c r="K124" s="280">
        <v>35</v>
      </c>
      <c r="L124" s="281">
        <v>0</v>
      </c>
      <c r="M124" s="282">
        <v>0</v>
      </c>
      <c r="N124" s="281">
        <v>1</v>
      </c>
      <c r="O124" s="284">
        <v>0</v>
      </c>
      <c r="P124" s="280">
        <v>36</v>
      </c>
      <c r="Q124" s="281">
        <v>0</v>
      </c>
      <c r="R124" s="282">
        <v>0</v>
      </c>
      <c r="S124" s="281">
        <v>0</v>
      </c>
      <c r="T124" s="284">
        <v>0</v>
      </c>
      <c r="U124" s="283">
        <v>36</v>
      </c>
      <c r="V124" s="281">
        <v>0</v>
      </c>
      <c r="W124" s="282">
        <v>0</v>
      </c>
      <c r="X124" s="281">
        <v>7</v>
      </c>
      <c r="Y124" s="282">
        <v>0</v>
      </c>
      <c r="Z124" s="280">
        <v>43</v>
      </c>
      <c r="AA124" s="281">
        <v>0</v>
      </c>
      <c r="AB124" s="282">
        <v>0</v>
      </c>
      <c r="AC124" s="281">
        <v>0</v>
      </c>
      <c r="AD124" s="282">
        <v>0</v>
      </c>
      <c r="AE124" s="280">
        <v>43</v>
      </c>
    </row>
    <row r="125" spans="2:31">
      <c r="B125" s="266"/>
      <c r="C125" s="268"/>
      <c r="D125" s="268"/>
      <c r="E125" s="268" t="s">
        <v>709</v>
      </c>
      <c r="F125" s="280">
        <v>256</v>
      </c>
      <c r="G125" s="281">
        <v>0</v>
      </c>
      <c r="H125" s="282">
        <v>0</v>
      </c>
      <c r="I125" s="281">
        <v>0</v>
      </c>
      <c r="J125" s="284">
        <v>0</v>
      </c>
      <c r="K125" s="280">
        <v>256</v>
      </c>
      <c r="L125" s="281">
        <v>0</v>
      </c>
      <c r="M125" s="282">
        <v>0</v>
      </c>
      <c r="N125" s="281">
        <v>0</v>
      </c>
      <c r="O125" s="284">
        <v>0</v>
      </c>
      <c r="P125" s="280">
        <v>256</v>
      </c>
      <c r="Q125" s="281">
        <v>5</v>
      </c>
      <c r="R125" s="282">
        <v>0</v>
      </c>
      <c r="S125" s="281">
        <v>0</v>
      </c>
      <c r="T125" s="284">
        <v>0</v>
      </c>
      <c r="U125" s="283">
        <v>251</v>
      </c>
      <c r="V125" s="281">
        <v>0</v>
      </c>
      <c r="W125" s="282">
        <v>0</v>
      </c>
      <c r="X125" s="281">
        <v>0</v>
      </c>
      <c r="Y125" s="282">
        <v>0</v>
      </c>
      <c r="Z125" s="280">
        <v>251</v>
      </c>
      <c r="AA125" s="281">
        <v>0</v>
      </c>
      <c r="AB125" s="282">
        <v>0</v>
      </c>
      <c r="AC125" s="281">
        <v>0</v>
      </c>
      <c r="AD125" s="282">
        <v>0</v>
      </c>
      <c r="AE125" s="280">
        <v>251</v>
      </c>
    </row>
    <row r="126" spans="2:31">
      <c r="B126" s="266"/>
      <c r="C126" s="268"/>
      <c r="D126" s="268"/>
      <c r="E126" s="268" t="s">
        <v>673</v>
      </c>
      <c r="F126" s="280">
        <v>16</v>
      </c>
      <c r="G126" s="281">
        <v>0</v>
      </c>
      <c r="H126" s="282">
        <v>0</v>
      </c>
      <c r="I126" s="281">
        <v>0</v>
      </c>
      <c r="J126" s="284">
        <v>0</v>
      </c>
      <c r="K126" s="280">
        <v>16</v>
      </c>
      <c r="L126" s="281">
        <v>0</v>
      </c>
      <c r="M126" s="282">
        <v>0</v>
      </c>
      <c r="N126" s="281">
        <v>0</v>
      </c>
      <c r="O126" s="284">
        <v>0</v>
      </c>
      <c r="P126" s="280">
        <v>16</v>
      </c>
      <c r="Q126" s="281">
        <v>0</v>
      </c>
      <c r="R126" s="282">
        <v>0</v>
      </c>
      <c r="S126" s="281">
        <v>0</v>
      </c>
      <c r="T126" s="284">
        <v>0</v>
      </c>
      <c r="U126" s="283">
        <v>16</v>
      </c>
      <c r="V126" s="281">
        <v>0</v>
      </c>
      <c r="W126" s="282">
        <v>0</v>
      </c>
      <c r="X126" s="281">
        <v>0</v>
      </c>
      <c r="Y126" s="282">
        <v>0</v>
      </c>
      <c r="Z126" s="280">
        <v>16</v>
      </c>
      <c r="AA126" s="281">
        <v>0</v>
      </c>
      <c r="AB126" s="282">
        <v>0</v>
      </c>
      <c r="AC126" s="281">
        <v>0</v>
      </c>
      <c r="AD126" s="282">
        <v>0</v>
      </c>
      <c r="AE126" s="280">
        <v>16</v>
      </c>
    </row>
    <row r="127" spans="2:31">
      <c r="B127" s="266"/>
      <c r="C127" s="268"/>
      <c r="D127" s="268"/>
      <c r="E127" s="268"/>
      <c r="F127" s="285"/>
      <c r="G127" s="286"/>
      <c r="H127" s="287"/>
      <c r="I127" s="286"/>
      <c r="J127" s="288"/>
      <c r="K127" s="285"/>
      <c r="L127" s="286"/>
      <c r="M127" s="287"/>
      <c r="N127" s="286"/>
      <c r="O127" s="288"/>
      <c r="P127" s="285"/>
      <c r="Q127" s="286"/>
      <c r="R127" s="287"/>
      <c r="S127" s="286"/>
      <c r="T127" s="288"/>
      <c r="U127" s="289"/>
      <c r="V127" s="286"/>
      <c r="W127" s="287"/>
      <c r="X127" s="286"/>
      <c r="Y127" s="287"/>
      <c r="Z127" s="285"/>
      <c r="AA127" s="286"/>
      <c r="AB127" s="287"/>
      <c r="AC127" s="286"/>
      <c r="AD127" s="287"/>
      <c r="AE127" s="285"/>
    </row>
    <row r="128" spans="2:31">
      <c r="B128" s="266"/>
      <c r="C128" s="268"/>
      <c r="D128" s="273" t="s">
        <v>68</v>
      </c>
      <c r="E128" s="268"/>
      <c r="F128" s="285"/>
      <c r="G128" s="286"/>
      <c r="H128" s="287"/>
      <c r="I128" s="286"/>
      <c r="J128" s="288"/>
      <c r="K128" s="285"/>
      <c r="L128" s="286"/>
      <c r="M128" s="287"/>
      <c r="N128" s="286"/>
      <c r="O128" s="288"/>
      <c r="P128" s="285"/>
      <c r="Q128" s="286"/>
      <c r="R128" s="287"/>
      <c r="S128" s="286"/>
      <c r="T128" s="288"/>
      <c r="U128" s="289"/>
      <c r="V128" s="286"/>
      <c r="W128" s="287"/>
      <c r="X128" s="286"/>
      <c r="Y128" s="287"/>
      <c r="Z128" s="285"/>
      <c r="AA128" s="286"/>
      <c r="AB128" s="287"/>
      <c r="AC128" s="286"/>
      <c r="AD128" s="287"/>
      <c r="AE128" s="285"/>
    </row>
    <row r="129" spans="2:31">
      <c r="B129" s="266"/>
      <c r="C129" s="268"/>
      <c r="D129" s="268"/>
      <c r="E129" s="298" t="s">
        <v>674</v>
      </c>
      <c r="F129" s="280">
        <v>0</v>
      </c>
      <c r="G129" s="281">
        <v>0</v>
      </c>
      <c r="H129" s="282">
        <v>0</v>
      </c>
      <c r="I129" s="281">
        <v>0</v>
      </c>
      <c r="J129" s="284">
        <v>0</v>
      </c>
      <c r="K129" s="280">
        <v>0</v>
      </c>
      <c r="L129" s="281">
        <v>0</v>
      </c>
      <c r="M129" s="282">
        <v>0</v>
      </c>
      <c r="N129" s="281">
        <v>0</v>
      </c>
      <c r="O129" s="284">
        <v>0</v>
      </c>
      <c r="P129" s="280">
        <v>0</v>
      </c>
      <c r="Q129" s="281">
        <v>0</v>
      </c>
      <c r="R129" s="282">
        <v>0</v>
      </c>
      <c r="S129" s="281">
        <v>0</v>
      </c>
      <c r="T129" s="284">
        <v>0</v>
      </c>
      <c r="U129" s="283">
        <v>0</v>
      </c>
      <c r="V129" s="281" t="s">
        <v>1021</v>
      </c>
      <c r="W129" s="282">
        <v>0</v>
      </c>
      <c r="X129" s="281" t="s">
        <v>1021</v>
      </c>
      <c r="Y129" s="282">
        <v>0</v>
      </c>
      <c r="Z129" s="280">
        <v>0</v>
      </c>
      <c r="AA129" s="281" t="s">
        <v>1021</v>
      </c>
      <c r="AB129" s="282">
        <v>0</v>
      </c>
      <c r="AC129" s="281" t="s">
        <v>1021</v>
      </c>
      <c r="AD129" s="282">
        <v>0</v>
      </c>
      <c r="AE129" s="280">
        <v>0</v>
      </c>
    </row>
    <row r="130" spans="2:31">
      <c r="B130" s="266"/>
      <c r="C130" s="268"/>
      <c r="D130" s="268"/>
      <c r="E130" s="268"/>
      <c r="F130" s="285"/>
      <c r="G130" s="286"/>
      <c r="H130" s="287"/>
      <c r="I130" s="286"/>
      <c r="J130" s="288"/>
      <c r="K130" s="285"/>
      <c r="L130" s="286"/>
      <c r="M130" s="287"/>
      <c r="N130" s="286"/>
      <c r="O130" s="288"/>
      <c r="P130" s="285"/>
      <c r="Q130" s="286"/>
      <c r="R130" s="287"/>
      <c r="S130" s="286"/>
      <c r="T130" s="288"/>
      <c r="U130" s="289"/>
      <c r="V130" s="286"/>
      <c r="W130" s="287"/>
      <c r="X130" s="286"/>
      <c r="Y130" s="287"/>
      <c r="Z130" s="285"/>
      <c r="AA130" s="286"/>
      <c r="AB130" s="287"/>
      <c r="AC130" s="286"/>
      <c r="AD130" s="287"/>
      <c r="AE130" s="285"/>
    </row>
    <row r="131" spans="2:31">
      <c r="B131" s="266"/>
      <c r="C131" s="268"/>
      <c r="D131" s="273" t="s">
        <v>637</v>
      </c>
      <c r="E131" s="268"/>
      <c r="F131" s="285"/>
      <c r="G131" s="286"/>
      <c r="H131" s="287"/>
      <c r="I131" s="286"/>
      <c r="J131" s="288"/>
      <c r="K131" s="285"/>
      <c r="L131" s="286"/>
      <c r="M131" s="287"/>
      <c r="N131" s="286"/>
      <c r="O131" s="288"/>
      <c r="P131" s="285"/>
      <c r="Q131" s="286"/>
      <c r="R131" s="287"/>
      <c r="S131" s="286"/>
      <c r="T131" s="288"/>
      <c r="U131" s="289"/>
      <c r="V131" s="286"/>
      <c r="W131" s="287"/>
      <c r="X131" s="286"/>
      <c r="Y131" s="287"/>
      <c r="Z131" s="285"/>
      <c r="AA131" s="286"/>
      <c r="AB131" s="287"/>
      <c r="AC131" s="286"/>
      <c r="AD131" s="287"/>
      <c r="AE131" s="285"/>
    </row>
    <row r="132" spans="2:31">
      <c r="B132" s="266"/>
      <c r="C132" s="268"/>
      <c r="D132" s="268"/>
      <c r="E132" s="268" t="s">
        <v>675</v>
      </c>
      <c r="F132" s="280">
        <v>319</v>
      </c>
      <c r="G132" s="281">
        <v>10</v>
      </c>
      <c r="H132" s="282">
        <v>0</v>
      </c>
      <c r="I132" s="281">
        <v>3</v>
      </c>
      <c r="J132" s="284">
        <v>0</v>
      </c>
      <c r="K132" s="280">
        <v>312</v>
      </c>
      <c r="L132" s="281">
        <v>19</v>
      </c>
      <c r="M132" s="282">
        <v>0</v>
      </c>
      <c r="N132" s="281">
        <v>2</v>
      </c>
      <c r="O132" s="284">
        <v>0</v>
      </c>
      <c r="P132" s="280">
        <v>295</v>
      </c>
      <c r="Q132" s="281">
        <v>0</v>
      </c>
      <c r="R132" s="282">
        <v>0</v>
      </c>
      <c r="S132" s="281">
        <v>0</v>
      </c>
      <c r="T132" s="284">
        <v>0</v>
      </c>
      <c r="U132" s="283">
        <v>295</v>
      </c>
      <c r="V132" s="281">
        <v>0</v>
      </c>
      <c r="W132" s="282">
        <v>0</v>
      </c>
      <c r="X132" s="281">
        <v>0</v>
      </c>
      <c r="Y132" s="282">
        <v>0</v>
      </c>
      <c r="Z132" s="280">
        <v>295</v>
      </c>
      <c r="AA132" s="281">
        <v>0</v>
      </c>
      <c r="AB132" s="282">
        <v>0</v>
      </c>
      <c r="AC132" s="281">
        <v>0</v>
      </c>
      <c r="AD132" s="282">
        <v>0</v>
      </c>
      <c r="AE132" s="280">
        <v>295</v>
      </c>
    </row>
    <row r="133" spans="2:31">
      <c r="B133" s="266"/>
      <c r="C133" s="268"/>
      <c r="D133" s="268"/>
      <c r="E133" s="268" t="s">
        <v>676</v>
      </c>
      <c r="F133" s="280">
        <v>1690</v>
      </c>
      <c r="G133" s="281">
        <v>0</v>
      </c>
      <c r="H133" s="282">
        <v>0</v>
      </c>
      <c r="I133" s="281">
        <v>0</v>
      </c>
      <c r="J133" s="284">
        <v>0</v>
      </c>
      <c r="K133" s="280">
        <v>1690</v>
      </c>
      <c r="L133" s="281">
        <v>0</v>
      </c>
      <c r="M133" s="282">
        <v>0</v>
      </c>
      <c r="N133" s="281">
        <v>0</v>
      </c>
      <c r="O133" s="284">
        <v>0</v>
      </c>
      <c r="P133" s="280">
        <v>1690</v>
      </c>
      <c r="Q133" s="281">
        <v>0</v>
      </c>
      <c r="R133" s="282">
        <v>0</v>
      </c>
      <c r="S133" s="281">
        <v>0</v>
      </c>
      <c r="T133" s="284">
        <v>14</v>
      </c>
      <c r="U133" s="283">
        <v>1704</v>
      </c>
      <c r="V133" s="281">
        <v>0</v>
      </c>
      <c r="W133" s="282">
        <v>25</v>
      </c>
      <c r="X133" s="281">
        <v>0</v>
      </c>
      <c r="Y133" s="282">
        <v>25</v>
      </c>
      <c r="Z133" s="280">
        <v>1704</v>
      </c>
      <c r="AA133" s="281">
        <v>0</v>
      </c>
      <c r="AB133" s="282">
        <v>2</v>
      </c>
      <c r="AC133" s="281">
        <v>0</v>
      </c>
      <c r="AD133" s="282">
        <v>2</v>
      </c>
      <c r="AE133" s="280">
        <v>1704</v>
      </c>
    </row>
    <row r="134" spans="2:31">
      <c r="B134" s="266"/>
      <c r="C134" s="268"/>
      <c r="D134" s="268"/>
      <c r="E134" s="268"/>
      <c r="F134" s="285"/>
      <c r="G134" s="286"/>
      <c r="H134" s="287"/>
      <c r="I134" s="286"/>
      <c r="J134" s="288"/>
      <c r="K134" s="285"/>
      <c r="L134" s="286"/>
      <c r="M134" s="287"/>
      <c r="N134" s="286"/>
      <c r="O134" s="288"/>
      <c r="P134" s="285"/>
      <c r="Q134" s="286"/>
      <c r="R134" s="287"/>
      <c r="S134" s="286"/>
      <c r="T134" s="288"/>
      <c r="U134" s="289"/>
      <c r="V134" s="286"/>
      <c r="W134" s="287"/>
      <c r="X134" s="286"/>
      <c r="Y134" s="287"/>
      <c r="Z134" s="285"/>
      <c r="AA134" s="286"/>
      <c r="AB134" s="287"/>
      <c r="AC134" s="286"/>
      <c r="AD134" s="287"/>
      <c r="AE134" s="285"/>
    </row>
    <row r="135" spans="2:31">
      <c r="B135" s="266"/>
      <c r="C135" s="268"/>
      <c r="D135" s="273" t="s">
        <v>512</v>
      </c>
      <c r="E135" s="268"/>
      <c r="F135" s="285"/>
      <c r="G135" s="286"/>
      <c r="H135" s="287"/>
      <c r="I135" s="286"/>
      <c r="J135" s="288"/>
      <c r="K135" s="285"/>
      <c r="L135" s="286"/>
      <c r="M135" s="287"/>
      <c r="N135" s="286"/>
      <c r="O135" s="288"/>
      <c r="P135" s="285"/>
      <c r="Q135" s="286"/>
      <c r="R135" s="287"/>
      <c r="S135" s="286"/>
      <c r="T135" s="288"/>
      <c r="U135" s="289"/>
      <c r="V135" s="286"/>
      <c r="W135" s="287"/>
      <c r="X135" s="286"/>
      <c r="Y135" s="287"/>
      <c r="Z135" s="285"/>
      <c r="AA135" s="286"/>
      <c r="AB135" s="287"/>
      <c r="AC135" s="286"/>
      <c r="AD135" s="287"/>
      <c r="AE135" s="285"/>
    </row>
    <row r="136" spans="2:31">
      <c r="B136" s="266"/>
      <c r="C136" s="268"/>
      <c r="D136" s="268"/>
      <c r="E136" s="298" t="s">
        <v>677</v>
      </c>
      <c r="F136" s="280">
        <v>230</v>
      </c>
      <c r="G136" s="281">
        <v>0</v>
      </c>
      <c r="H136" s="282">
        <v>0</v>
      </c>
      <c r="I136" s="281">
        <v>4</v>
      </c>
      <c r="J136" s="284">
        <v>0</v>
      </c>
      <c r="K136" s="280">
        <v>234</v>
      </c>
      <c r="L136" s="281">
        <v>0</v>
      </c>
      <c r="M136" s="282">
        <v>2</v>
      </c>
      <c r="N136" s="281">
        <v>3</v>
      </c>
      <c r="O136" s="284">
        <v>3</v>
      </c>
      <c r="P136" s="280">
        <v>238</v>
      </c>
      <c r="Q136" s="281">
        <v>0</v>
      </c>
      <c r="R136" s="282">
        <v>2</v>
      </c>
      <c r="S136" s="281">
        <v>1</v>
      </c>
      <c r="T136" s="284">
        <v>3</v>
      </c>
      <c r="U136" s="283">
        <v>240</v>
      </c>
      <c r="V136" s="281">
        <v>4</v>
      </c>
      <c r="W136" s="282">
        <v>6</v>
      </c>
      <c r="X136" s="281">
        <v>7</v>
      </c>
      <c r="Y136" s="282">
        <v>6</v>
      </c>
      <c r="Z136" s="280">
        <v>243</v>
      </c>
      <c r="AA136" s="281">
        <v>0</v>
      </c>
      <c r="AB136" s="282">
        <v>0</v>
      </c>
      <c r="AC136" s="281">
        <v>0</v>
      </c>
      <c r="AD136" s="282">
        <v>6</v>
      </c>
      <c r="AE136" s="280">
        <v>249</v>
      </c>
    </row>
    <row r="137" spans="2:31">
      <c r="B137" s="266"/>
      <c r="C137" s="268"/>
      <c r="D137" s="268"/>
      <c r="E137" s="298" t="s">
        <v>678</v>
      </c>
      <c r="F137" s="280">
        <v>354</v>
      </c>
      <c r="G137" s="281">
        <v>0</v>
      </c>
      <c r="H137" s="282">
        <v>0</v>
      </c>
      <c r="I137" s="281">
        <v>0</v>
      </c>
      <c r="J137" s="284">
        <v>0</v>
      </c>
      <c r="K137" s="280">
        <v>354</v>
      </c>
      <c r="L137" s="281">
        <v>0</v>
      </c>
      <c r="M137" s="282">
        <v>0</v>
      </c>
      <c r="N137" s="281">
        <v>0</v>
      </c>
      <c r="O137" s="284">
        <v>0</v>
      </c>
      <c r="P137" s="280">
        <v>354</v>
      </c>
      <c r="Q137" s="281">
        <v>0</v>
      </c>
      <c r="R137" s="282">
        <v>0</v>
      </c>
      <c r="S137" s="281">
        <v>0</v>
      </c>
      <c r="T137" s="284">
        <v>2</v>
      </c>
      <c r="U137" s="283">
        <v>356</v>
      </c>
      <c r="V137" s="281">
        <v>2</v>
      </c>
      <c r="W137" s="282">
        <v>0</v>
      </c>
      <c r="X137" s="281">
        <v>2</v>
      </c>
      <c r="Y137" s="282">
        <v>0</v>
      </c>
      <c r="Z137" s="280">
        <v>356</v>
      </c>
      <c r="AA137" s="281">
        <v>0</v>
      </c>
      <c r="AB137" s="282">
        <v>0</v>
      </c>
      <c r="AC137" s="281">
        <v>0</v>
      </c>
      <c r="AD137" s="282">
        <v>0</v>
      </c>
      <c r="AE137" s="280">
        <v>356</v>
      </c>
    </row>
    <row r="138" spans="2:31" ht="13.5" thickBot="1">
      <c r="B138" s="264"/>
      <c r="C138" s="265"/>
      <c r="D138" s="265"/>
      <c r="E138" s="265"/>
      <c r="F138" s="290"/>
      <c r="G138" s="291"/>
      <c r="H138" s="292"/>
      <c r="I138" s="291"/>
      <c r="J138" s="293"/>
      <c r="K138" s="294"/>
      <c r="L138" s="291"/>
      <c r="M138" s="292"/>
      <c r="N138" s="291"/>
      <c r="O138" s="293"/>
      <c r="P138" s="294"/>
      <c r="Q138" s="291"/>
      <c r="R138" s="292"/>
      <c r="S138" s="291"/>
      <c r="T138" s="293"/>
      <c r="U138" s="295"/>
      <c r="V138" s="291"/>
      <c r="W138" s="292"/>
      <c r="X138" s="291"/>
      <c r="Y138" s="292"/>
      <c r="Z138" s="294"/>
      <c r="AA138" s="291"/>
      <c r="AB138" s="292"/>
      <c r="AC138" s="291"/>
      <c r="AD138" s="292"/>
      <c r="AE138" s="294"/>
    </row>
    <row r="139" spans="2:31">
      <c r="B139" s="296"/>
      <c r="C139" s="297" t="s">
        <v>683</v>
      </c>
      <c r="D139" s="297"/>
      <c r="E139" s="298"/>
      <c r="F139" s="285"/>
      <c r="G139" s="286"/>
      <c r="H139" s="287"/>
      <c r="I139" s="286"/>
      <c r="J139" s="288"/>
      <c r="K139" s="285"/>
      <c r="L139" s="286"/>
      <c r="M139" s="287"/>
      <c r="N139" s="286"/>
      <c r="O139" s="288"/>
      <c r="P139" s="285"/>
      <c r="Q139" s="286"/>
      <c r="R139" s="287"/>
      <c r="S139" s="286"/>
      <c r="T139" s="288"/>
      <c r="U139" s="289"/>
      <c r="V139" s="286"/>
      <c r="W139" s="287"/>
      <c r="X139" s="286"/>
      <c r="Y139" s="287"/>
      <c r="Z139" s="285"/>
      <c r="AA139" s="286"/>
      <c r="AB139" s="287"/>
      <c r="AC139" s="286"/>
      <c r="AD139" s="287"/>
      <c r="AE139" s="285"/>
    </row>
    <row r="140" spans="2:31">
      <c r="B140" s="266"/>
      <c r="C140" s="268"/>
      <c r="D140" s="273" t="s">
        <v>684</v>
      </c>
      <c r="E140" s="268"/>
      <c r="F140" s="285"/>
      <c r="G140" s="286"/>
      <c r="H140" s="287"/>
      <c r="I140" s="286"/>
      <c r="J140" s="288"/>
      <c r="K140" s="285"/>
      <c r="L140" s="286"/>
      <c r="M140" s="287"/>
      <c r="N140" s="286"/>
      <c r="O140" s="288"/>
      <c r="P140" s="285"/>
      <c r="Q140" s="286"/>
      <c r="R140" s="287"/>
      <c r="S140" s="286"/>
      <c r="T140" s="288"/>
      <c r="U140" s="289"/>
      <c r="V140" s="286"/>
      <c r="W140" s="287"/>
      <c r="X140" s="286"/>
      <c r="Y140" s="287"/>
      <c r="Z140" s="285"/>
      <c r="AA140" s="286"/>
      <c r="AB140" s="287"/>
      <c r="AC140" s="286"/>
      <c r="AD140" s="287"/>
      <c r="AE140" s="285"/>
    </row>
    <row r="141" spans="2:31">
      <c r="B141" s="266"/>
      <c r="C141" s="268"/>
      <c r="D141" s="268"/>
      <c r="E141" s="298" t="s">
        <v>685</v>
      </c>
      <c r="F141" s="280">
        <v>2</v>
      </c>
      <c r="G141" s="281">
        <v>0</v>
      </c>
      <c r="H141" s="282">
        <v>0</v>
      </c>
      <c r="I141" s="281">
        <v>0</v>
      </c>
      <c r="J141" s="284">
        <v>0</v>
      </c>
      <c r="K141" s="280">
        <v>2</v>
      </c>
      <c r="L141" s="281">
        <v>0</v>
      </c>
      <c r="M141" s="282">
        <v>0</v>
      </c>
      <c r="N141" s="281">
        <v>0</v>
      </c>
      <c r="O141" s="284">
        <v>0</v>
      </c>
      <c r="P141" s="280">
        <v>2</v>
      </c>
      <c r="Q141" s="281">
        <v>0</v>
      </c>
      <c r="R141" s="282">
        <v>0</v>
      </c>
      <c r="S141" s="281">
        <v>0</v>
      </c>
      <c r="T141" s="284">
        <v>0</v>
      </c>
      <c r="U141" s="283">
        <v>2</v>
      </c>
      <c r="V141" s="281" t="s">
        <v>1021</v>
      </c>
      <c r="W141" s="282">
        <v>0</v>
      </c>
      <c r="X141" s="281" t="s">
        <v>1021</v>
      </c>
      <c r="Y141" s="282">
        <v>0</v>
      </c>
      <c r="Z141" s="280">
        <v>2</v>
      </c>
      <c r="AA141" s="281" t="s">
        <v>1021</v>
      </c>
      <c r="AB141" s="282">
        <v>0</v>
      </c>
      <c r="AC141" s="281" t="s">
        <v>1021</v>
      </c>
      <c r="AD141" s="282">
        <v>0</v>
      </c>
      <c r="AE141" s="280">
        <v>2</v>
      </c>
    </row>
    <row r="142" spans="2:31">
      <c r="B142" s="266"/>
      <c r="C142" s="268"/>
      <c r="D142" s="268"/>
      <c r="E142" s="298" t="s">
        <v>854</v>
      </c>
      <c r="F142" s="280">
        <v>262</v>
      </c>
      <c r="G142" s="281">
        <v>0</v>
      </c>
      <c r="H142" s="282">
        <v>0</v>
      </c>
      <c r="I142" s="281">
        <v>0</v>
      </c>
      <c r="J142" s="284">
        <v>0</v>
      </c>
      <c r="K142" s="280">
        <v>262</v>
      </c>
      <c r="L142" s="281">
        <v>0</v>
      </c>
      <c r="M142" s="282">
        <v>0</v>
      </c>
      <c r="N142" s="281">
        <v>0</v>
      </c>
      <c r="O142" s="284">
        <v>0</v>
      </c>
      <c r="P142" s="280">
        <v>262</v>
      </c>
      <c r="Q142" s="281">
        <v>0</v>
      </c>
      <c r="R142" s="282">
        <v>0</v>
      </c>
      <c r="S142" s="281">
        <v>0</v>
      </c>
      <c r="T142" s="284">
        <v>0</v>
      </c>
      <c r="U142" s="283">
        <v>262</v>
      </c>
      <c r="V142" s="281" t="s">
        <v>1021</v>
      </c>
      <c r="W142" s="282">
        <v>0</v>
      </c>
      <c r="X142" s="281" t="s">
        <v>1021</v>
      </c>
      <c r="Y142" s="282">
        <v>0</v>
      </c>
      <c r="Z142" s="280">
        <v>262</v>
      </c>
      <c r="AA142" s="281" t="s">
        <v>1021</v>
      </c>
      <c r="AB142" s="282">
        <v>0</v>
      </c>
      <c r="AC142" s="281" t="s">
        <v>1021</v>
      </c>
      <c r="AD142" s="282">
        <v>0</v>
      </c>
      <c r="AE142" s="280">
        <v>262</v>
      </c>
    </row>
    <row r="143" spans="2:31">
      <c r="B143" s="266"/>
      <c r="C143" s="298"/>
      <c r="D143" s="273"/>
      <c r="E143" s="268"/>
      <c r="F143" s="285"/>
      <c r="G143" s="286"/>
      <c r="H143" s="287"/>
      <c r="I143" s="286"/>
      <c r="J143" s="288"/>
      <c r="K143" s="285"/>
      <c r="L143" s="286"/>
      <c r="M143" s="287"/>
      <c r="N143" s="286"/>
      <c r="O143" s="288"/>
      <c r="P143" s="285"/>
      <c r="Q143" s="286"/>
      <c r="R143" s="287"/>
      <c r="S143" s="286"/>
      <c r="T143" s="288"/>
      <c r="U143" s="289"/>
      <c r="V143" s="286"/>
      <c r="W143" s="287"/>
      <c r="X143" s="286"/>
      <c r="Y143" s="287"/>
      <c r="Z143" s="285"/>
      <c r="AA143" s="286"/>
      <c r="AB143" s="287"/>
      <c r="AC143" s="286"/>
      <c r="AD143" s="287"/>
      <c r="AE143" s="285"/>
    </row>
    <row r="144" spans="2:31">
      <c r="B144" s="266"/>
      <c r="C144" s="268"/>
      <c r="D144" s="273" t="s">
        <v>855</v>
      </c>
      <c r="E144" s="268"/>
      <c r="F144" s="285"/>
      <c r="G144" s="286"/>
      <c r="H144" s="287"/>
      <c r="I144" s="286"/>
      <c r="J144" s="288"/>
      <c r="K144" s="285"/>
      <c r="L144" s="286"/>
      <c r="M144" s="287"/>
      <c r="N144" s="286"/>
      <c r="O144" s="288"/>
      <c r="P144" s="285"/>
      <c r="Q144" s="286"/>
      <c r="R144" s="287"/>
      <c r="S144" s="286"/>
      <c r="T144" s="288"/>
      <c r="U144" s="289"/>
      <c r="V144" s="286"/>
      <c r="W144" s="287"/>
      <c r="X144" s="286"/>
      <c r="Y144" s="287"/>
      <c r="Z144" s="285"/>
      <c r="AA144" s="286"/>
      <c r="AB144" s="287"/>
      <c r="AC144" s="286"/>
      <c r="AD144" s="287"/>
      <c r="AE144" s="285"/>
    </row>
    <row r="145" spans="2:31">
      <c r="B145" s="266"/>
      <c r="C145" s="268"/>
      <c r="D145" s="268"/>
      <c r="E145" s="298" t="s">
        <v>687</v>
      </c>
      <c r="F145" s="280">
        <v>1773</v>
      </c>
      <c r="G145" s="281">
        <v>0</v>
      </c>
      <c r="H145" s="282">
        <v>0</v>
      </c>
      <c r="I145" s="281">
        <v>0</v>
      </c>
      <c r="J145" s="284">
        <v>0</v>
      </c>
      <c r="K145" s="280">
        <v>1773</v>
      </c>
      <c r="L145" s="281">
        <v>0</v>
      </c>
      <c r="M145" s="282">
        <v>0</v>
      </c>
      <c r="N145" s="281">
        <v>0</v>
      </c>
      <c r="O145" s="284">
        <v>0</v>
      </c>
      <c r="P145" s="280">
        <v>1773</v>
      </c>
      <c r="Q145" s="281">
        <v>0</v>
      </c>
      <c r="R145" s="282">
        <v>0</v>
      </c>
      <c r="S145" s="281">
        <v>0</v>
      </c>
      <c r="T145" s="284">
        <v>0</v>
      </c>
      <c r="U145" s="283">
        <v>1773</v>
      </c>
      <c r="V145" s="281" t="s">
        <v>1021</v>
      </c>
      <c r="W145" s="282">
        <v>0</v>
      </c>
      <c r="X145" s="281" t="s">
        <v>1021</v>
      </c>
      <c r="Y145" s="282">
        <v>0</v>
      </c>
      <c r="Z145" s="280">
        <v>1773</v>
      </c>
      <c r="AA145" s="281" t="s">
        <v>1021</v>
      </c>
      <c r="AB145" s="282">
        <v>0</v>
      </c>
      <c r="AC145" s="281" t="s">
        <v>1021</v>
      </c>
      <c r="AD145" s="282">
        <v>0</v>
      </c>
      <c r="AE145" s="280">
        <v>1773</v>
      </c>
    </row>
    <row r="146" spans="2:31">
      <c r="B146" s="266"/>
      <c r="C146" s="268"/>
      <c r="D146" s="268"/>
      <c r="E146" s="298" t="s">
        <v>688</v>
      </c>
      <c r="F146" s="280">
        <v>1264</v>
      </c>
      <c r="G146" s="281">
        <v>0</v>
      </c>
      <c r="H146" s="282">
        <v>0</v>
      </c>
      <c r="I146" s="281">
        <v>0</v>
      </c>
      <c r="J146" s="284">
        <v>0</v>
      </c>
      <c r="K146" s="280">
        <v>1264</v>
      </c>
      <c r="L146" s="281">
        <v>0</v>
      </c>
      <c r="M146" s="282">
        <v>0</v>
      </c>
      <c r="N146" s="281">
        <v>0</v>
      </c>
      <c r="O146" s="284">
        <v>0</v>
      </c>
      <c r="P146" s="280">
        <v>1264</v>
      </c>
      <c r="Q146" s="281">
        <v>0</v>
      </c>
      <c r="R146" s="282">
        <v>0</v>
      </c>
      <c r="S146" s="281">
        <v>0</v>
      </c>
      <c r="T146" s="284">
        <v>0</v>
      </c>
      <c r="U146" s="283">
        <v>1264</v>
      </c>
      <c r="V146" s="281" t="s">
        <v>1021</v>
      </c>
      <c r="W146" s="282">
        <v>0</v>
      </c>
      <c r="X146" s="281" t="s">
        <v>1021</v>
      </c>
      <c r="Y146" s="282">
        <v>0</v>
      </c>
      <c r="Z146" s="280">
        <v>1264</v>
      </c>
      <c r="AA146" s="281" t="s">
        <v>1021</v>
      </c>
      <c r="AB146" s="282">
        <v>0</v>
      </c>
      <c r="AC146" s="281" t="s">
        <v>1021</v>
      </c>
      <c r="AD146" s="282">
        <v>0</v>
      </c>
      <c r="AE146" s="280">
        <v>1264</v>
      </c>
    </row>
    <row r="147" spans="2:31" ht="13.5" thickBot="1">
      <c r="B147" s="264"/>
      <c r="C147" s="265"/>
      <c r="D147" s="265"/>
      <c r="E147" s="265"/>
      <c r="F147" s="290"/>
      <c r="G147" s="291"/>
      <c r="H147" s="292"/>
      <c r="I147" s="291"/>
      <c r="J147" s="293"/>
      <c r="K147" s="294"/>
      <c r="L147" s="291"/>
      <c r="M147" s="292"/>
      <c r="N147" s="291"/>
      <c r="O147" s="293"/>
      <c r="P147" s="294"/>
      <c r="Q147" s="291"/>
      <c r="R147" s="292"/>
      <c r="S147" s="291"/>
      <c r="T147" s="293"/>
      <c r="U147" s="304"/>
      <c r="V147" s="291"/>
      <c r="W147" s="292"/>
      <c r="X147" s="291"/>
      <c r="Y147" s="292"/>
      <c r="Z147" s="294"/>
      <c r="AA147" s="291"/>
      <c r="AB147" s="292"/>
      <c r="AC147" s="291"/>
      <c r="AD147" s="292"/>
      <c r="AE147" s="294"/>
    </row>
  </sheetData>
  <mergeCells count="17">
    <mergeCell ref="V8:W8"/>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 ref="S8:T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zoomScale="85" zoomScaleNormal="85" zoomScalePageLayoutView="85" workbookViewId="0">
      <selection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1459" t="s">
        <v>858</v>
      </c>
      <c r="F1" s="253" t="s">
        <v>216</v>
      </c>
    </row>
    <row r="3" spans="1:20">
      <c r="A3" s="1459" t="s">
        <v>66</v>
      </c>
    </row>
    <row r="6" spans="1:20" s="1000" customFormat="1" ht="15.75" customHeight="1">
      <c r="A6" s="1130"/>
      <c r="B6" s="1460" t="s">
        <v>67</v>
      </c>
      <c r="C6" s="320"/>
      <c r="D6" s="932"/>
      <c r="E6" s="932"/>
      <c r="F6" s="932"/>
      <c r="G6" s="932"/>
      <c r="H6" s="932"/>
      <c r="I6" s="932"/>
      <c r="J6" s="932"/>
      <c r="K6" s="932"/>
      <c r="L6" s="932"/>
      <c r="M6" s="932"/>
      <c r="N6" s="932"/>
      <c r="O6" s="1139"/>
      <c r="P6" s="1139"/>
      <c r="Q6" s="1139"/>
      <c r="R6" s="1132"/>
      <c r="S6" s="932"/>
      <c r="T6" s="932"/>
    </row>
    <row r="7" spans="1:20" ht="13.5" thickBot="1">
      <c r="A7" s="254"/>
      <c r="B7" s="254"/>
      <c r="C7" s="316"/>
      <c r="D7" s="254"/>
      <c r="E7" s="254"/>
      <c r="F7" s="254"/>
      <c r="G7" s="254"/>
      <c r="H7" s="254"/>
      <c r="I7" s="254"/>
      <c r="J7" s="254"/>
      <c r="K7" s="254"/>
      <c r="L7" s="254"/>
      <c r="M7" s="254"/>
      <c r="N7" s="254"/>
      <c r="O7" s="254"/>
      <c r="P7" s="254"/>
      <c r="Q7" s="254"/>
      <c r="R7" s="258"/>
      <c r="S7" s="254"/>
      <c r="T7" s="254"/>
    </row>
    <row r="8" spans="1:20" ht="15.75" customHeight="1">
      <c r="A8" s="254"/>
      <c r="B8" s="1911" t="s">
        <v>67</v>
      </c>
      <c r="C8" s="1915" t="s">
        <v>31</v>
      </c>
      <c r="D8" s="1461" t="s">
        <v>116</v>
      </c>
      <c r="E8" s="1462"/>
      <c r="F8" s="1462"/>
      <c r="G8" s="1462"/>
      <c r="H8" s="317"/>
      <c r="I8" s="1462" t="s">
        <v>117</v>
      </c>
      <c r="J8" s="318"/>
      <c r="K8" s="318"/>
      <c r="L8" s="318"/>
      <c r="M8" s="317"/>
      <c r="N8" s="254"/>
      <c r="O8" s="1463" t="s">
        <v>116</v>
      </c>
      <c r="P8" s="1464"/>
      <c r="Q8" s="1465"/>
      <c r="R8" s="258"/>
      <c r="S8" s="1463" t="s">
        <v>117</v>
      </c>
      <c r="T8" s="1465"/>
    </row>
    <row r="9" spans="1:20" ht="25.5">
      <c r="A9" s="254"/>
      <c r="B9" s="1912"/>
      <c r="C9" s="1916"/>
      <c r="D9" s="1466" t="s">
        <v>32</v>
      </c>
      <c r="E9" s="1467" t="s">
        <v>33</v>
      </c>
      <c r="F9" s="1467" t="s">
        <v>29</v>
      </c>
      <c r="G9" s="1467" t="s">
        <v>34</v>
      </c>
      <c r="H9" s="1468" t="s">
        <v>35</v>
      </c>
      <c r="I9" s="1469" t="s">
        <v>118</v>
      </c>
      <c r="J9" s="1467" t="s">
        <v>136</v>
      </c>
      <c r="K9" s="1467" t="s">
        <v>137</v>
      </c>
      <c r="L9" s="1467" t="s">
        <v>138</v>
      </c>
      <c r="M9" s="1468" t="s">
        <v>139</v>
      </c>
      <c r="N9" s="254"/>
      <c r="O9" s="1470" t="s">
        <v>126</v>
      </c>
      <c r="P9" s="1471" t="s">
        <v>127</v>
      </c>
      <c r="Q9" s="1472" t="s">
        <v>246</v>
      </c>
      <c r="R9" s="258"/>
      <c r="S9" s="1470" t="s">
        <v>127</v>
      </c>
      <c r="T9" s="1472" t="s">
        <v>128</v>
      </c>
    </row>
    <row r="10" spans="1:20" s="1000" customFormat="1" ht="15.75" customHeight="1">
      <c r="A10" s="1130"/>
      <c r="B10" s="1138" t="s">
        <v>185</v>
      </c>
      <c r="C10" s="1131" t="s">
        <v>14</v>
      </c>
      <c r="D10" s="1473">
        <v>13.245009222625885</v>
      </c>
      <c r="E10" s="1474">
        <v>30.467388090526448</v>
      </c>
      <c r="F10" s="1474">
        <v>43.706197044293013</v>
      </c>
      <c r="G10" s="1474">
        <v>35.337268920415227</v>
      </c>
      <c r="H10" s="1475">
        <v>31.512553421511626</v>
      </c>
      <c r="I10" s="1474">
        <v>30.60763079497908</v>
      </c>
      <c r="J10" s="1476">
        <v>32.371574795483063</v>
      </c>
      <c r="K10" s="1476">
        <v>35.073910669642856</v>
      </c>
      <c r="L10" s="1476">
        <v>37.404456108870967</v>
      </c>
      <c r="M10" s="1475">
        <v>39.504377406401552</v>
      </c>
      <c r="N10" s="1139"/>
      <c r="O10" s="543">
        <v>87.418594357445357</v>
      </c>
      <c r="P10" s="544">
        <v>66.849822341926853</v>
      </c>
      <c r="Q10" s="545">
        <v>154.26841669937221</v>
      </c>
      <c r="R10" s="1132"/>
      <c r="S10" s="543">
        <v>174.96194977537752</v>
      </c>
      <c r="T10" s="1477">
        <v>0.13413979036507168</v>
      </c>
    </row>
    <row r="11" spans="1:20" s="1000" customFormat="1" ht="15.75" customHeight="1">
      <c r="A11" s="1130"/>
      <c r="B11" s="1138" t="s">
        <v>186</v>
      </c>
      <c r="C11" s="1131" t="s">
        <v>14</v>
      </c>
      <c r="D11" s="1478">
        <v>11.2</v>
      </c>
      <c r="E11" s="1479">
        <v>25.7</v>
      </c>
      <c r="F11" s="1479">
        <v>36.1</v>
      </c>
      <c r="G11" s="1479">
        <v>30.999999999999996</v>
      </c>
      <c r="H11" s="1480">
        <v>29.1</v>
      </c>
      <c r="I11" s="1479">
        <v>27.2</v>
      </c>
      <c r="J11" s="1481">
        <v>28.9</v>
      </c>
      <c r="K11" s="1481">
        <v>31.400000000000002</v>
      </c>
      <c r="L11" s="1481">
        <v>33.5</v>
      </c>
      <c r="M11" s="1480">
        <v>35.5</v>
      </c>
      <c r="N11" s="1139"/>
      <c r="O11" s="543">
        <v>73</v>
      </c>
      <c r="P11" s="544">
        <v>60.099999999999994</v>
      </c>
      <c r="Q11" s="545">
        <v>133.1</v>
      </c>
      <c r="R11" s="1132"/>
      <c r="S11" s="543">
        <v>156.5</v>
      </c>
      <c r="T11" s="1477">
        <v>0.17580766341096923</v>
      </c>
    </row>
    <row r="12" spans="1:20" s="1000" customFormat="1" ht="15.75" customHeight="1">
      <c r="A12" s="1130"/>
      <c r="B12" s="1138" t="s">
        <v>666</v>
      </c>
      <c r="C12" s="1131" t="s">
        <v>14</v>
      </c>
      <c r="D12" s="1482">
        <v>2.045009222625886</v>
      </c>
      <c r="E12" s="1483">
        <v>4.767388090526449</v>
      </c>
      <c r="F12" s="1483">
        <v>7.6061970442930118</v>
      </c>
      <c r="G12" s="1483">
        <v>4.3372689204152302</v>
      </c>
      <c r="H12" s="1484">
        <v>2.4125534215116247</v>
      </c>
      <c r="I12" s="1485">
        <v>3.4076307949790809</v>
      </c>
      <c r="J12" s="1483">
        <v>3.4715747954830647</v>
      </c>
      <c r="K12" s="1483">
        <v>3.6739106696428543</v>
      </c>
      <c r="L12" s="1483">
        <v>3.9044561088709671</v>
      </c>
      <c r="M12" s="1484">
        <v>4.0043774064015523</v>
      </c>
      <c r="N12" s="1139"/>
      <c r="O12" s="543">
        <v>14.418594357445347</v>
      </c>
      <c r="P12" s="544">
        <v>6.7498223419268548</v>
      </c>
      <c r="Q12" s="545">
        <v>21.168416699372202</v>
      </c>
      <c r="R12" s="1132"/>
      <c r="S12" s="543">
        <v>18.461949775377519</v>
      </c>
      <c r="T12" s="1477">
        <v>-0.12785400828182625</v>
      </c>
    </row>
    <row r="13" spans="1:20" s="1000" customFormat="1" ht="15.75" customHeight="1">
      <c r="A13" s="1130"/>
      <c r="B13" s="1138" t="s">
        <v>188</v>
      </c>
      <c r="C13" s="1131" t="s">
        <v>14</v>
      </c>
      <c r="D13" s="1478">
        <v>-5.6</v>
      </c>
      <c r="E13" s="1479">
        <v>16.399999999999999</v>
      </c>
      <c r="F13" s="1479">
        <v>18.100000000000001</v>
      </c>
      <c r="G13" s="1479">
        <v>7.3</v>
      </c>
      <c r="H13" s="1480">
        <v>10.199999999999999</v>
      </c>
      <c r="I13" s="1479">
        <v>9.8000000000000007</v>
      </c>
      <c r="J13" s="1481">
        <v>10.5</v>
      </c>
      <c r="K13" s="1481">
        <v>11.4</v>
      </c>
      <c r="L13" s="1481">
        <v>12.1</v>
      </c>
      <c r="M13" s="1480">
        <v>12.9</v>
      </c>
      <c r="N13" s="1139"/>
      <c r="O13" s="543">
        <v>28.9</v>
      </c>
      <c r="P13" s="544">
        <v>17.5</v>
      </c>
      <c r="Q13" s="545">
        <v>46.399999999999991</v>
      </c>
      <c r="R13" s="1132"/>
      <c r="S13" s="543">
        <v>56.7</v>
      </c>
      <c r="T13" s="1477">
        <v>0.22198275862068995</v>
      </c>
    </row>
    <row r="14" spans="1:20" s="1000" customFormat="1" ht="15.75" customHeight="1" thickBot="1">
      <c r="A14" s="1130"/>
      <c r="B14" s="1140" t="s">
        <v>424</v>
      </c>
      <c r="C14" s="1133" t="s">
        <v>14</v>
      </c>
      <c r="D14" s="923">
        <v>7.6450092226258857</v>
      </c>
      <c r="E14" s="926">
        <v>-11.63261190947355</v>
      </c>
      <c r="F14" s="926">
        <v>-10.49380295570699</v>
      </c>
      <c r="G14" s="926">
        <v>-2.9627310795847697</v>
      </c>
      <c r="H14" s="925">
        <v>-7.7874465784883746</v>
      </c>
      <c r="I14" s="924">
        <v>-6.3923692050209198</v>
      </c>
      <c r="J14" s="926">
        <v>-7.0284252045169353</v>
      </c>
      <c r="K14" s="926">
        <v>-7.7260893303571461</v>
      </c>
      <c r="L14" s="926">
        <v>-8.1955438911290326</v>
      </c>
      <c r="M14" s="925">
        <v>-8.8956225935984481</v>
      </c>
      <c r="N14" s="1139"/>
      <c r="O14" s="1486">
        <v>-14.481405642554654</v>
      </c>
      <c r="P14" s="1487">
        <v>-10.750177658073145</v>
      </c>
      <c r="Q14" s="1488">
        <v>-25.231583300627797</v>
      </c>
      <c r="R14" s="1132"/>
      <c r="S14" s="1486">
        <v>-38.238050224622484</v>
      </c>
      <c r="T14" s="1489">
        <v>0.5154835813918609</v>
      </c>
    </row>
    <row r="15" spans="1:20">
      <c r="A15" s="254"/>
      <c r="B15" s="254"/>
      <c r="C15" s="316"/>
      <c r="D15" s="930"/>
      <c r="E15" s="930"/>
      <c r="F15" s="930"/>
      <c r="G15" s="930"/>
      <c r="H15" s="930"/>
      <c r="I15" s="930"/>
      <c r="J15" s="930"/>
      <c r="K15" s="930"/>
      <c r="L15" s="930"/>
      <c r="M15" s="930"/>
      <c r="N15" s="930"/>
      <c r="O15" s="930"/>
      <c r="P15" s="930"/>
      <c r="Q15" s="930"/>
      <c r="R15" s="931"/>
      <c r="S15" s="930"/>
      <c r="T15" s="930"/>
    </row>
    <row r="16" spans="1:20" s="1000" customFormat="1" ht="15.75" customHeight="1">
      <c r="A16" s="1130"/>
      <c r="B16" s="1460" t="s">
        <v>425</v>
      </c>
      <c r="C16" s="320"/>
      <c r="D16" s="932"/>
      <c r="E16" s="932"/>
      <c r="F16" s="932"/>
      <c r="G16" s="932"/>
      <c r="H16" s="932"/>
      <c r="I16" s="932"/>
      <c r="J16" s="932"/>
      <c r="K16" s="932"/>
      <c r="L16" s="932"/>
      <c r="M16" s="932"/>
      <c r="N16" s="932"/>
      <c r="O16" s="1139"/>
      <c r="P16" s="1139"/>
      <c r="Q16" s="1139"/>
      <c r="R16" s="1132"/>
      <c r="S16" s="932"/>
      <c r="T16" s="932"/>
    </row>
    <row r="17" spans="1:20" ht="13.5" thickBot="1">
      <c r="A17" s="254"/>
      <c r="B17" s="1490"/>
      <c r="C17" s="316"/>
      <c r="D17" s="932"/>
      <c r="E17" s="932"/>
      <c r="F17" s="932"/>
      <c r="G17" s="932"/>
      <c r="H17" s="932"/>
      <c r="I17" s="932"/>
      <c r="J17" s="932"/>
      <c r="K17" s="932"/>
      <c r="L17" s="932"/>
      <c r="M17" s="932"/>
      <c r="N17" s="931"/>
      <c r="O17" s="931"/>
      <c r="P17" s="931"/>
      <c r="Q17" s="931"/>
      <c r="R17" s="931"/>
      <c r="S17" s="931"/>
      <c r="T17" s="931"/>
    </row>
    <row r="18" spans="1:20" ht="15.75" customHeight="1">
      <c r="A18" s="254"/>
      <c r="B18" s="1911" t="s">
        <v>425</v>
      </c>
      <c r="C18" s="1915" t="s">
        <v>31</v>
      </c>
      <c r="D18" s="933" t="s">
        <v>116</v>
      </c>
      <c r="E18" s="934"/>
      <c r="F18" s="934"/>
      <c r="G18" s="934"/>
      <c r="H18" s="935"/>
      <c r="I18" s="934" t="s">
        <v>117</v>
      </c>
      <c r="J18" s="936"/>
      <c r="K18" s="936"/>
      <c r="L18" s="936"/>
      <c r="M18" s="935"/>
      <c r="N18" s="931"/>
      <c r="O18" s="931"/>
      <c r="P18" s="931"/>
      <c r="Q18" s="931"/>
      <c r="R18" s="931"/>
      <c r="S18" s="931"/>
      <c r="T18" s="931"/>
    </row>
    <row r="19" spans="1:20" ht="26.25" customHeight="1">
      <c r="A19" s="254"/>
      <c r="B19" s="1912"/>
      <c r="C19" s="1916"/>
      <c r="D19" s="937" t="s">
        <v>32</v>
      </c>
      <c r="E19" s="938" t="s">
        <v>33</v>
      </c>
      <c r="F19" s="938" t="s">
        <v>29</v>
      </c>
      <c r="G19" s="938" t="s">
        <v>34</v>
      </c>
      <c r="H19" s="939" t="s">
        <v>35</v>
      </c>
      <c r="I19" s="940" t="s">
        <v>118</v>
      </c>
      <c r="J19" s="938" t="s">
        <v>136</v>
      </c>
      <c r="K19" s="938" t="s">
        <v>137</v>
      </c>
      <c r="L19" s="938" t="s">
        <v>138</v>
      </c>
      <c r="M19" s="939" t="s">
        <v>139</v>
      </c>
      <c r="N19" s="931"/>
      <c r="O19" s="931"/>
      <c r="P19" s="931"/>
      <c r="Q19" s="931"/>
      <c r="R19" s="931"/>
      <c r="S19" s="931"/>
      <c r="T19" s="931"/>
    </row>
    <row r="20" spans="1:20">
      <c r="A20" s="254"/>
      <c r="B20" s="1491"/>
      <c r="C20" s="321"/>
      <c r="D20" s="941"/>
      <c r="E20" s="942"/>
      <c r="F20" s="942"/>
      <c r="G20" s="942"/>
      <c r="H20" s="943"/>
      <c r="I20" s="942"/>
      <c r="J20" s="942"/>
      <c r="K20" s="942"/>
      <c r="L20" s="942"/>
      <c r="M20" s="943"/>
      <c r="N20" s="931"/>
      <c r="O20" s="931"/>
      <c r="P20" s="931"/>
      <c r="Q20" s="931"/>
      <c r="R20" s="931"/>
      <c r="S20" s="931"/>
      <c r="T20" s="931"/>
    </row>
    <row r="21" spans="1:20" ht="15.75" customHeight="1">
      <c r="A21" s="254"/>
      <c r="B21" s="1492" t="s">
        <v>426</v>
      </c>
      <c r="C21" s="524" t="s">
        <v>244</v>
      </c>
      <c r="D21" s="1493">
        <v>4796</v>
      </c>
      <c r="E21" s="1479">
        <v>4658.9513070661806</v>
      </c>
      <c r="F21" s="1479">
        <v>4826.0106287524131</v>
      </c>
      <c r="G21" s="1479">
        <v>4881.0087798210307</v>
      </c>
      <c r="H21" s="1480">
        <v>4891.0150350325257</v>
      </c>
      <c r="I21" s="1479">
        <v>4901.0151388216536</v>
      </c>
      <c r="J21" s="1481">
        <v>4911.0200827760555</v>
      </c>
      <c r="K21" s="1481">
        <v>4921.9636723530948</v>
      </c>
      <c r="L21" s="1481">
        <v>4931.9598640408049</v>
      </c>
      <c r="M21" s="1480">
        <v>4941.9963579009709</v>
      </c>
      <c r="N21" s="931"/>
      <c r="O21" s="931"/>
      <c r="P21" s="931"/>
      <c r="Q21" s="931"/>
      <c r="R21" s="931"/>
      <c r="S21" s="931"/>
      <c r="T21" s="931"/>
    </row>
    <row r="22" spans="1:20" ht="15.75" customHeight="1">
      <c r="A22" s="254"/>
      <c r="B22" s="1492" t="s">
        <v>589</v>
      </c>
      <c r="C22" s="524" t="s">
        <v>244</v>
      </c>
      <c r="D22" s="1478">
        <v>18.411043619575576</v>
      </c>
      <c r="E22" s="1479">
        <v>-137.04869293381986</v>
      </c>
      <c r="F22" s="1479">
        <v>167.05932168623241</v>
      </c>
      <c r="G22" s="1479">
        <v>54.998151068617197</v>
      </c>
      <c r="H22" s="1480">
        <v>10.006255211495427</v>
      </c>
      <c r="I22" s="1479">
        <v>10.00010378912784</v>
      </c>
      <c r="J22" s="1481">
        <v>10.004943954401883</v>
      </c>
      <c r="K22" s="1481">
        <v>10.94358957703963</v>
      </c>
      <c r="L22" s="1481">
        <v>9.996191687710148</v>
      </c>
      <c r="M22" s="1480">
        <v>10.036493860165717</v>
      </c>
      <c r="N22" s="931"/>
      <c r="O22" s="931"/>
      <c r="P22" s="931"/>
      <c r="Q22" s="931"/>
      <c r="R22" s="931"/>
      <c r="S22" s="931"/>
      <c r="T22" s="931"/>
    </row>
    <row r="23" spans="1:20" ht="15.75" customHeight="1">
      <c r="A23" s="254"/>
      <c r="B23" s="1141" t="s">
        <v>586</v>
      </c>
      <c r="C23" s="524" t="s">
        <v>244</v>
      </c>
      <c r="D23" s="305">
        <v>29.788408241052473</v>
      </c>
      <c r="E23" s="306">
        <v>55.943213503808835</v>
      </c>
      <c r="F23" s="306">
        <v>45.741403388645409</v>
      </c>
      <c r="G23" s="306">
        <v>34.568844545640133</v>
      </c>
      <c r="H23" s="307">
        <v>31.480483362369512</v>
      </c>
      <c r="I23" s="306">
        <v>32.59562053245822</v>
      </c>
      <c r="J23" s="308">
        <v>35.600909023399225</v>
      </c>
      <c r="K23" s="308">
        <v>39.339554646036973</v>
      </c>
      <c r="L23" s="308">
        <v>43.69215675670749</v>
      </c>
      <c r="M23" s="307">
        <v>48.732458929163059</v>
      </c>
      <c r="N23" s="931"/>
      <c r="O23" s="931"/>
      <c r="P23" s="931"/>
      <c r="Q23" s="931"/>
      <c r="R23" s="931"/>
      <c r="S23" s="931"/>
      <c r="T23" s="931"/>
    </row>
    <row r="24" spans="1:20" ht="15.75" customHeight="1">
      <c r="A24" s="254"/>
      <c r="B24" s="1141" t="s">
        <v>587</v>
      </c>
      <c r="C24" s="524" t="s">
        <v>244</v>
      </c>
      <c r="D24" s="305">
        <v>-11.377364621476897</v>
      </c>
      <c r="E24" s="306">
        <v>-23.891906437628698</v>
      </c>
      <c r="F24" s="306">
        <v>-30.782081702412999</v>
      </c>
      <c r="G24" s="306">
        <v>-30.070693477022935</v>
      </c>
      <c r="H24" s="307">
        <v>-31.574228150874085</v>
      </c>
      <c r="I24" s="306">
        <v>-29.995516743330381</v>
      </c>
      <c r="J24" s="308">
        <v>-26.995965068997343</v>
      </c>
      <c r="K24" s="308">
        <v>-26.995965068997343</v>
      </c>
      <c r="L24" s="308">
        <v>-26.995965068997343</v>
      </c>
      <c r="M24" s="307">
        <v>-26.995965068997343</v>
      </c>
      <c r="N24" s="931"/>
      <c r="O24" s="931"/>
      <c r="P24" s="931"/>
      <c r="Q24" s="931"/>
      <c r="R24" s="931"/>
      <c r="S24" s="931"/>
      <c r="T24" s="931"/>
    </row>
    <row r="25" spans="1:20" ht="15.75" customHeight="1">
      <c r="A25" s="254"/>
      <c r="B25" s="1141" t="s">
        <v>590</v>
      </c>
      <c r="C25" s="524" t="s">
        <v>244</v>
      </c>
      <c r="D25" s="305">
        <v>0</v>
      </c>
      <c r="E25" s="306">
        <v>-169.1</v>
      </c>
      <c r="F25" s="306">
        <v>152.1</v>
      </c>
      <c r="G25" s="306">
        <v>50.5</v>
      </c>
      <c r="H25" s="307">
        <v>10.1</v>
      </c>
      <c r="I25" s="306">
        <v>7.4</v>
      </c>
      <c r="J25" s="308">
        <v>1.4</v>
      </c>
      <c r="K25" s="308">
        <v>-1.4</v>
      </c>
      <c r="L25" s="308">
        <v>-6.7</v>
      </c>
      <c r="M25" s="307">
        <v>-11.7</v>
      </c>
      <c r="N25" s="931"/>
      <c r="O25" s="931"/>
      <c r="P25" s="931"/>
      <c r="Q25" s="931"/>
      <c r="R25" s="931"/>
      <c r="S25" s="931"/>
      <c r="T25" s="931"/>
    </row>
    <row r="26" spans="1:20" ht="15.75" customHeight="1">
      <c r="A26" s="254"/>
      <c r="B26" s="1494"/>
      <c r="C26" s="322"/>
      <c r="D26" s="1495"/>
      <c r="E26" s="1496"/>
      <c r="F26" s="1496"/>
      <c r="G26" s="1496"/>
      <c r="H26" s="1497"/>
      <c r="I26" s="1496"/>
      <c r="J26" s="1496"/>
      <c r="K26" s="1496"/>
      <c r="L26" s="1496"/>
      <c r="M26" s="1497"/>
      <c r="N26" s="931"/>
      <c r="O26" s="931"/>
      <c r="P26" s="931"/>
      <c r="Q26" s="931"/>
      <c r="R26" s="931"/>
      <c r="S26" s="931"/>
      <c r="T26" s="931"/>
    </row>
    <row r="27" spans="1:20" ht="15.75" customHeight="1">
      <c r="A27" s="254"/>
      <c r="B27" s="1492" t="s">
        <v>431</v>
      </c>
      <c r="C27" s="524" t="s">
        <v>51</v>
      </c>
      <c r="D27" s="1493">
        <v>27442.5</v>
      </c>
      <c r="E27" s="1479">
        <v>26786.445197405887</v>
      </c>
      <c r="F27" s="1479">
        <v>26750.635090851607</v>
      </c>
      <c r="G27" s="1479">
        <v>25371.579153800722</v>
      </c>
      <c r="H27" s="1480">
        <v>24285.927659013949</v>
      </c>
      <c r="I27" s="1479">
        <v>24194.592671263927</v>
      </c>
      <c r="J27" s="1481">
        <v>24710.969172083929</v>
      </c>
      <c r="K27" s="1481">
        <v>24690.032871184278</v>
      </c>
      <c r="L27" s="1481">
        <v>24748.532077601347</v>
      </c>
      <c r="M27" s="1480">
        <v>24685.941626647957</v>
      </c>
      <c r="N27" s="931"/>
      <c r="O27" s="931"/>
      <c r="P27" s="931"/>
      <c r="Q27" s="931"/>
      <c r="R27" s="931"/>
      <c r="S27" s="931"/>
      <c r="T27" s="931"/>
    </row>
    <row r="28" spans="1:20" ht="15.75" customHeight="1">
      <c r="A28" s="254"/>
      <c r="B28" s="1498" t="s">
        <v>428</v>
      </c>
      <c r="C28" s="524" t="s">
        <v>51</v>
      </c>
      <c r="D28" s="1478">
        <v>0</v>
      </c>
      <c r="E28" s="1479">
        <v>-656.05480259411513</v>
      </c>
      <c r="F28" s="1479">
        <v>-35.810106554279912</v>
      </c>
      <c r="G28" s="1479">
        <v>-1379.0559370508863</v>
      </c>
      <c r="H28" s="1480">
        <v>-1085.6514947867727</v>
      </c>
      <c r="I28" s="1479">
        <v>-91.334987750022265</v>
      </c>
      <c r="J28" s="1481">
        <v>516.37650082000255</v>
      </c>
      <c r="K28" s="1481">
        <v>-20.936300899651542</v>
      </c>
      <c r="L28" s="1481">
        <v>58.499206417069217</v>
      </c>
      <c r="M28" s="1480">
        <v>-62.59045095339026</v>
      </c>
      <c r="N28" s="931"/>
      <c r="O28" s="931"/>
      <c r="P28" s="931"/>
      <c r="Q28" s="931"/>
      <c r="R28" s="931"/>
      <c r="S28" s="931"/>
      <c r="T28" s="931"/>
    </row>
    <row r="29" spans="1:20" ht="15.75" customHeight="1">
      <c r="A29" s="254"/>
      <c r="B29" s="1142" t="s">
        <v>667</v>
      </c>
      <c r="C29" s="524" t="s">
        <v>51</v>
      </c>
      <c r="D29" s="305">
        <v>0</v>
      </c>
      <c r="E29" s="306">
        <v>-457.1</v>
      </c>
      <c r="F29" s="306">
        <v>7.3</v>
      </c>
      <c r="G29" s="306">
        <v>-130</v>
      </c>
      <c r="H29" s="307">
        <v>21.790992851614646</v>
      </c>
      <c r="I29" s="306">
        <v>-26.763058476932116</v>
      </c>
      <c r="J29" s="308">
        <v>599.76576011759266</v>
      </c>
      <c r="K29" s="308">
        <v>89.485711399578562</v>
      </c>
      <c r="L29" s="308">
        <v>205.87934611450001</v>
      </c>
      <c r="M29" s="307">
        <v>122.90668715687468</v>
      </c>
      <c r="N29" s="931"/>
      <c r="O29" s="931"/>
      <c r="P29" s="931"/>
      <c r="Q29" s="931"/>
      <c r="R29" s="931"/>
      <c r="S29" s="931"/>
      <c r="T29" s="931"/>
    </row>
    <row r="30" spans="1:20" ht="15.75" customHeight="1">
      <c r="A30" s="254"/>
      <c r="B30" s="1142" t="s">
        <v>668</v>
      </c>
      <c r="C30" s="524" t="s">
        <v>51</v>
      </c>
      <c r="D30" s="305">
        <v>0</v>
      </c>
      <c r="E30" s="306">
        <v>-54.885017293623179</v>
      </c>
      <c r="F30" s="306">
        <v>-53.572786189936423</v>
      </c>
      <c r="G30" s="306">
        <v>-53.501224357635863</v>
      </c>
      <c r="H30" s="307">
        <v>-50.743232262663689</v>
      </c>
      <c r="I30" s="306">
        <v>-48.571929273090142</v>
      </c>
      <c r="J30" s="308">
        <v>-48.389259297590101</v>
      </c>
      <c r="K30" s="308">
        <v>-49.422012299230104</v>
      </c>
      <c r="L30" s="308">
        <v>-49.380139697430799</v>
      </c>
      <c r="M30" s="307">
        <v>-49.497138110264942</v>
      </c>
      <c r="N30" s="931"/>
      <c r="O30" s="931"/>
      <c r="P30" s="931"/>
      <c r="Q30" s="931"/>
      <c r="R30" s="931"/>
      <c r="S30" s="931"/>
      <c r="T30" s="931"/>
    </row>
    <row r="31" spans="1:20" ht="15.75" customHeight="1">
      <c r="A31" s="254"/>
      <c r="B31" s="1142" t="s">
        <v>669</v>
      </c>
      <c r="C31" s="524" t="s">
        <v>51</v>
      </c>
      <c r="D31" s="305">
        <v>0</v>
      </c>
      <c r="E31" s="306">
        <v>0</v>
      </c>
      <c r="F31" s="306">
        <v>0</v>
      </c>
      <c r="G31" s="306">
        <v>0</v>
      </c>
      <c r="H31" s="307">
        <v>-1</v>
      </c>
      <c r="I31" s="306">
        <v>-16</v>
      </c>
      <c r="J31" s="308">
        <v>-35</v>
      </c>
      <c r="K31" s="308">
        <v>-61</v>
      </c>
      <c r="L31" s="308">
        <v>-98</v>
      </c>
      <c r="M31" s="307">
        <v>-136</v>
      </c>
      <c r="N31" s="931"/>
      <c r="O31" s="931"/>
      <c r="P31" s="931"/>
      <c r="Q31" s="931"/>
      <c r="R31" s="931"/>
      <c r="S31" s="931"/>
      <c r="T31" s="931"/>
    </row>
    <row r="32" spans="1:20" ht="15.75" customHeight="1">
      <c r="A32" s="254"/>
      <c r="B32" s="1142" t="s">
        <v>591</v>
      </c>
      <c r="C32" s="524" t="s">
        <v>51</v>
      </c>
      <c r="D32" s="305">
        <v>0</v>
      </c>
      <c r="E32" s="306">
        <v>0</v>
      </c>
      <c r="F32" s="306">
        <v>0</v>
      </c>
      <c r="G32" s="306">
        <v>0</v>
      </c>
      <c r="H32" s="307">
        <v>0</v>
      </c>
      <c r="I32" s="306">
        <v>0</v>
      </c>
      <c r="J32" s="308">
        <v>0</v>
      </c>
      <c r="K32" s="308">
        <v>0</v>
      </c>
      <c r="L32" s="308">
        <v>0</v>
      </c>
      <c r="M32" s="307">
        <v>0</v>
      </c>
      <c r="N32" s="931"/>
      <c r="O32" s="931"/>
      <c r="P32" s="931"/>
      <c r="Q32" s="931"/>
      <c r="R32" s="931"/>
      <c r="S32" s="931"/>
      <c r="T32" s="931"/>
    </row>
    <row r="33" spans="1:20" ht="15.75" customHeight="1">
      <c r="A33" s="254"/>
      <c r="B33" s="1142" t="s">
        <v>592</v>
      </c>
      <c r="C33" s="524" t="s">
        <v>51</v>
      </c>
      <c r="D33" s="305">
        <v>0</v>
      </c>
      <c r="E33" s="306">
        <v>-144.06978530049193</v>
      </c>
      <c r="F33" s="306">
        <v>10.462679635656512</v>
      </c>
      <c r="G33" s="306">
        <v>-165.09025644655472</v>
      </c>
      <c r="H33" s="307">
        <v>0</v>
      </c>
      <c r="I33" s="306">
        <v>0</v>
      </c>
      <c r="J33" s="308">
        <v>0</v>
      </c>
      <c r="K33" s="308">
        <v>0</v>
      </c>
      <c r="L33" s="308">
        <v>0</v>
      </c>
      <c r="M33" s="307">
        <v>0</v>
      </c>
      <c r="N33" s="931"/>
      <c r="O33" s="931"/>
      <c r="P33" s="931"/>
      <c r="Q33" s="931"/>
      <c r="R33" s="931"/>
      <c r="S33" s="931"/>
      <c r="T33" s="931"/>
    </row>
    <row r="34" spans="1:20" ht="15.75" customHeight="1">
      <c r="A34" s="254"/>
      <c r="B34" s="1142" t="s">
        <v>593</v>
      </c>
      <c r="C34" s="524" t="s">
        <v>51</v>
      </c>
      <c r="D34" s="305">
        <v>0</v>
      </c>
      <c r="E34" s="306">
        <v>0</v>
      </c>
      <c r="F34" s="306">
        <v>0</v>
      </c>
      <c r="G34" s="306">
        <v>-1030.4644562466956</v>
      </c>
      <c r="H34" s="307">
        <v>-1055.6992553757236</v>
      </c>
      <c r="I34" s="306">
        <v>0</v>
      </c>
      <c r="J34" s="308">
        <v>0</v>
      </c>
      <c r="K34" s="308">
        <v>0</v>
      </c>
      <c r="L34" s="308">
        <v>0</v>
      </c>
      <c r="M34" s="307">
        <v>0</v>
      </c>
      <c r="N34" s="931"/>
      <c r="O34" s="931"/>
      <c r="P34" s="931"/>
      <c r="Q34" s="931"/>
      <c r="R34" s="931"/>
      <c r="S34" s="931"/>
      <c r="T34" s="931"/>
    </row>
    <row r="35" spans="1:20" ht="15.75" customHeight="1">
      <c r="A35" s="254"/>
      <c r="B35" s="1494"/>
      <c r="C35" s="322"/>
      <c r="D35" s="1499"/>
      <c r="E35" s="541"/>
      <c r="F35" s="541"/>
      <c r="G35" s="541"/>
      <c r="H35" s="542"/>
      <c r="I35" s="541"/>
      <c r="J35" s="541"/>
      <c r="K35" s="541"/>
      <c r="L35" s="541"/>
      <c r="M35" s="542"/>
      <c r="N35" s="931"/>
      <c r="O35" s="931"/>
      <c r="P35" s="931"/>
      <c r="Q35" s="931"/>
      <c r="R35" s="931"/>
      <c r="S35" s="931"/>
      <c r="T35" s="931"/>
    </row>
    <row r="36" spans="1:20" ht="15.75" customHeight="1">
      <c r="A36" s="254"/>
      <c r="B36" s="1492" t="s">
        <v>431</v>
      </c>
      <c r="C36" s="524"/>
      <c r="D36" s="1500"/>
      <c r="E36" s="1501"/>
      <c r="F36" s="1501"/>
      <c r="G36" s="1501"/>
      <c r="H36" s="1502"/>
      <c r="I36" s="1501"/>
      <c r="J36" s="1501"/>
      <c r="K36" s="1501"/>
      <c r="L36" s="1501"/>
      <c r="M36" s="1502"/>
      <c r="N36" s="931"/>
      <c r="O36" s="931"/>
      <c r="P36" s="931"/>
      <c r="Q36" s="931"/>
      <c r="R36" s="931"/>
      <c r="S36" s="931"/>
      <c r="T36" s="931"/>
    </row>
    <row r="37" spans="1:20" ht="15.75" customHeight="1">
      <c r="A37" s="254"/>
      <c r="B37" s="1141" t="s">
        <v>240</v>
      </c>
      <c r="C37" s="524" t="s">
        <v>51</v>
      </c>
      <c r="D37" s="305">
        <v>17231.534288632341</v>
      </c>
      <c r="E37" s="306">
        <v>16986.07185731611</v>
      </c>
      <c r="F37" s="306">
        <v>17083.980089974037</v>
      </c>
      <c r="G37" s="306">
        <v>16260.70716609991</v>
      </c>
      <c r="H37" s="307">
        <v>15739.435991959641</v>
      </c>
      <c r="I37" s="306">
        <v>15703.638888327863</v>
      </c>
      <c r="J37" s="308">
        <v>16138.156491596999</v>
      </c>
      <c r="K37" s="308">
        <v>16185.009469663044</v>
      </c>
      <c r="L37" s="308">
        <v>16226.018192180643</v>
      </c>
      <c r="M37" s="307">
        <v>16227.415795658475</v>
      </c>
      <c r="N37" s="931"/>
      <c r="O37" s="931"/>
      <c r="P37" s="931"/>
      <c r="Q37" s="931"/>
      <c r="R37" s="931"/>
      <c r="S37" s="931"/>
      <c r="T37" s="931"/>
    </row>
    <row r="38" spans="1:20" ht="15.75" customHeight="1">
      <c r="A38" s="254"/>
      <c r="B38" s="1141" t="s">
        <v>239</v>
      </c>
      <c r="C38" s="524" t="s">
        <v>51</v>
      </c>
      <c r="D38" s="305">
        <v>9571.7151826030058</v>
      </c>
      <c r="E38" s="306">
        <v>9219.5604920406713</v>
      </c>
      <c r="F38" s="306">
        <v>9050.8322700025674</v>
      </c>
      <c r="G38" s="306">
        <v>8539.2830338536824</v>
      </c>
      <c r="H38" s="307">
        <v>8008.0371776174552</v>
      </c>
      <c r="I38" s="306">
        <v>7953.8623516927528</v>
      </c>
      <c r="J38" s="308">
        <v>8023.7787345524584</v>
      </c>
      <c r="K38" s="308">
        <v>7954.8623478699565</v>
      </c>
      <c r="L38" s="308">
        <v>7972.3528317694263</v>
      </c>
      <c r="M38" s="307">
        <v>7909.1404156413928</v>
      </c>
      <c r="N38" s="931"/>
      <c r="O38" s="931"/>
      <c r="P38" s="931"/>
      <c r="Q38" s="931"/>
      <c r="R38" s="931"/>
      <c r="S38" s="931"/>
      <c r="T38" s="931"/>
    </row>
    <row r="39" spans="1:20" ht="15.75" customHeight="1">
      <c r="A39" s="254"/>
      <c r="B39" s="1141" t="s">
        <v>594</v>
      </c>
      <c r="C39" s="524" t="s">
        <v>51</v>
      </c>
      <c r="D39" s="305">
        <v>639.25917557624075</v>
      </c>
      <c r="E39" s="306">
        <v>580.76074561142593</v>
      </c>
      <c r="F39" s="306">
        <v>615.79981884132508</v>
      </c>
      <c r="G39" s="306">
        <v>571.62593137825104</v>
      </c>
      <c r="H39" s="307">
        <v>538.49146696797357</v>
      </c>
      <c r="I39" s="306">
        <v>537.12840877443</v>
      </c>
      <c r="J39" s="308">
        <v>549.0709234655933</v>
      </c>
      <c r="K39" s="308">
        <v>550.19803118240134</v>
      </c>
      <c r="L39" s="308">
        <v>550.19803118240134</v>
      </c>
      <c r="M39" s="307">
        <v>549.42239287921188</v>
      </c>
      <c r="N39" s="931"/>
      <c r="O39" s="931"/>
      <c r="P39" s="931"/>
      <c r="Q39" s="931"/>
      <c r="R39" s="931"/>
      <c r="S39" s="931"/>
      <c r="T39" s="931"/>
    </row>
    <row r="40" spans="1:20" ht="15.75" customHeight="1">
      <c r="A40" s="254"/>
      <c r="B40" s="1492" t="s">
        <v>588</v>
      </c>
      <c r="C40" s="524" t="s">
        <v>51</v>
      </c>
      <c r="D40" s="1482">
        <v>27442.508646811588</v>
      </c>
      <c r="E40" s="1485">
        <v>26786.393094968211</v>
      </c>
      <c r="F40" s="1485">
        <v>26750.61217881793</v>
      </c>
      <c r="G40" s="1485">
        <v>25371.616131331844</v>
      </c>
      <c r="H40" s="1484">
        <v>24285.964636545072</v>
      </c>
      <c r="I40" s="1485">
        <v>24194.629648795049</v>
      </c>
      <c r="J40" s="1483">
        <v>24711.006149615052</v>
      </c>
      <c r="K40" s="1483">
        <v>24690.0698487154</v>
      </c>
      <c r="L40" s="1483">
        <v>24748.56905513247</v>
      </c>
      <c r="M40" s="1484">
        <v>24685.978604179079</v>
      </c>
      <c r="N40" s="931"/>
      <c r="O40" s="931"/>
      <c r="P40" s="931"/>
      <c r="Q40" s="931"/>
      <c r="R40" s="931"/>
      <c r="S40" s="931"/>
      <c r="T40" s="931"/>
    </row>
    <row r="41" spans="1:20" ht="15.75" customHeight="1">
      <c r="A41" s="254"/>
      <c r="B41" s="1498"/>
      <c r="C41" s="524"/>
      <c r="D41" s="1495"/>
      <c r="E41" s="1496"/>
      <c r="F41" s="1496"/>
      <c r="G41" s="1496"/>
      <c r="H41" s="1497"/>
      <c r="I41" s="1496"/>
      <c r="J41" s="1496"/>
      <c r="K41" s="1496"/>
      <c r="L41" s="1496"/>
      <c r="M41" s="1497"/>
      <c r="N41" s="931"/>
      <c r="O41" s="931"/>
      <c r="P41" s="931"/>
      <c r="Q41" s="931"/>
      <c r="R41" s="931"/>
      <c r="S41" s="931"/>
      <c r="T41" s="931"/>
    </row>
    <row r="42" spans="1:20" ht="15.75" customHeight="1">
      <c r="A42" s="254"/>
      <c r="B42" s="1498" t="s">
        <v>706</v>
      </c>
      <c r="C42" s="524"/>
      <c r="D42" s="1500"/>
      <c r="E42" s="1501"/>
      <c r="F42" s="1501"/>
      <c r="G42" s="1501"/>
      <c r="H42" s="1502"/>
      <c r="I42" s="1501"/>
      <c r="J42" s="1501"/>
      <c r="K42" s="1501"/>
      <c r="L42" s="1501"/>
      <c r="M42" s="1502"/>
      <c r="N42" s="931"/>
      <c r="O42" s="931"/>
      <c r="P42" s="931"/>
      <c r="Q42" s="931"/>
      <c r="R42" s="931"/>
      <c r="S42" s="931"/>
      <c r="T42" s="931"/>
    </row>
    <row r="43" spans="1:20" ht="15.75" customHeight="1">
      <c r="A43" s="254"/>
      <c r="B43" s="1141" t="s">
        <v>240</v>
      </c>
      <c r="C43" s="524" t="s">
        <v>707</v>
      </c>
      <c r="D43" s="305">
        <v>150986.26417066815</v>
      </c>
      <c r="E43" s="306">
        <v>203584.55404342199</v>
      </c>
      <c r="F43" s="306">
        <v>192253.5893249269</v>
      </c>
      <c r="G43" s="306">
        <v>132484.41094598046</v>
      </c>
      <c r="H43" s="307">
        <v>122176.02190486882</v>
      </c>
      <c r="I43" s="306">
        <v>125837.56714792983</v>
      </c>
      <c r="J43" s="308">
        <v>137088.3975282902</v>
      </c>
      <c r="K43" s="308">
        <v>151224.35070925605</v>
      </c>
      <c r="L43" s="308">
        <v>167392.03205629866</v>
      </c>
      <c r="M43" s="307">
        <v>185894.69171820194</v>
      </c>
      <c r="N43" s="931"/>
      <c r="O43" s="931"/>
      <c r="P43" s="931"/>
      <c r="Q43" s="931"/>
      <c r="R43" s="931"/>
      <c r="S43" s="931"/>
      <c r="T43" s="931"/>
    </row>
    <row r="44" spans="1:20" ht="15.75" customHeight="1">
      <c r="A44" s="254"/>
      <c r="B44" s="1141" t="s">
        <v>239</v>
      </c>
      <c r="C44" s="524" t="s">
        <v>707</v>
      </c>
      <c r="D44" s="305">
        <v>83864.249071945393</v>
      </c>
      <c r="E44" s="306">
        <v>323226.79329812288</v>
      </c>
      <c r="F44" s="306">
        <v>212281.3804633618</v>
      </c>
      <c r="G44" s="306">
        <v>186685.31277786181</v>
      </c>
      <c r="H44" s="307">
        <v>166269.60964441008</v>
      </c>
      <c r="I44" s="306">
        <v>173692.03248024115</v>
      </c>
      <c r="J44" s="308">
        <v>190606.7963286067</v>
      </c>
      <c r="K44" s="308">
        <v>211244.83275900036</v>
      </c>
      <c r="L44" s="308">
        <v>235871.04812542369</v>
      </c>
      <c r="M44" s="307">
        <v>264843.88721184368</v>
      </c>
      <c r="N44" s="931"/>
      <c r="O44" s="931"/>
      <c r="P44" s="931"/>
      <c r="Q44" s="931"/>
      <c r="R44" s="931"/>
      <c r="S44" s="931"/>
      <c r="T44" s="931"/>
    </row>
    <row r="45" spans="1:20" ht="15.75" customHeight="1">
      <c r="A45" s="254"/>
      <c r="B45" s="1141" t="s">
        <v>594</v>
      </c>
      <c r="C45" s="524" t="s">
        <v>707</v>
      </c>
      <c r="D45" s="305">
        <v>0</v>
      </c>
      <c r="E45" s="306">
        <v>0</v>
      </c>
      <c r="F45" s="306">
        <v>0</v>
      </c>
      <c r="G45" s="306">
        <v>0</v>
      </c>
      <c r="H45" s="307">
        <v>0</v>
      </c>
      <c r="I45" s="306">
        <v>0</v>
      </c>
      <c r="J45" s="308">
        <v>0</v>
      </c>
      <c r="K45" s="308">
        <v>0</v>
      </c>
      <c r="L45" s="308">
        <v>0</v>
      </c>
      <c r="M45" s="307">
        <v>0</v>
      </c>
      <c r="N45" s="931"/>
      <c r="O45" s="931"/>
      <c r="P45" s="931"/>
      <c r="Q45" s="931"/>
      <c r="R45" s="931"/>
      <c r="S45" s="931"/>
      <c r="T45" s="931"/>
    </row>
    <row r="46" spans="1:20" ht="15.75" customHeight="1" thickBot="1">
      <c r="A46" s="254"/>
      <c r="B46" s="1503" t="s">
        <v>708</v>
      </c>
      <c r="C46" s="525" t="s">
        <v>707</v>
      </c>
      <c r="D46" s="923">
        <v>234850.51324261352</v>
      </c>
      <c r="E46" s="924">
        <v>526811.34734154493</v>
      </c>
      <c r="F46" s="924">
        <v>404534.9697882887</v>
      </c>
      <c r="G46" s="924">
        <v>319169.7237238423</v>
      </c>
      <c r="H46" s="925">
        <v>288445.63154927891</v>
      </c>
      <c r="I46" s="924">
        <v>299529.59962817095</v>
      </c>
      <c r="J46" s="926">
        <v>327695.19385689689</v>
      </c>
      <c r="K46" s="926">
        <v>362469.18346825638</v>
      </c>
      <c r="L46" s="926">
        <v>403263.08018172235</v>
      </c>
      <c r="M46" s="925">
        <v>450738.57893004559</v>
      </c>
      <c r="N46" s="949"/>
      <c r="O46" s="931"/>
      <c r="P46" s="931"/>
      <c r="Q46" s="931"/>
      <c r="R46" s="931"/>
      <c r="S46" s="931"/>
      <c r="T46" s="931"/>
    </row>
    <row r="47" spans="1:20">
      <c r="A47" s="258"/>
      <c r="B47" s="258"/>
      <c r="C47" s="258"/>
      <c r="D47" s="931"/>
      <c r="E47" s="931"/>
      <c r="F47" s="931"/>
      <c r="G47" s="931"/>
      <c r="H47" s="931"/>
      <c r="I47" s="931"/>
      <c r="J47" s="931"/>
      <c r="K47" s="931"/>
      <c r="L47" s="931"/>
      <c r="M47" s="931"/>
      <c r="N47" s="931"/>
      <c r="O47" s="931"/>
      <c r="P47" s="931"/>
      <c r="Q47" s="931"/>
      <c r="R47" s="931"/>
      <c r="S47" s="931"/>
      <c r="T47" s="931"/>
    </row>
    <row r="48" spans="1:20">
      <c r="A48" s="254"/>
      <c r="B48" s="254"/>
      <c r="C48" s="316"/>
      <c r="D48" s="932"/>
      <c r="E48" s="932"/>
      <c r="F48" s="932"/>
      <c r="G48" s="932"/>
      <c r="H48" s="932"/>
      <c r="I48" s="932"/>
      <c r="J48" s="932"/>
      <c r="K48" s="932"/>
      <c r="L48" s="932"/>
      <c r="M48" s="932"/>
      <c r="N48" s="931"/>
      <c r="O48" s="931"/>
      <c r="P48" s="931"/>
      <c r="Q48" s="931"/>
      <c r="R48" s="931"/>
      <c r="S48" s="931"/>
      <c r="T48" s="931"/>
    </row>
    <row r="49" spans="1:20" s="1000" customFormat="1" ht="15.75" customHeight="1">
      <c r="A49" s="1130"/>
      <c r="B49" s="1460" t="s">
        <v>443</v>
      </c>
      <c r="C49" s="320"/>
      <c r="D49" s="932"/>
      <c r="E49" s="932"/>
      <c r="F49" s="932"/>
      <c r="G49" s="932"/>
      <c r="H49" s="932"/>
      <c r="I49" s="932"/>
      <c r="J49" s="932"/>
      <c r="K49" s="932"/>
      <c r="L49" s="932"/>
      <c r="M49" s="932"/>
      <c r="N49" s="932"/>
      <c r="O49" s="1139"/>
      <c r="P49" s="1139"/>
      <c r="Q49" s="1139"/>
      <c r="R49" s="1132"/>
      <c r="S49" s="932"/>
      <c r="T49" s="932"/>
    </row>
    <row r="50" spans="1:20" ht="13.5" thickBot="1">
      <c r="A50" s="254"/>
      <c r="B50" s="1490"/>
      <c r="C50" s="316"/>
      <c r="D50" s="932"/>
      <c r="E50" s="932"/>
      <c r="F50" s="932"/>
      <c r="G50" s="932"/>
      <c r="H50" s="932"/>
      <c r="I50" s="932"/>
      <c r="J50" s="932"/>
      <c r="K50" s="932"/>
      <c r="L50" s="932"/>
      <c r="M50" s="932"/>
      <c r="N50" s="931"/>
      <c r="O50" s="931"/>
      <c r="P50" s="931"/>
      <c r="Q50" s="931"/>
      <c r="R50" s="931"/>
      <c r="S50" s="931"/>
      <c r="T50" s="931"/>
    </row>
    <row r="51" spans="1:20" ht="15.75" customHeight="1">
      <c r="A51" s="254"/>
      <c r="B51" s="1911" t="s">
        <v>443</v>
      </c>
      <c r="C51" s="1915" t="s">
        <v>31</v>
      </c>
      <c r="D51" s="933" t="s">
        <v>116</v>
      </c>
      <c r="E51" s="934"/>
      <c r="F51" s="934"/>
      <c r="G51" s="934"/>
      <c r="H51" s="935"/>
      <c r="I51" s="934" t="s">
        <v>117</v>
      </c>
      <c r="J51" s="936"/>
      <c r="K51" s="936"/>
      <c r="L51" s="936"/>
      <c r="M51" s="935"/>
      <c r="N51" s="931"/>
      <c r="O51" s="931"/>
      <c r="P51" s="931"/>
      <c r="Q51" s="931"/>
      <c r="R51" s="931"/>
      <c r="S51" s="931"/>
      <c r="T51" s="931"/>
    </row>
    <row r="52" spans="1:20" ht="26.25" customHeight="1">
      <c r="A52" s="254"/>
      <c r="B52" s="1912"/>
      <c r="C52" s="1916"/>
      <c r="D52" s="937" t="s">
        <v>32</v>
      </c>
      <c r="E52" s="938" t="s">
        <v>33</v>
      </c>
      <c r="F52" s="938" t="s">
        <v>29</v>
      </c>
      <c r="G52" s="938" t="s">
        <v>34</v>
      </c>
      <c r="H52" s="939" t="s">
        <v>35</v>
      </c>
      <c r="I52" s="940" t="s">
        <v>118</v>
      </c>
      <c r="J52" s="938" t="s">
        <v>136</v>
      </c>
      <c r="K52" s="938" t="s">
        <v>137</v>
      </c>
      <c r="L52" s="938" t="s">
        <v>138</v>
      </c>
      <c r="M52" s="939" t="s">
        <v>139</v>
      </c>
      <c r="N52" s="931"/>
      <c r="O52" s="931"/>
      <c r="P52" s="931"/>
      <c r="Q52" s="931"/>
      <c r="R52" s="931"/>
      <c r="S52" s="931"/>
      <c r="T52" s="931"/>
    </row>
    <row r="53" spans="1:20" ht="15.75" customHeight="1">
      <c r="A53" s="254"/>
      <c r="B53" s="1504" t="s">
        <v>444</v>
      </c>
      <c r="C53" s="1505"/>
      <c r="D53" s="950"/>
      <c r="E53" s="951"/>
      <c r="F53" s="951"/>
      <c r="G53" s="951"/>
      <c r="H53" s="952"/>
      <c r="I53" s="945"/>
      <c r="J53" s="945"/>
      <c r="K53" s="945"/>
      <c r="L53" s="945"/>
      <c r="M53" s="946"/>
      <c r="N53" s="953"/>
      <c r="O53" s="931"/>
      <c r="P53" s="931"/>
      <c r="Q53" s="931"/>
      <c r="R53" s="931"/>
      <c r="S53" s="931"/>
      <c r="T53" s="931"/>
    </row>
    <row r="54" spans="1:20" ht="15.75" customHeight="1">
      <c r="A54" s="254"/>
      <c r="B54" s="1494" t="s">
        <v>519</v>
      </c>
      <c r="C54" s="526"/>
      <c r="D54" s="954"/>
      <c r="E54" s="955"/>
      <c r="F54" s="955"/>
      <c r="G54" s="955"/>
      <c r="H54" s="956"/>
      <c r="I54" s="947"/>
      <c r="J54" s="947"/>
      <c r="K54" s="947"/>
      <c r="L54" s="947"/>
      <c r="M54" s="948"/>
      <c r="N54" s="953"/>
      <c r="O54" s="931"/>
      <c r="P54" s="931"/>
      <c r="Q54" s="931"/>
      <c r="R54" s="931"/>
      <c r="S54" s="931"/>
      <c r="T54" s="931"/>
    </row>
    <row r="55" spans="1:20" ht="15.75" customHeight="1">
      <c r="A55" s="254"/>
      <c r="B55" s="1143" t="s">
        <v>520</v>
      </c>
      <c r="C55" s="526" t="s">
        <v>521</v>
      </c>
      <c r="D55" s="1506">
        <v>1</v>
      </c>
      <c r="E55" s="1507">
        <v>0</v>
      </c>
      <c r="F55" s="1507">
        <v>4</v>
      </c>
      <c r="G55" s="1507">
        <v>4</v>
      </c>
      <c r="H55" s="1508">
        <v>3</v>
      </c>
      <c r="I55" s="1507">
        <v>3</v>
      </c>
      <c r="J55" s="1509">
        <v>4</v>
      </c>
      <c r="K55" s="1509">
        <v>4</v>
      </c>
      <c r="L55" s="1509">
        <v>5</v>
      </c>
      <c r="M55" s="1508">
        <v>5</v>
      </c>
      <c r="N55" s="931"/>
      <c r="O55" s="931"/>
      <c r="P55" s="931"/>
      <c r="Q55" s="931"/>
      <c r="R55" s="931"/>
      <c r="S55" s="931"/>
      <c r="T55" s="931"/>
    </row>
    <row r="56" spans="1:20" ht="15.75" customHeight="1">
      <c r="A56" s="254"/>
      <c r="B56" s="1143" t="s">
        <v>522</v>
      </c>
      <c r="C56" s="526" t="s">
        <v>521</v>
      </c>
      <c r="D56" s="1506">
        <v>34709</v>
      </c>
      <c r="E56" s="1507">
        <v>32183</v>
      </c>
      <c r="F56" s="1507">
        <v>29520</v>
      </c>
      <c r="G56" s="1507">
        <v>20064</v>
      </c>
      <c r="H56" s="1508">
        <v>21471</v>
      </c>
      <c r="I56" s="1507">
        <v>21340</v>
      </c>
      <c r="J56" s="1509">
        <v>22365</v>
      </c>
      <c r="K56" s="1509">
        <v>24164</v>
      </c>
      <c r="L56" s="1509">
        <v>26142</v>
      </c>
      <c r="M56" s="1508">
        <v>28314</v>
      </c>
      <c r="N56" s="931"/>
      <c r="O56" s="931"/>
      <c r="P56" s="931"/>
      <c r="Q56" s="931"/>
      <c r="R56" s="931"/>
      <c r="S56" s="931"/>
      <c r="T56" s="931"/>
    </row>
    <row r="57" spans="1:20" ht="15.75" customHeight="1">
      <c r="A57" s="254"/>
      <c r="B57" s="1143" t="s">
        <v>850</v>
      </c>
      <c r="C57" s="526" t="s">
        <v>521</v>
      </c>
      <c r="D57" s="1506">
        <v>6042</v>
      </c>
      <c r="E57" s="1507">
        <v>12688</v>
      </c>
      <c r="F57" s="1507">
        <v>16347</v>
      </c>
      <c r="G57" s="1507">
        <v>15969</v>
      </c>
      <c r="H57" s="1508">
        <v>16768</v>
      </c>
      <c r="I57" s="1507">
        <v>15929</v>
      </c>
      <c r="J57" s="1509">
        <v>14336</v>
      </c>
      <c r="K57" s="1509">
        <v>14336</v>
      </c>
      <c r="L57" s="1509">
        <v>14336</v>
      </c>
      <c r="M57" s="1508">
        <v>14336</v>
      </c>
      <c r="N57" s="931"/>
      <c r="O57" s="931"/>
      <c r="P57" s="931"/>
      <c r="Q57" s="931"/>
      <c r="R57" s="931"/>
      <c r="S57" s="931"/>
      <c r="T57" s="931"/>
    </row>
    <row r="58" spans="1:20" ht="15.75" customHeight="1">
      <c r="A58" s="254"/>
      <c r="B58" s="1494" t="s">
        <v>682</v>
      </c>
      <c r="C58" s="526"/>
      <c r="D58" s="1510"/>
      <c r="E58" s="1511"/>
      <c r="F58" s="1511"/>
      <c r="G58" s="1511"/>
      <c r="H58" s="1512"/>
      <c r="I58" s="1513"/>
      <c r="J58" s="1513"/>
      <c r="K58" s="1513"/>
      <c r="L58" s="1513"/>
      <c r="M58" s="1514"/>
      <c r="N58" s="953"/>
      <c r="O58" s="931"/>
      <c r="P58" s="931"/>
      <c r="Q58" s="931"/>
      <c r="R58" s="931"/>
      <c r="S58" s="931"/>
      <c r="T58" s="931"/>
    </row>
    <row r="59" spans="1:20" ht="15.75" customHeight="1">
      <c r="A59" s="254"/>
      <c r="B59" s="1143" t="s">
        <v>520</v>
      </c>
      <c r="C59" s="526" t="s">
        <v>521</v>
      </c>
      <c r="D59" s="1506">
        <v>2</v>
      </c>
      <c r="E59" s="1507">
        <v>5</v>
      </c>
      <c r="F59" s="1507">
        <v>6</v>
      </c>
      <c r="G59" s="1507">
        <v>5</v>
      </c>
      <c r="H59" s="1508">
        <v>5</v>
      </c>
      <c r="I59" s="1507">
        <v>5</v>
      </c>
      <c r="J59" s="1509">
        <v>6</v>
      </c>
      <c r="K59" s="1509">
        <v>6</v>
      </c>
      <c r="L59" s="1509">
        <v>7</v>
      </c>
      <c r="M59" s="1508">
        <v>8</v>
      </c>
      <c r="N59" s="931"/>
      <c r="O59" s="931"/>
      <c r="P59" s="931"/>
      <c r="Q59" s="931"/>
      <c r="R59" s="931"/>
      <c r="S59" s="931"/>
      <c r="T59" s="931"/>
    </row>
    <row r="60" spans="1:20" ht="15.75" customHeight="1">
      <c r="A60" s="254"/>
      <c r="B60" s="1143" t="s">
        <v>522</v>
      </c>
      <c r="C60" s="526" t="s">
        <v>521</v>
      </c>
      <c r="D60" s="1506">
        <v>54</v>
      </c>
      <c r="E60" s="1507">
        <v>615</v>
      </c>
      <c r="F60" s="1507">
        <v>376</v>
      </c>
      <c r="G60" s="1507">
        <v>336</v>
      </c>
      <c r="H60" s="1508">
        <v>302</v>
      </c>
      <c r="I60" s="1507">
        <v>317</v>
      </c>
      <c r="J60" s="1509">
        <v>348</v>
      </c>
      <c r="K60" s="1509">
        <v>386</v>
      </c>
      <c r="L60" s="1509">
        <v>432</v>
      </c>
      <c r="M60" s="1508">
        <v>488</v>
      </c>
      <c r="N60" s="931"/>
      <c r="O60" s="931"/>
      <c r="P60" s="931"/>
      <c r="Q60" s="931"/>
      <c r="R60" s="931"/>
      <c r="S60" s="931"/>
      <c r="T60" s="931"/>
    </row>
    <row r="61" spans="1:20" ht="15.75" customHeight="1">
      <c r="A61" s="254"/>
      <c r="B61" s="1143" t="s">
        <v>850</v>
      </c>
      <c r="C61" s="526" t="s">
        <v>521</v>
      </c>
      <c r="D61" s="1506">
        <v>61</v>
      </c>
      <c r="E61" s="1507">
        <v>128</v>
      </c>
      <c r="F61" s="1507">
        <v>165</v>
      </c>
      <c r="G61" s="1507">
        <v>161</v>
      </c>
      <c r="H61" s="1508">
        <v>169</v>
      </c>
      <c r="I61" s="1507">
        <v>161</v>
      </c>
      <c r="J61" s="1509">
        <v>145</v>
      </c>
      <c r="K61" s="1509">
        <v>145</v>
      </c>
      <c r="L61" s="1509">
        <v>145</v>
      </c>
      <c r="M61" s="1508">
        <v>145</v>
      </c>
      <c r="N61" s="931"/>
      <c r="O61" s="931"/>
      <c r="P61" s="931"/>
      <c r="Q61" s="931"/>
      <c r="R61" s="931"/>
      <c r="S61" s="931"/>
      <c r="T61" s="931"/>
    </row>
    <row r="62" spans="1:20" ht="15.75" customHeight="1">
      <c r="A62" s="254"/>
      <c r="B62" s="1494" t="s">
        <v>849</v>
      </c>
      <c r="C62" s="526"/>
      <c r="D62" s="1510"/>
      <c r="E62" s="1511"/>
      <c r="F62" s="1511"/>
      <c r="G62" s="1511"/>
      <c r="H62" s="1512"/>
      <c r="I62" s="1513"/>
      <c r="J62" s="1513"/>
      <c r="K62" s="1513"/>
      <c r="L62" s="1513"/>
      <c r="M62" s="1514"/>
      <c r="N62" s="953"/>
      <c r="O62" s="931"/>
      <c r="P62" s="931"/>
      <c r="Q62" s="931"/>
      <c r="R62" s="931"/>
      <c r="S62" s="931"/>
      <c r="T62" s="931"/>
    </row>
    <row r="63" spans="1:20" ht="15.75" customHeight="1">
      <c r="A63" s="254"/>
      <c r="B63" s="1143" t="s">
        <v>520</v>
      </c>
      <c r="C63" s="526" t="s">
        <v>521</v>
      </c>
      <c r="D63" s="1506">
        <v>0</v>
      </c>
      <c r="E63" s="1507">
        <v>0</v>
      </c>
      <c r="F63" s="1507">
        <v>0</v>
      </c>
      <c r="G63" s="1507">
        <v>0</v>
      </c>
      <c r="H63" s="1508">
        <v>0</v>
      </c>
      <c r="I63" s="1507">
        <v>0</v>
      </c>
      <c r="J63" s="1509">
        <v>0</v>
      </c>
      <c r="K63" s="1509">
        <v>0</v>
      </c>
      <c r="L63" s="1509">
        <v>0</v>
      </c>
      <c r="M63" s="1508">
        <v>0</v>
      </c>
      <c r="N63" s="931"/>
      <c r="O63" s="931"/>
      <c r="P63" s="931"/>
      <c r="Q63" s="931"/>
      <c r="R63" s="931"/>
      <c r="S63" s="931"/>
      <c r="T63" s="931"/>
    </row>
    <row r="64" spans="1:20" ht="15.75" customHeight="1">
      <c r="A64" s="254"/>
      <c r="B64" s="1143" t="s">
        <v>522</v>
      </c>
      <c r="C64" s="526" t="s">
        <v>521</v>
      </c>
      <c r="D64" s="1506">
        <v>0</v>
      </c>
      <c r="E64" s="1507">
        <v>0</v>
      </c>
      <c r="F64" s="1507">
        <v>0</v>
      </c>
      <c r="G64" s="1507">
        <v>0</v>
      </c>
      <c r="H64" s="1508">
        <v>0</v>
      </c>
      <c r="I64" s="1507">
        <v>0</v>
      </c>
      <c r="J64" s="1509">
        <v>0</v>
      </c>
      <c r="K64" s="1509">
        <v>0</v>
      </c>
      <c r="L64" s="1509">
        <v>0</v>
      </c>
      <c r="M64" s="1508">
        <v>0</v>
      </c>
      <c r="N64" s="931"/>
      <c r="O64" s="931"/>
      <c r="P64" s="931"/>
      <c r="Q64" s="931"/>
      <c r="R64" s="931"/>
      <c r="S64" s="931"/>
      <c r="T64" s="931"/>
    </row>
    <row r="65" spans="1:20" ht="15.75" customHeight="1">
      <c r="A65" s="254"/>
      <c r="B65" s="1143" t="s">
        <v>850</v>
      </c>
      <c r="C65" s="526" t="s">
        <v>521</v>
      </c>
      <c r="D65" s="1506">
        <v>0</v>
      </c>
      <c r="E65" s="1507">
        <v>0</v>
      </c>
      <c r="F65" s="1507">
        <v>0</v>
      </c>
      <c r="G65" s="1507">
        <v>0</v>
      </c>
      <c r="H65" s="1508">
        <v>0</v>
      </c>
      <c r="I65" s="1507">
        <v>0</v>
      </c>
      <c r="J65" s="1509">
        <v>0</v>
      </c>
      <c r="K65" s="1509">
        <v>0</v>
      </c>
      <c r="L65" s="1509">
        <v>0</v>
      </c>
      <c r="M65" s="1508">
        <v>0</v>
      </c>
      <c r="N65" s="931"/>
      <c r="O65" s="931"/>
      <c r="P65" s="931"/>
      <c r="Q65" s="931"/>
      <c r="R65" s="931"/>
      <c r="S65" s="931"/>
      <c r="T65" s="931"/>
    </row>
    <row r="66" spans="1:20" ht="15.75" customHeight="1">
      <c r="A66" s="254"/>
      <c r="B66" s="1494" t="s">
        <v>852</v>
      </c>
      <c r="C66" s="526"/>
      <c r="D66" s="1510"/>
      <c r="E66" s="1511"/>
      <c r="F66" s="1511"/>
      <c r="G66" s="1511"/>
      <c r="H66" s="1512"/>
      <c r="I66" s="1513"/>
      <c r="J66" s="1513"/>
      <c r="K66" s="1513"/>
      <c r="L66" s="1513"/>
      <c r="M66" s="1514"/>
      <c r="N66" s="953"/>
      <c r="O66" s="931"/>
      <c r="P66" s="931"/>
      <c r="Q66" s="931"/>
      <c r="R66" s="931"/>
      <c r="S66" s="931"/>
      <c r="T66" s="931"/>
    </row>
    <row r="67" spans="1:20" ht="15.75" customHeight="1">
      <c r="A67" s="254"/>
      <c r="B67" s="1143" t="s">
        <v>520</v>
      </c>
      <c r="C67" s="526" t="s">
        <v>521</v>
      </c>
      <c r="D67" s="1515">
        <v>0</v>
      </c>
      <c r="E67" s="1516">
        <v>0</v>
      </c>
      <c r="F67" s="1516">
        <v>0</v>
      </c>
      <c r="G67" s="1516">
        <v>0</v>
      </c>
      <c r="H67" s="1517">
        <v>0</v>
      </c>
      <c r="I67" s="1516">
        <v>0</v>
      </c>
      <c r="J67" s="1518">
        <v>0</v>
      </c>
      <c r="K67" s="1518">
        <v>0</v>
      </c>
      <c r="L67" s="1518">
        <v>0</v>
      </c>
      <c r="M67" s="1517">
        <v>0</v>
      </c>
      <c r="N67" s="931"/>
      <c r="O67" s="931"/>
      <c r="P67" s="931"/>
      <c r="Q67" s="931"/>
      <c r="R67" s="931"/>
      <c r="S67" s="931"/>
      <c r="T67" s="931"/>
    </row>
    <row r="68" spans="1:20" ht="15.75" customHeight="1">
      <c r="A68" s="254"/>
      <c r="B68" s="1143" t="s">
        <v>522</v>
      </c>
      <c r="C68" s="526" t="s">
        <v>521</v>
      </c>
      <c r="D68" s="1515">
        <v>0</v>
      </c>
      <c r="E68" s="1516">
        <v>0</v>
      </c>
      <c r="F68" s="1516">
        <v>0</v>
      </c>
      <c r="G68" s="1516">
        <v>0</v>
      </c>
      <c r="H68" s="1517">
        <v>0</v>
      </c>
      <c r="I68" s="1516">
        <v>0</v>
      </c>
      <c r="J68" s="1518">
        <v>0</v>
      </c>
      <c r="K68" s="1518">
        <v>0</v>
      </c>
      <c r="L68" s="1518">
        <v>0</v>
      </c>
      <c r="M68" s="1517">
        <v>0</v>
      </c>
      <c r="N68" s="931"/>
      <c r="O68" s="931"/>
      <c r="P68" s="931"/>
      <c r="Q68" s="931"/>
      <c r="R68" s="931"/>
      <c r="S68" s="931"/>
      <c r="T68" s="931"/>
    </row>
    <row r="69" spans="1:20" ht="15.75" customHeight="1">
      <c r="A69" s="254"/>
      <c r="B69" s="1143" t="s">
        <v>850</v>
      </c>
      <c r="C69" s="526" t="s">
        <v>521</v>
      </c>
      <c r="D69" s="1506">
        <v>0</v>
      </c>
      <c r="E69" s="1507">
        <v>0</v>
      </c>
      <c r="F69" s="1507">
        <v>0</v>
      </c>
      <c r="G69" s="1507">
        <v>0</v>
      </c>
      <c r="H69" s="1508">
        <v>0</v>
      </c>
      <c r="I69" s="1507">
        <v>0</v>
      </c>
      <c r="J69" s="1509">
        <v>0</v>
      </c>
      <c r="K69" s="1509">
        <v>0</v>
      </c>
      <c r="L69" s="1509">
        <v>0</v>
      </c>
      <c r="M69" s="1508">
        <v>0</v>
      </c>
      <c r="N69" s="931"/>
      <c r="O69" s="931"/>
      <c r="P69" s="931"/>
      <c r="Q69" s="931"/>
      <c r="R69" s="931"/>
      <c r="S69" s="931"/>
      <c r="T69" s="931"/>
    </row>
    <row r="70" spans="1:20" ht="15.75" customHeight="1">
      <c r="A70" s="254"/>
      <c r="B70" s="1492" t="s">
        <v>853</v>
      </c>
      <c r="C70" s="526" t="s">
        <v>521</v>
      </c>
      <c r="D70" s="1519">
        <v>34766</v>
      </c>
      <c r="E70" s="1520">
        <v>32803</v>
      </c>
      <c r="F70" s="1520">
        <v>29906</v>
      </c>
      <c r="G70" s="1520">
        <v>20409</v>
      </c>
      <c r="H70" s="1521">
        <v>21781</v>
      </c>
      <c r="I70" s="1522">
        <v>21665</v>
      </c>
      <c r="J70" s="1520">
        <v>22723</v>
      </c>
      <c r="K70" s="1520">
        <v>24560</v>
      </c>
      <c r="L70" s="1520">
        <v>26586</v>
      </c>
      <c r="M70" s="1521">
        <v>28815</v>
      </c>
      <c r="N70" s="957"/>
      <c r="O70" s="931"/>
      <c r="P70" s="931"/>
      <c r="Q70" s="931"/>
      <c r="R70" s="931"/>
      <c r="S70" s="931"/>
      <c r="T70" s="931"/>
    </row>
    <row r="71" spans="1:20" ht="15.75" customHeight="1" thickBot="1">
      <c r="A71" s="254"/>
      <c r="B71" s="1523" t="s">
        <v>856</v>
      </c>
      <c r="C71" s="527" t="s">
        <v>521</v>
      </c>
      <c r="D71" s="1524">
        <v>6103</v>
      </c>
      <c r="E71" s="1525">
        <v>12816</v>
      </c>
      <c r="F71" s="1525">
        <v>16512</v>
      </c>
      <c r="G71" s="1525">
        <v>16130</v>
      </c>
      <c r="H71" s="1526">
        <v>16937</v>
      </c>
      <c r="I71" s="1527">
        <v>16090</v>
      </c>
      <c r="J71" s="1525">
        <v>14481</v>
      </c>
      <c r="K71" s="1525">
        <v>14481</v>
      </c>
      <c r="L71" s="1525">
        <v>14481</v>
      </c>
      <c r="M71" s="1526">
        <v>14481</v>
      </c>
      <c r="N71" s="957"/>
      <c r="O71" s="931"/>
      <c r="P71" s="931"/>
      <c r="Q71" s="931"/>
      <c r="R71" s="931"/>
      <c r="S71" s="931"/>
      <c r="T71" s="931"/>
    </row>
    <row r="72" spans="1:20">
      <c r="A72" s="254"/>
      <c r="B72" s="1528"/>
      <c r="C72" s="327"/>
      <c r="D72" s="931"/>
      <c r="E72" s="931"/>
      <c r="F72" s="931"/>
      <c r="G72" s="931"/>
      <c r="H72" s="931"/>
      <c r="I72" s="931"/>
      <c r="J72" s="931"/>
      <c r="K72" s="931"/>
      <c r="L72" s="931"/>
      <c r="M72" s="931"/>
      <c r="N72" s="931"/>
      <c r="O72" s="931"/>
      <c r="P72" s="931"/>
      <c r="Q72" s="931"/>
      <c r="R72" s="931"/>
      <c r="S72" s="931"/>
      <c r="T72" s="931"/>
    </row>
    <row r="73" spans="1:20">
      <c r="A73" s="254"/>
      <c r="B73" s="1529"/>
      <c r="C73" s="528"/>
      <c r="D73" s="958"/>
      <c r="E73" s="958"/>
      <c r="F73" s="958"/>
      <c r="G73" s="958"/>
      <c r="H73" s="958"/>
      <c r="I73" s="958"/>
      <c r="J73" s="958"/>
      <c r="K73" s="958"/>
      <c r="L73" s="958"/>
      <c r="M73" s="958"/>
      <c r="N73" s="931"/>
      <c r="O73" s="958"/>
      <c r="P73" s="958"/>
      <c r="Q73" s="958"/>
      <c r="R73" s="931"/>
      <c r="S73" s="958"/>
      <c r="T73" s="958"/>
    </row>
    <row r="74" spans="1:20" s="1000" customFormat="1" ht="15.75" customHeight="1">
      <c r="A74" s="1130"/>
      <c r="B74" s="1460" t="s">
        <v>857</v>
      </c>
      <c r="C74" s="320"/>
      <c r="D74" s="932"/>
      <c r="E74" s="932"/>
      <c r="F74" s="932"/>
      <c r="G74" s="932"/>
      <c r="H74" s="932"/>
      <c r="I74" s="932"/>
      <c r="J74" s="932"/>
      <c r="K74" s="932"/>
      <c r="L74" s="932"/>
      <c r="M74" s="932"/>
      <c r="N74" s="932"/>
      <c r="O74" s="1139"/>
      <c r="P74" s="1139"/>
      <c r="Q74" s="1139"/>
      <c r="R74" s="1132"/>
      <c r="S74" s="932"/>
      <c r="T74" s="932"/>
    </row>
    <row r="75" spans="1:20" ht="13.5" thickBot="1">
      <c r="A75" s="254"/>
      <c r="B75" s="1490"/>
      <c r="C75" s="528"/>
      <c r="D75" s="958"/>
      <c r="E75" s="958"/>
      <c r="F75" s="958"/>
      <c r="G75" s="958"/>
      <c r="H75" s="958"/>
      <c r="I75" s="958"/>
      <c r="J75" s="958"/>
      <c r="K75" s="958"/>
      <c r="L75" s="958"/>
      <c r="M75" s="958"/>
      <c r="N75" s="931"/>
      <c r="O75" s="958"/>
      <c r="P75" s="958"/>
      <c r="Q75" s="958"/>
      <c r="R75" s="931"/>
      <c r="S75" s="958"/>
      <c r="T75" s="958"/>
    </row>
    <row r="76" spans="1:20" ht="15.75" customHeight="1">
      <c r="A76" s="254"/>
      <c r="B76" s="1911" t="s">
        <v>857</v>
      </c>
      <c r="C76" s="1915" t="s">
        <v>31</v>
      </c>
      <c r="D76" s="933" t="s">
        <v>116</v>
      </c>
      <c r="E76" s="934"/>
      <c r="F76" s="934"/>
      <c r="G76" s="934"/>
      <c r="H76" s="935"/>
      <c r="I76" s="934" t="s">
        <v>117</v>
      </c>
      <c r="J76" s="936"/>
      <c r="K76" s="936"/>
      <c r="L76" s="936"/>
      <c r="M76" s="935"/>
      <c r="N76" s="931"/>
      <c r="O76" s="959" t="s">
        <v>116</v>
      </c>
      <c r="P76" s="960"/>
      <c r="Q76" s="961"/>
      <c r="R76" s="931"/>
      <c r="S76" s="959" t="s">
        <v>117</v>
      </c>
      <c r="T76" s="961"/>
    </row>
    <row r="77" spans="1:20" ht="25.5">
      <c r="A77" s="254"/>
      <c r="B77" s="1912"/>
      <c r="C77" s="1916"/>
      <c r="D77" s="937" t="s">
        <v>32</v>
      </c>
      <c r="E77" s="938" t="s">
        <v>33</v>
      </c>
      <c r="F77" s="938" t="s">
        <v>29</v>
      </c>
      <c r="G77" s="938" t="s">
        <v>34</v>
      </c>
      <c r="H77" s="939" t="s">
        <v>35</v>
      </c>
      <c r="I77" s="940" t="s">
        <v>118</v>
      </c>
      <c r="J77" s="938" t="s">
        <v>136</v>
      </c>
      <c r="K77" s="938" t="s">
        <v>137</v>
      </c>
      <c r="L77" s="938" t="s">
        <v>138</v>
      </c>
      <c r="M77" s="939" t="s">
        <v>139</v>
      </c>
      <c r="N77" s="931"/>
      <c r="O77" s="962" t="s">
        <v>126</v>
      </c>
      <c r="P77" s="963" t="s">
        <v>127</v>
      </c>
      <c r="Q77" s="964" t="s">
        <v>246</v>
      </c>
      <c r="R77" s="931"/>
      <c r="S77" s="962" t="s">
        <v>127</v>
      </c>
      <c r="T77" s="964" t="s">
        <v>128</v>
      </c>
    </row>
    <row r="78" spans="1:20" ht="15.75" customHeight="1">
      <c r="A78" s="254"/>
      <c r="B78" s="1530" t="s">
        <v>862</v>
      </c>
      <c r="C78" s="1531"/>
      <c r="D78" s="950"/>
      <c r="E78" s="951"/>
      <c r="F78" s="951"/>
      <c r="G78" s="951"/>
      <c r="H78" s="952"/>
      <c r="I78" s="945"/>
      <c r="J78" s="945"/>
      <c r="K78" s="945"/>
      <c r="L78" s="945"/>
      <c r="M78" s="946"/>
      <c r="N78" s="931"/>
      <c r="O78" s="944"/>
      <c r="P78" s="945"/>
      <c r="Q78" s="946"/>
      <c r="R78" s="931"/>
      <c r="S78" s="944"/>
      <c r="T78" s="946"/>
    </row>
    <row r="79" spans="1:20" ht="15.75" customHeight="1">
      <c r="A79" s="254"/>
      <c r="B79" s="1532" t="s">
        <v>671</v>
      </c>
      <c r="C79" s="329"/>
      <c r="D79" s="941"/>
      <c r="E79" s="942"/>
      <c r="F79" s="942"/>
      <c r="G79" s="942"/>
      <c r="H79" s="943"/>
      <c r="I79" s="942"/>
      <c r="J79" s="942"/>
      <c r="K79" s="942"/>
      <c r="L79" s="942"/>
      <c r="M79" s="943"/>
      <c r="N79" s="931"/>
      <c r="O79" s="965"/>
      <c r="P79" s="966"/>
      <c r="Q79" s="967"/>
      <c r="R79" s="931"/>
      <c r="S79" s="941"/>
      <c r="T79" s="943"/>
    </row>
    <row r="80" spans="1:20" ht="15.75" customHeight="1">
      <c r="A80" s="254"/>
      <c r="B80" s="1144" t="s">
        <v>863</v>
      </c>
      <c r="C80" s="526" t="s">
        <v>14</v>
      </c>
      <c r="D80" s="305">
        <v>0</v>
      </c>
      <c r="E80" s="306">
        <v>0</v>
      </c>
      <c r="F80" s="306">
        <v>0</v>
      </c>
      <c r="G80" s="306">
        <v>20.745756192041522</v>
      </c>
      <c r="H80" s="307">
        <v>17.044525749999998</v>
      </c>
      <c r="I80" s="306">
        <v>16.488626912133892</v>
      </c>
      <c r="J80" s="308">
        <v>17.567500956085322</v>
      </c>
      <c r="K80" s="308">
        <v>19.3103553125</v>
      </c>
      <c r="L80" s="308">
        <v>20.670883639112905</v>
      </c>
      <c r="M80" s="307">
        <v>22.012389400581959</v>
      </c>
      <c r="N80" s="931"/>
      <c r="O80" s="543">
        <v>0</v>
      </c>
      <c r="P80" s="544">
        <v>37.790281942041517</v>
      </c>
      <c r="Q80" s="545">
        <v>37.790281942041517</v>
      </c>
      <c r="R80" s="931"/>
      <c r="S80" s="543">
        <v>96.049756220414082</v>
      </c>
      <c r="T80" s="1477">
        <v>1.5416522789569125</v>
      </c>
    </row>
    <row r="81" spans="1:20" ht="15.75" customHeight="1">
      <c r="A81" s="254"/>
      <c r="B81" s="1144" t="s">
        <v>864</v>
      </c>
      <c r="C81" s="526" t="s">
        <v>14</v>
      </c>
      <c r="D81" s="305">
        <v>11.861202288918703</v>
      </c>
      <c r="E81" s="306">
        <v>27.291634283044864</v>
      </c>
      <c r="F81" s="306">
        <v>36.554273891590519</v>
      </c>
      <c r="G81" s="306">
        <v>12.109962944636678</v>
      </c>
      <c r="H81" s="307">
        <v>8.6213589549418597</v>
      </c>
      <c r="I81" s="306">
        <v>8.39241489539749</v>
      </c>
      <c r="J81" s="308">
        <v>8.9811381292346297</v>
      </c>
      <c r="K81" s="308">
        <v>9.8522220982142859</v>
      </c>
      <c r="L81" s="308">
        <v>10.630740157258066</v>
      </c>
      <c r="M81" s="307">
        <v>11.301003486905916</v>
      </c>
      <c r="N81" s="931"/>
      <c r="O81" s="543">
        <v>75.707110463554088</v>
      </c>
      <c r="P81" s="544">
        <v>20.731321899578539</v>
      </c>
      <c r="Q81" s="545">
        <v>96.43843236313262</v>
      </c>
      <c r="R81" s="931"/>
      <c r="S81" s="543">
        <v>49.157518767010387</v>
      </c>
      <c r="T81" s="1477">
        <v>-0.49027044962830835</v>
      </c>
    </row>
    <row r="82" spans="1:20" ht="15.75" customHeight="1">
      <c r="A82" s="254"/>
      <c r="B82" s="1533" t="s">
        <v>865</v>
      </c>
      <c r="C82" s="526" t="s">
        <v>14</v>
      </c>
      <c r="D82" s="543">
        <v>11.861202288918703</v>
      </c>
      <c r="E82" s="1534">
        <v>27.291634283044864</v>
      </c>
      <c r="F82" s="1534">
        <v>36.554273891590519</v>
      </c>
      <c r="G82" s="1534">
        <v>32.855719136678204</v>
      </c>
      <c r="H82" s="545">
        <v>25.66588470494186</v>
      </c>
      <c r="I82" s="1534">
        <v>24.881041807531382</v>
      </c>
      <c r="J82" s="544">
        <v>26.548639085319952</v>
      </c>
      <c r="K82" s="544">
        <v>29.162577410714285</v>
      </c>
      <c r="L82" s="544">
        <v>31.301623796370968</v>
      </c>
      <c r="M82" s="545">
        <v>33.313392887487879</v>
      </c>
      <c r="N82" s="931"/>
      <c r="O82" s="543">
        <v>75.707110463554088</v>
      </c>
      <c r="P82" s="544">
        <v>58.521603841620063</v>
      </c>
      <c r="Q82" s="545">
        <v>134.22871430517415</v>
      </c>
      <c r="R82" s="931"/>
      <c r="S82" s="543">
        <v>145.20727498742446</v>
      </c>
      <c r="T82" s="1477">
        <v>8.1789956337435549E-2</v>
      </c>
    </row>
    <row r="83" spans="1:20" ht="15.75" customHeight="1">
      <c r="A83" s="254"/>
      <c r="B83" s="1532" t="s">
        <v>672</v>
      </c>
      <c r="C83" s="330"/>
      <c r="D83" s="1535"/>
      <c r="E83" s="1536"/>
      <c r="F83" s="1536"/>
      <c r="G83" s="1536"/>
      <c r="H83" s="1537"/>
      <c r="I83" s="1536"/>
      <c r="J83" s="1536"/>
      <c r="K83" s="1536"/>
      <c r="L83" s="1536"/>
      <c r="M83" s="1537"/>
      <c r="N83" s="931"/>
      <c r="O83" s="1538"/>
      <c r="P83" s="1536"/>
      <c r="Q83" s="1537"/>
      <c r="R83" s="931"/>
      <c r="S83" s="1535"/>
      <c r="T83" s="1537"/>
    </row>
    <row r="84" spans="1:20" ht="15.75" customHeight="1">
      <c r="A84" s="254"/>
      <c r="B84" s="1144" t="s">
        <v>863</v>
      </c>
      <c r="C84" s="526" t="s">
        <v>14</v>
      </c>
      <c r="D84" s="305">
        <v>0</v>
      </c>
      <c r="E84" s="306">
        <v>0</v>
      </c>
      <c r="F84" s="306">
        <v>0</v>
      </c>
      <c r="G84" s="306">
        <v>1.4889298702422145</v>
      </c>
      <c r="H84" s="307">
        <v>3.3692667180232556</v>
      </c>
      <c r="I84" s="306">
        <v>2.6658259079497908</v>
      </c>
      <c r="J84" s="308">
        <v>2.7634271166875783</v>
      </c>
      <c r="K84" s="308">
        <v>2.7586221874999999</v>
      </c>
      <c r="L84" s="308">
        <v>2.8545505977822581</v>
      </c>
      <c r="M84" s="307">
        <v>2.9480878661493697</v>
      </c>
      <c r="N84" s="931"/>
      <c r="O84" s="543">
        <v>0</v>
      </c>
      <c r="P84" s="544">
        <v>4.8581965882654696</v>
      </c>
      <c r="Q84" s="545">
        <v>4.8581965882654696</v>
      </c>
      <c r="R84" s="931"/>
      <c r="S84" s="543">
        <v>13.990513676068998</v>
      </c>
      <c r="T84" s="1477">
        <v>1.8797751226991939</v>
      </c>
    </row>
    <row r="85" spans="1:20" ht="15.75" customHeight="1">
      <c r="A85" s="254"/>
      <c r="B85" s="1144" t="s">
        <v>864</v>
      </c>
      <c r="C85" s="526" t="s">
        <v>14</v>
      </c>
      <c r="D85" s="305">
        <v>1.3838069337071819</v>
      </c>
      <c r="E85" s="306">
        <v>3.1757538074815841</v>
      </c>
      <c r="F85" s="306">
        <v>7.1519231527024933</v>
      </c>
      <c r="G85" s="306">
        <v>0.99261991349480971</v>
      </c>
      <c r="H85" s="307">
        <v>2.4774019985465117</v>
      </c>
      <c r="I85" s="306">
        <v>3.0607630794979079</v>
      </c>
      <c r="J85" s="308">
        <v>3.0595085934755333</v>
      </c>
      <c r="K85" s="308">
        <v>3.1527110714285715</v>
      </c>
      <c r="L85" s="308">
        <v>3.2482817147177419</v>
      </c>
      <c r="M85" s="307">
        <v>3.2428966527643062</v>
      </c>
      <c r="N85" s="931"/>
      <c r="O85" s="543">
        <v>11.711483893891259</v>
      </c>
      <c r="P85" s="544">
        <v>3.4700219120413216</v>
      </c>
      <c r="Q85" s="545">
        <v>15.181505805932581</v>
      </c>
      <c r="R85" s="931"/>
      <c r="S85" s="543">
        <v>15.764161111884061</v>
      </c>
      <c r="T85" s="1477">
        <v>3.8379282885350668E-2</v>
      </c>
    </row>
    <row r="86" spans="1:20" ht="15.75" customHeight="1">
      <c r="A86" s="254"/>
      <c r="B86" s="1533" t="s">
        <v>866</v>
      </c>
      <c r="C86" s="526" t="s">
        <v>14</v>
      </c>
      <c r="D86" s="543">
        <v>1.3838069337071819</v>
      </c>
      <c r="E86" s="1534">
        <v>3.1757538074815841</v>
      </c>
      <c r="F86" s="1534">
        <v>7.1519231527024933</v>
      </c>
      <c r="G86" s="1534">
        <v>2.481549783737024</v>
      </c>
      <c r="H86" s="545">
        <v>5.8466687165697673</v>
      </c>
      <c r="I86" s="1534">
        <v>5.7265889874476983</v>
      </c>
      <c r="J86" s="544">
        <v>5.8229357101631116</v>
      </c>
      <c r="K86" s="544">
        <v>5.9113332589285719</v>
      </c>
      <c r="L86" s="544">
        <v>6.1028323125000004</v>
      </c>
      <c r="M86" s="545">
        <v>6.1909845189136758</v>
      </c>
      <c r="N86" s="931"/>
      <c r="O86" s="543">
        <v>11.711483893891259</v>
      </c>
      <c r="P86" s="544">
        <v>8.3282185003067912</v>
      </c>
      <c r="Q86" s="545">
        <v>20.039702394198049</v>
      </c>
      <c r="R86" s="931"/>
      <c r="S86" s="543">
        <v>29.754674787953061</v>
      </c>
      <c r="T86" s="1477">
        <v>0.48478626092609634</v>
      </c>
    </row>
    <row r="87" spans="1:20" ht="15.75" customHeight="1">
      <c r="A87" s="254"/>
      <c r="B87" s="1532" t="s">
        <v>845</v>
      </c>
      <c r="C87" s="330"/>
      <c r="D87" s="1535"/>
      <c r="E87" s="1536"/>
      <c r="F87" s="1536"/>
      <c r="G87" s="1536"/>
      <c r="H87" s="1537"/>
      <c r="I87" s="1536"/>
      <c r="J87" s="1536"/>
      <c r="K87" s="1536"/>
      <c r="L87" s="1536"/>
      <c r="M87" s="1537"/>
      <c r="N87" s="931"/>
      <c r="O87" s="1535"/>
      <c r="P87" s="1536"/>
      <c r="Q87" s="1537"/>
      <c r="R87" s="931"/>
      <c r="S87" s="1535"/>
      <c r="T87" s="1537"/>
    </row>
    <row r="88" spans="1:20" ht="15.75" customHeight="1">
      <c r="A88" s="254"/>
      <c r="B88" s="1144" t="s">
        <v>863</v>
      </c>
      <c r="C88" s="526" t="s">
        <v>14</v>
      </c>
      <c r="D88" s="305">
        <v>0</v>
      </c>
      <c r="E88" s="306">
        <v>0</v>
      </c>
      <c r="F88" s="306">
        <v>0</v>
      </c>
      <c r="G88" s="306">
        <v>0</v>
      </c>
      <c r="H88" s="307">
        <v>0</v>
      </c>
      <c r="I88" s="306">
        <v>0</v>
      </c>
      <c r="J88" s="308">
        <v>0</v>
      </c>
      <c r="K88" s="308">
        <v>0</v>
      </c>
      <c r="L88" s="308">
        <v>0</v>
      </c>
      <c r="M88" s="307">
        <v>0</v>
      </c>
      <c r="N88" s="931"/>
      <c r="O88" s="543">
        <v>0</v>
      </c>
      <c r="P88" s="544">
        <v>0</v>
      </c>
      <c r="Q88" s="545">
        <v>0</v>
      </c>
      <c r="R88" s="931"/>
      <c r="S88" s="543">
        <v>0</v>
      </c>
      <c r="T88" s="1477" t="s">
        <v>1022</v>
      </c>
    </row>
    <row r="89" spans="1:20" ht="15.75" customHeight="1">
      <c r="A89" s="254"/>
      <c r="B89" s="1144" t="s">
        <v>864</v>
      </c>
      <c r="C89" s="526" t="s">
        <v>14</v>
      </c>
      <c r="D89" s="305">
        <v>0</v>
      </c>
      <c r="E89" s="306">
        <v>0</v>
      </c>
      <c r="F89" s="306">
        <v>0</v>
      </c>
      <c r="G89" s="306">
        <v>0</v>
      </c>
      <c r="H89" s="307">
        <v>0</v>
      </c>
      <c r="I89" s="306">
        <v>0</v>
      </c>
      <c r="J89" s="308">
        <v>0</v>
      </c>
      <c r="K89" s="308">
        <v>0</v>
      </c>
      <c r="L89" s="308">
        <v>0</v>
      </c>
      <c r="M89" s="307">
        <v>0</v>
      </c>
      <c r="N89" s="931"/>
      <c r="O89" s="543">
        <v>0</v>
      </c>
      <c r="P89" s="544">
        <v>0</v>
      </c>
      <c r="Q89" s="545">
        <v>0</v>
      </c>
      <c r="R89" s="931"/>
      <c r="S89" s="543">
        <v>0</v>
      </c>
      <c r="T89" s="1477" t="s">
        <v>1022</v>
      </c>
    </row>
    <row r="90" spans="1:20" ht="15.75" customHeight="1">
      <c r="A90" s="254"/>
      <c r="B90" s="1533" t="s">
        <v>867</v>
      </c>
      <c r="C90" s="526" t="s">
        <v>14</v>
      </c>
      <c r="D90" s="543">
        <v>0</v>
      </c>
      <c r="E90" s="1534">
        <v>0</v>
      </c>
      <c r="F90" s="1534">
        <v>0</v>
      </c>
      <c r="G90" s="1534">
        <v>0</v>
      </c>
      <c r="H90" s="545">
        <v>0</v>
      </c>
      <c r="I90" s="1534">
        <v>0</v>
      </c>
      <c r="J90" s="544">
        <v>0</v>
      </c>
      <c r="K90" s="544">
        <v>0</v>
      </c>
      <c r="L90" s="544">
        <v>0</v>
      </c>
      <c r="M90" s="545">
        <v>0</v>
      </c>
      <c r="N90" s="931"/>
      <c r="O90" s="543">
        <v>0</v>
      </c>
      <c r="P90" s="544">
        <v>0</v>
      </c>
      <c r="Q90" s="545">
        <v>0</v>
      </c>
      <c r="R90" s="931"/>
      <c r="S90" s="543">
        <v>0</v>
      </c>
      <c r="T90" s="1477" t="s">
        <v>1022</v>
      </c>
    </row>
    <row r="91" spans="1:20" ht="15.75" customHeight="1">
      <c r="A91" s="254"/>
      <c r="B91" s="1532" t="s">
        <v>846</v>
      </c>
      <c r="C91" s="330"/>
      <c r="D91" s="1535"/>
      <c r="E91" s="1536"/>
      <c r="F91" s="1536"/>
      <c r="G91" s="1536"/>
      <c r="H91" s="1537"/>
      <c r="I91" s="1536"/>
      <c r="J91" s="1536"/>
      <c r="K91" s="1536"/>
      <c r="L91" s="1536"/>
      <c r="M91" s="1537"/>
      <c r="N91" s="931"/>
      <c r="O91" s="1535"/>
      <c r="P91" s="1536"/>
      <c r="Q91" s="1537"/>
      <c r="R91" s="931"/>
      <c r="S91" s="1535"/>
      <c r="T91" s="1537"/>
    </row>
    <row r="92" spans="1:20" ht="15.75" customHeight="1">
      <c r="A92" s="254"/>
      <c r="B92" s="1144" t="s">
        <v>863</v>
      </c>
      <c r="C92" s="526" t="s">
        <v>14</v>
      </c>
      <c r="D92" s="305">
        <v>0</v>
      </c>
      <c r="E92" s="306">
        <v>0</v>
      </c>
      <c r="F92" s="306">
        <v>0</v>
      </c>
      <c r="G92" s="306">
        <v>0</v>
      </c>
      <c r="H92" s="307">
        <v>0</v>
      </c>
      <c r="I92" s="306">
        <v>0</v>
      </c>
      <c r="J92" s="308">
        <v>0</v>
      </c>
      <c r="K92" s="308">
        <v>0</v>
      </c>
      <c r="L92" s="308">
        <v>0</v>
      </c>
      <c r="M92" s="307">
        <v>0</v>
      </c>
      <c r="N92" s="931"/>
      <c r="O92" s="543">
        <v>0</v>
      </c>
      <c r="P92" s="544">
        <v>0</v>
      </c>
      <c r="Q92" s="545">
        <v>0</v>
      </c>
      <c r="R92" s="931"/>
      <c r="S92" s="543">
        <v>0</v>
      </c>
      <c r="T92" s="1477" t="s">
        <v>1022</v>
      </c>
    </row>
    <row r="93" spans="1:20" ht="15.75" customHeight="1">
      <c r="A93" s="254"/>
      <c r="B93" s="1144" t="s">
        <v>864</v>
      </c>
      <c r="C93" s="526" t="s">
        <v>14</v>
      </c>
      <c r="D93" s="305">
        <v>0</v>
      </c>
      <c r="E93" s="306">
        <v>0</v>
      </c>
      <c r="F93" s="306">
        <v>0</v>
      </c>
      <c r="G93" s="306">
        <v>0</v>
      </c>
      <c r="H93" s="307">
        <v>0</v>
      </c>
      <c r="I93" s="306">
        <v>0</v>
      </c>
      <c r="J93" s="308">
        <v>0</v>
      </c>
      <c r="K93" s="308">
        <v>0</v>
      </c>
      <c r="L93" s="308">
        <v>0</v>
      </c>
      <c r="M93" s="307">
        <v>0</v>
      </c>
      <c r="N93" s="931"/>
      <c r="O93" s="543">
        <v>0</v>
      </c>
      <c r="P93" s="544">
        <v>0</v>
      </c>
      <c r="Q93" s="545">
        <v>0</v>
      </c>
      <c r="R93" s="931"/>
      <c r="S93" s="543">
        <v>0</v>
      </c>
      <c r="T93" s="1477" t="s">
        <v>1022</v>
      </c>
    </row>
    <row r="94" spans="1:20" ht="15.75" customHeight="1">
      <c r="A94" s="254"/>
      <c r="B94" s="1533" t="s">
        <v>700</v>
      </c>
      <c r="C94" s="526" t="s">
        <v>14</v>
      </c>
      <c r="D94" s="543">
        <v>0</v>
      </c>
      <c r="E94" s="1534">
        <v>0</v>
      </c>
      <c r="F94" s="1534">
        <v>0</v>
      </c>
      <c r="G94" s="1534">
        <v>0</v>
      </c>
      <c r="H94" s="545">
        <v>0</v>
      </c>
      <c r="I94" s="1534">
        <v>0</v>
      </c>
      <c r="J94" s="544">
        <v>0</v>
      </c>
      <c r="K94" s="544">
        <v>0</v>
      </c>
      <c r="L94" s="544">
        <v>0</v>
      </c>
      <c r="M94" s="545">
        <v>0</v>
      </c>
      <c r="N94" s="931"/>
      <c r="O94" s="543">
        <v>0</v>
      </c>
      <c r="P94" s="544">
        <v>0</v>
      </c>
      <c r="Q94" s="545">
        <v>0</v>
      </c>
      <c r="R94" s="931"/>
      <c r="S94" s="543">
        <v>0</v>
      </c>
      <c r="T94" s="1477" t="s">
        <v>1022</v>
      </c>
    </row>
    <row r="95" spans="1:20" ht="15.75" customHeight="1">
      <c r="A95" s="254"/>
      <c r="B95" s="1498"/>
      <c r="C95" s="526"/>
      <c r="D95" s="1535"/>
      <c r="E95" s="1536"/>
      <c r="F95" s="1536"/>
      <c r="G95" s="1536"/>
      <c r="H95" s="1537"/>
      <c r="I95" s="1536"/>
      <c r="J95" s="1536"/>
      <c r="K95" s="1536"/>
      <c r="L95" s="1536"/>
      <c r="M95" s="1537"/>
      <c r="N95" s="931"/>
      <c r="O95" s="1535"/>
      <c r="P95" s="1536"/>
      <c r="Q95" s="1537"/>
      <c r="R95" s="931"/>
      <c r="S95" s="1535"/>
      <c r="T95" s="1537"/>
    </row>
    <row r="96" spans="1:20" ht="15.75" customHeight="1">
      <c r="A96" s="254"/>
      <c r="B96" s="1498" t="s">
        <v>701</v>
      </c>
      <c r="C96" s="526" t="s">
        <v>14</v>
      </c>
      <c r="D96" s="309"/>
      <c r="E96" s="310"/>
      <c r="F96" s="310"/>
      <c r="G96" s="306">
        <v>0</v>
      </c>
      <c r="H96" s="307">
        <v>0</v>
      </c>
      <c r="I96" s="306">
        <v>0</v>
      </c>
      <c r="J96" s="308">
        <v>0</v>
      </c>
      <c r="K96" s="308">
        <v>0</v>
      </c>
      <c r="L96" s="308">
        <v>0</v>
      </c>
      <c r="M96" s="307">
        <v>0</v>
      </c>
      <c r="N96" s="931"/>
      <c r="O96" s="543">
        <v>0</v>
      </c>
      <c r="P96" s="544">
        <v>0</v>
      </c>
      <c r="Q96" s="545">
        <v>0</v>
      </c>
      <c r="R96" s="931"/>
      <c r="S96" s="543">
        <v>0</v>
      </c>
      <c r="T96" s="1477" t="s">
        <v>1022</v>
      </c>
    </row>
    <row r="97" spans="1:20" ht="15.75" customHeight="1">
      <c r="A97" s="254"/>
      <c r="B97" s="1498" t="s">
        <v>702</v>
      </c>
      <c r="C97" s="526" t="s">
        <v>14</v>
      </c>
      <c r="D97" s="1482">
        <v>13.245009222625885</v>
      </c>
      <c r="E97" s="1485">
        <v>30.467388090526448</v>
      </c>
      <c r="F97" s="1485">
        <v>43.706197044293013</v>
      </c>
      <c r="G97" s="1485">
        <v>35.337268920415227</v>
      </c>
      <c r="H97" s="1484">
        <v>31.512553421511626</v>
      </c>
      <c r="I97" s="1485">
        <v>30.60763079497908</v>
      </c>
      <c r="J97" s="1483">
        <v>32.371574795483063</v>
      </c>
      <c r="K97" s="1483">
        <v>35.073910669642856</v>
      </c>
      <c r="L97" s="1483">
        <v>37.404456108870967</v>
      </c>
      <c r="M97" s="1484">
        <v>39.504377406401552</v>
      </c>
      <c r="N97" s="949"/>
      <c r="O97" s="1482">
        <v>87.418594357445357</v>
      </c>
      <c r="P97" s="1483">
        <v>66.849822341926853</v>
      </c>
      <c r="Q97" s="1484">
        <v>154.26841669937221</v>
      </c>
      <c r="R97" s="949"/>
      <c r="S97" s="1482">
        <v>174.96194977537752</v>
      </c>
      <c r="T97" s="1539">
        <v>0.13413979036507168</v>
      </c>
    </row>
    <row r="98" spans="1:20" ht="15.75" customHeight="1">
      <c r="A98" s="254"/>
      <c r="B98" s="1498"/>
      <c r="C98" s="526"/>
      <c r="D98" s="1535"/>
      <c r="E98" s="1536"/>
      <c r="F98" s="1536"/>
      <c r="G98" s="1536"/>
      <c r="H98" s="1537"/>
      <c r="I98" s="1536"/>
      <c r="J98" s="1536"/>
      <c r="K98" s="1536"/>
      <c r="L98" s="1536"/>
      <c r="M98" s="1537"/>
      <c r="N98" s="931"/>
      <c r="O98" s="1535"/>
      <c r="P98" s="1536"/>
      <c r="Q98" s="1537"/>
      <c r="R98" s="931"/>
      <c r="S98" s="1535"/>
      <c r="T98" s="1537"/>
    </row>
    <row r="99" spans="1:20" ht="15.75" customHeight="1">
      <c r="A99" s="254"/>
      <c r="B99" s="1498" t="s">
        <v>751</v>
      </c>
      <c r="C99" s="524" t="s">
        <v>14</v>
      </c>
      <c r="D99" s="309"/>
      <c r="E99" s="310"/>
      <c r="F99" s="310"/>
      <c r="G99" s="306">
        <v>0</v>
      </c>
      <c r="H99" s="307">
        <v>0</v>
      </c>
      <c r="I99" s="306">
        <v>0</v>
      </c>
      <c r="J99" s="308">
        <v>0</v>
      </c>
      <c r="K99" s="308">
        <v>0</v>
      </c>
      <c r="L99" s="308">
        <v>0</v>
      </c>
      <c r="M99" s="307">
        <v>0</v>
      </c>
      <c r="N99" s="931"/>
      <c r="O99" s="543">
        <v>0</v>
      </c>
      <c r="P99" s="544">
        <v>0</v>
      </c>
      <c r="Q99" s="545">
        <v>0</v>
      </c>
      <c r="R99" s="931"/>
      <c r="S99" s="543">
        <v>0</v>
      </c>
      <c r="T99" s="1477" t="s">
        <v>1022</v>
      </c>
    </row>
    <row r="100" spans="1:20" ht="15.75" customHeight="1" thickBot="1">
      <c r="A100" s="254"/>
      <c r="B100" s="1503" t="s">
        <v>752</v>
      </c>
      <c r="C100" s="527" t="s">
        <v>14</v>
      </c>
      <c r="D100" s="311"/>
      <c r="E100" s="312"/>
      <c r="F100" s="312"/>
      <c r="G100" s="313">
        <v>0</v>
      </c>
      <c r="H100" s="314">
        <v>0</v>
      </c>
      <c r="I100" s="313">
        <v>0</v>
      </c>
      <c r="J100" s="315">
        <v>0</v>
      </c>
      <c r="K100" s="315">
        <v>0</v>
      </c>
      <c r="L100" s="315">
        <v>0</v>
      </c>
      <c r="M100" s="314">
        <v>0</v>
      </c>
      <c r="N100" s="931"/>
      <c r="O100" s="1486">
        <v>0</v>
      </c>
      <c r="P100" s="1487">
        <v>0</v>
      </c>
      <c r="Q100" s="1488">
        <v>0</v>
      </c>
      <c r="R100" s="931"/>
      <c r="S100" s="1486">
        <v>0</v>
      </c>
      <c r="T100" s="1489" t="s">
        <v>1022</v>
      </c>
    </row>
    <row r="101" spans="1:20">
      <c r="A101" s="254"/>
      <c r="B101" s="254"/>
      <c r="C101" s="254"/>
      <c r="D101" s="930"/>
      <c r="E101" s="930"/>
      <c r="F101" s="930"/>
      <c r="G101" s="930"/>
      <c r="H101" s="930"/>
      <c r="I101" s="930"/>
      <c r="J101" s="930"/>
      <c r="K101" s="930"/>
      <c r="L101" s="930"/>
      <c r="M101" s="930"/>
      <c r="N101" s="930"/>
      <c r="O101" s="930"/>
      <c r="P101" s="930"/>
      <c r="Q101" s="930"/>
      <c r="R101" s="930"/>
      <c r="S101" s="930"/>
      <c r="T101" s="930"/>
    </row>
    <row r="102" spans="1:20">
      <c r="A102" s="254"/>
      <c r="B102" s="254"/>
      <c r="C102" s="316"/>
      <c r="D102" s="932"/>
      <c r="E102" s="932"/>
      <c r="F102" s="932"/>
      <c r="G102" s="932"/>
      <c r="H102" s="932"/>
      <c r="I102" s="932"/>
      <c r="J102" s="932"/>
      <c r="K102" s="932"/>
      <c r="L102" s="932"/>
      <c r="M102" s="932"/>
      <c r="N102" s="931"/>
      <c r="O102" s="932"/>
      <c r="P102" s="932"/>
      <c r="Q102" s="932"/>
      <c r="R102" s="931"/>
      <c r="S102" s="932"/>
      <c r="T102" s="932"/>
    </row>
    <row r="103" spans="1:20" s="1000" customFormat="1" ht="15.75" customHeight="1">
      <c r="A103" s="1130"/>
      <c r="B103" s="1460" t="s">
        <v>140</v>
      </c>
      <c r="C103" s="320"/>
      <c r="D103" s="932"/>
      <c r="E103" s="932"/>
      <c r="F103" s="932"/>
      <c r="G103" s="932"/>
      <c r="H103" s="932"/>
      <c r="I103" s="932"/>
      <c r="J103" s="932"/>
      <c r="K103" s="932"/>
      <c r="L103" s="932"/>
      <c r="M103" s="932"/>
      <c r="N103" s="932"/>
      <c r="O103" s="1139"/>
      <c r="P103" s="1139"/>
      <c r="Q103" s="1139"/>
      <c r="R103" s="1132"/>
      <c r="S103" s="932"/>
      <c r="T103" s="932"/>
    </row>
    <row r="104" spans="1:20" ht="13.5" thickBot="1">
      <c r="A104" s="254"/>
      <c r="B104" s="1490"/>
      <c r="C104" s="528"/>
      <c r="D104" s="958"/>
      <c r="E104" s="958"/>
      <c r="F104" s="958"/>
      <c r="G104" s="958"/>
      <c r="H104" s="958"/>
      <c r="I104" s="958"/>
      <c r="J104" s="958"/>
      <c r="K104" s="958"/>
      <c r="L104" s="958"/>
      <c r="M104" s="958"/>
      <c r="N104" s="931"/>
      <c r="O104" s="958"/>
      <c r="P104" s="958"/>
      <c r="Q104" s="958"/>
      <c r="R104" s="931"/>
      <c r="S104" s="958"/>
      <c r="T104" s="958"/>
    </row>
    <row r="105" spans="1:20" ht="15.75" customHeight="1">
      <c r="A105" s="254"/>
      <c r="B105" s="1911" t="s">
        <v>140</v>
      </c>
      <c r="C105" s="1915" t="s">
        <v>31</v>
      </c>
      <c r="D105" s="933" t="s">
        <v>116</v>
      </c>
      <c r="E105" s="934"/>
      <c r="F105" s="934"/>
      <c r="G105" s="934"/>
      <c r="H105" s="935"/>
      <c r="I105" s="934" t="s">
        <v>117</v>
      </c>
      <c r="J105" s="936"/>
      <c r="K105" s="936"/>
      <c r="L105" s="936"/>
      <c r="M105" s="935"/>
      <c r="N105" s="931"/>
      <c r="O105" s="959" t="s">
        <v>116</v>
      </c>
      <c r="P105" s="960"/>
      <c r="Q105" s="961"/>
      <c r="R105" s="931"/>
      <c r="S105" s="959" t="s">
        <v>117</v>
      </c>
      <c r="T105" s="961"/>
    </row>
    <row r="106" spans="1:20" ht="25.5">
      <c r="A106" s="254"/>
      <c r="B106" s="1912"/>
      <c r="C106" s="1916"/>
      <c r="D106" s="937" t="s">
        <v>32</v>
      </c>
      <c r="E106" s="938" t="s">
        <v>33</v>
      </c>
      <c r="F106" s="938" t="s">
        <v>29</v>
      </c>
      <c r="G106" s="938" t="s">
        <v>34</v>
      </c>
      <c r="H106" s="939" t="s">
        <v>35</v>
      </c>
      <c r="I106" s="940" t="s">
        <v>118</v>
      </c>
      <c r="J106" s="938" t="s">
        <v>136</v>
      </c>
      <c r="K106" s="938" t="s">
        <v>137</v>
      </c>
      <c r="L106" s="938" t="s">
        <v>138</v>
      </c>
      <c r="M106" s="939" t="s">
        <v>139</v>
      </c>
      <c r="N106" s="931"/>
      <c r="O106" s="962" t="s">
        <v>126</v>
      </c>
      <c r="P106" s="963" t="s">
        <v>127</v>
      </c>
      <c r="Q106" s="964" t="s">
        <v>246</v>
      </c>
      <c r="R106" s="931"/>
      <c r="S106" s="962" t="s">
        <v>127</v>
      </c>
      <c r="T106" s="964" t="s">
        <v>128</v>
      </c>
    </row>
    <row r="107" spans="1:20" ht="15.75" customHeight="1">
      <c r="A107" s="254"/>
      <c r="B107" s="1540" t="s">
        <v>141</v>
      </c>
      <c r="C107" s="329"/>
      <c r="D107" s="941"/>
      <c r="E107" s="942"/>
      <c r="F107" s="942"/>
      <c r="G107" s="942"/>
      <c r="H107" s="943"/>
      <c r="I107" s="942"/>
      <c r="J107" s="942"/>
      <c r="K107" s="942"/>
      <c r="L107" s="942"/>
      <c r="M107" s="943"/>
      <c r="N107" s="931"/>
      <c r="O107" s="965"/>
      <c r="P107" s="966"/>
      <c r="Q107" s="967"/>
      <c r="R107" s="931"/>
      <c r="S107" s="941"/>
      <c r="T107" s="943"/>
    </row>
    <row r="108" spans="1:20" ht="15.75" customHeight="1">
      <c r="A108" s="254"/>
      <c r="B108" s="1145" t="s">
        <v>863</v>
      </c>
      <c r="C108" s="526" t="s">
        <v>14</v>
      </c>
      <c r="D108" s="305">
        <v>0</v>
      </c>
      <c r="E108" s="306">
        <v>0</v>
      </c>
      <c r="F108" s="306">
        <v>0</v>
      </c>
      <c r="G108" s="306">
        <v>20.9</v>
      </c>
      <c r="H108" s="307">
        <v>17.2</v>
      </c>
      <c r="I108" s="306">
        <v>16.7</v>
      </c>
      <c r="J108" s="308">
        <v>17.8</v>
      </c>
      <c r="K108" s="308">
        <v>19.600000000000001</v>
      </c>
      <c r="L108" s="308">
        <v>21</v>
      </c>
      <c r="M108" s="307">
        <v>22.4</v>
      </c>
      <c r="N108" s="258"/>
      <c r="O108" s="543">
        <v>0</v>
      </c>
      <c r="P108" s="544">
        <v>38.099999999999994</v>
      </c>
      <c r="Q108" s="545">
        <v>38.099999999999994</v>
      </c>
      <c r="R108" s="258"/>
      <c r="S108" s="543">
        <v>97.5</v>
      </c>
      <c r="T108" s="1477">
        <v>1.5590551181102366</v>
      </c>
    </row>
    <row r="109" spans="1:20" ht="15.75" customHeight="1">
      <c r="A109" s="254"/>
      <c r="B109" s="1145" t="s">
        <v>142</v>
      </c>
      <c r="C109" s="526" t="s">
        <v>14</v>
      </c>
      <c r="D109" s="305">
        <v>10</v>
      </c>
      <c r="E109" s="306">
        <v>23</v>
      </c>
      <c r="F109" s="306">
        <v>30.6</v>
      </c>
      <c r="G109" s="306">
        <v>7.7</v>
      </c>
      <c r="H109" s="307">
        <v>6.4</v>
      </c>
      <c r="I109" s="306">
        <v>6.2</v>
      </c>
      <c r="J109" s="308">
        <v>6.6</v>
      </c>
      <c r="K109" s="308">
        <v>7.3</v>
      </c>
      <c r="L109" s="308">
        <v>7.8</v>
      </c>
      <c r="M109" s="307">
        <v>8.3000000000000007</v>
      </c>
      <c r="N109" s="258"/>
      <c r="O109" s="543">
        <v>63.6</v>
      </c>
      <c r="P109" s="544">
        <v>14.100000000000001</v>
      </c>
      <c r="Q109" s="545">
        <v>77.7</v>
      </c>
      <c r="R109" s="258"/>
      <c r="S109" s="543">
        <v>36.200000000000003</v>
      </c>
      <c r="T109" s="1477">
        <v>-0.53410553410553407</v>
      </c>
    </row>
    <row r="110" spans="1:20" ht="15.75" customHeight="1">
      <c r="A110" s="254"/>
      <c r="B110" s="1541" t="s">
        <v>865</v>
      </c>
      <c r="C110" s="526" t="s">
        <v>14</v>
      </c>
      <c r="D110" s="543">
        <v>10</v>
      </c>
      <c r="E110" s="1534">
        <v>23</v>
      </c>
      <c r="F110" s="1534">
        <v>30.6</v>
      </c>
      <c r="G110" s="1534">
        <v>28.599999999999998</v>
      </c>
      <c r="H110" s="545">
        <v>23.6</v>
      </c>
      <c r="I110" s="1534">
        <v>22.9</v>
      </c>
      <c r="J110" s="544">
        <v>24.4</v>
      </c>
      <c r="K110" s="544">
        <v>26.900000000000002</v>
      </c>
      <c r="L110" s="544">
        <v>28.8</v>
      </c>
      <c r="M110" s="545">
        <v>30.7</v>
      </c>
      <c r="N110" s="258"/>
      <c r="O110" s="543">
        <v>63.6</v>
      </c>
      <c r="P110" s="544">
        <v>52.2</v>
      </c>
      <c r="Q110" s="545">
        <v>115.80000000000001</v>
      </c>
      <c r="R110" s="258"/>
      <c r="S110" s="543">
        <v>133.69999999999999</v>
      </c>
      <c r="T110" s="1477">
        <v>0.1545768566493953</v>
      </c>
    </row>
    <row r="111" spans="1:20" ht="15.75" customHeight="1">
      <c r="A111" s="254"/>
      <c r="B111" s="1540" t="s">
        <v>877</v>
      </c>
      <c r="C111" s="330"/>
      <c r="D111" s="1535"/>
      <c r="E111" s="1536"/>
      <c r="F111" s="1536"/>
      <c r="G111" s="1536"/>
      <c r="H111" s="1537"/>
      <c r="I111" s="1536"/>
      <c r="J111" s="1536"/>
      <c r="K111" s="1536"/>
      <c r="L111" s="1536"/>
      <c r="M111" s="1537"/>
      <c r="N111" s="258"/>
      <c r="O111" s="1538"/>
      <c r="P111" s="1536"/>
      <c r="Q111" s="1537"/>
      <c r="R111" s="258"/>
      <c r="S111" s="1535"/>
      <c r="T111" s="1537"/>
    </row>
    <row r="112" spans="1:20" ht="15.75" customHeight="1">
      <c r="A112" s="254"/>
      <c r="B112" s="1145" t="s">
        <v>863</v>
      </c>
      <c r="C112" s="526" t="s">
        <v>14</v>
      </c>
      <c r="D112" s="305">
        <v>0</v>
      </c>
      <c r="E112" s="306">
        <v>0</v>
      </c>
      <c r="F112" s="306">
        <v>0</v>
      </c>
      <c r="G112" s="306">
        <v>1.5</v>
      </c>
      <c r="H112" s="307">
        <v>3.4</v>
      </c>
      <c r="I112" s="306">
        <v>2.7</v>
      </c>
      <c r="J112" s="308">
        <v>2.8</v>
      </c>
      <c r="K112" s="308">
        <v>2.8</v>
      </c>
      <c r="L112" s="308">
        <v>2.9</v>
      </c>
      <c r="M112" s="307">
        <v>3</v>
      </c>
      <c r="N112" s="258"/>
      <c r="O112" s="543">
        <v>0</v>
      </c>
      <c r="P112" s="544">
        <v>4.9000000000000004</v>
      </c>
      <c r="Q112" s="545">
        <v>4.9000000000000004</v>
      </c>
      <c r="R112" s="258"/>
      <c r="S112" s="543">
        <v>14.200000000000001</v>
      </c>
      <c r="T112" s="1477">
        <v>1.8979591836734695</v>
      </c>
    </row>
    <row r="113" spans="1:20" ht="15.75" customHeight="1">
      <c r="A113" s="254"/>
      <c r="B113" s="1145" t="s">
        <v>142</v>
      </c>
      <c r="C113" s="526" t="s">
        <v>14</v>
      </c>
      <c r="D113" s="305">
        <v>1.2</v>
      </c>
      <c r="E113" s="306">
        <v>2.7</v>
      </c>
      <c r="F113" s="306">
        <v>5.5</v>
      </c>
      <c r="G113" s="306">
        <v>0.9</v>
      </c>
      <c r="H113" s="307">
        <v>2.1</v>
      </c>
      <c r="I113" s="306">
        <v>1.6</v>
      </c>
      <c r="J113" s="308">
        <v>1.7</v>
      </c>
      <c r="K113" s="308">
        <v>1.7</v>
      </c>
      <c r="L113" s="308">
        <v>1.8</v>
      </c>
      <c r="M113" s="307">
        <v>1.8</v>
      </c>
      <c r="N113" s="258"/>
      <c r="O113" s="543">
        <v>9.4</v>
      </c>
      <c r="P113" s="544">
        <v>3</v>
      </c>
      <c r="Q113" s="545">
        <v>12.4</v>
      </c>
      <c r="R113" s="258"/>
      <c r="S113" s="543">
        <v>8.6</v>
      </c>
      <c r="T113" s="1477">
        <v>-0.30645161290322587</v>
      </c>
    </row>
    <row r="114" spans="1:20" ht="15.75" customHeight="1">
      <c r="A114" s="254"/>
      <c r="B114" s="1541" t="s">
        <v>866</v>
      </c>
      <c r="C114" s="526" t="s">
        <v>14</v>
      </c>
      <c r="D114" s="543">
        <v>1.2</v>
      </c>
      <c r="E114" s="1534">
        <v>2.7</v>
      </c>
      <c r="F114" s="1534">
        <v>5.5</v>
      </c>
      <c r="G114" s="1534">
        <v>2.4</v>
      </c>
      <c r="H114" s="545">
        <v>5.5</v>
      </c>
      <c r="I114" s="1534">
        <v>4.3000000000000007</v>
      </c>
      <c r="J114" s="544">
        <v>4.5</v>
      </c>
      <c r="K114" s="544">
        <v>4.5</v>
      </c>
      <c r="L114" s="544">
        <v>4.7</v>
      </c>
      <c r="M114" s="545">
        <v>4.8</v>
      </c>
      <c r="N114" s="258"/>
      <c r="O114" s="543">
        <v>9.4</v>
      </c>
      <c r="P114" s="544">
        <v>7.9</v>
      </c>
      <c r="Q114" s="545">
        <v>17.3</v>
      </c>
      <c r="R114" s="258"/>
      <c r="S114" s="543">
        <v>22.8</v>
      </c>
      <c r="T114" s="1477">
        <v>0.31791907514450868</v>
      </c>
    </row>
    <row r="115" spans="1:20" ht="15.75" customHeight="1">
      <c r="A115" s="254"/>
      <c r="B115" s="1540" t="s">
        <v>714</v>
      </c>
      <c r="C115" s="330"/>
      <c r="D115" s="1535"/>
      <c r="E115" s="1536"/>
      <c r="F115" s="1536"/>
      <c r="G115" s="1536"/>
      <c r="H115" s="1537"/>
      <c r="I115" s="1536"/>
      <c r="J115" s="1536"/>
      <c r="K115" s="1536"/>
      <c r="L115" s="1536"/>
      <c r="M115" s="1537"/>
      <c r="N115" s="258"/>
      <c r="O115" s="1535"/>
      <c r="P115" s="1536"/>
      <c r="Q115" s="1537"/>
      <c r="R115" s="258"/>
      <c r="S115" s="1535"/>
      <c r="T115" s="1537"/>
    </row>
    <row r="116" spans="1:20" ht="15.75" customHeight="1">
      <c r="A116" s="254"/>
      <c r="B116" s="1145" t="s">
        <v>863</v>
      </c>
      <c r="C116" s="526" t="s">
        <v>14</v>
      </c>
      <c r="D116" s="305">
        <v>0</v>
      </c>
      <c r="E116" s="306">
        <v>0</v>
      </c>
      <c r="F116" s="306">
        <v>0</v>
      </c>
      <c r="G116" s="306">
        <v>0</v>
      </c>
      <c r="H116" s="307">
        <v>0</v>
      </c>
      <c r="I116" s="306">
        <v>0</v>
      </c>
      <c r="J116" s="308">
        <v>0</v>
      </c>
      <c r="K116" s="308">
        <v>0</v>
      </c>
      <c r="L116" s="308">
        <v>0</v>
      </c>
      <c r="M116" s="307">
        <v>0</v>
      </c>
      <c r="N116" s="258"/>
      <c r="O116" s="543">
        <v>0</v>
      </c>
      <c r="P116" s="544">
        <v>0</v>
      </c>
      <c r="Q116" s="545">
        <v>0</v>
      </c>
      <c r="R116" s="258"/>
      <c r="S116" s="543">
        <v>0</v>
      </c>
      <c r="T116" s="1477" t="s">
        <v>1022</v>
      </c>
    </row>
    <row r="117" spans="1:20" ht="15.75" customHeight="1">
      <c r="A117" s="254"/>
      <c r="B117" s="1145" t="s">
        <v>142</v>
      </c>
      <c r="C117" s="526" t="s">
        <v>14</v>
      </c>
      <c r="D117" s="305">
        <v>0</v>
      </c>
      <c r="E117" s="306">
        <v>0</v>
      </c>
      <c r="F117" s="306">
        <v>0</v>
      </c>
      <c r="G117" s="306">
        <v>0</v>
      </c>
      <c r="H117" s="307">
        <v>0</v>
      </c>
      <c r="I117" s="306">
        <v>0</v>
      </c>
      <c r="J117" s="308">
        <v>0</v>
      </c>
      <c r="K117" s="308">
        <v>0</v>
      </c>
      <c r="L117" s="308">
        <v>0</v>
      </c>
      <c r="M117" s="307">
        <v>0</v>
      </c>
      <c r="N117" s="258"/>
      <c r="O117" s="543">
        <v>0</v>
      </c>
      <c r="P117" s="544">
        <v>0</v>
      </c>
      <c r="Q117" s="545">
        <v>0</v>
      </c>
      <c r="R117" s="258"/>
      <c r="S117" s="543">
        <v>0</v>
      </c>
      <c r="T117" s="1477" t="s">
        <v>1022</v>
      </c>
    </row>
    <row r="118" spans="1:20" ht="15.75" customHeight="1">
      <c r="A118" s="254"/>
      <c r="B118" s="1541" t="s">
        <v>867</v>
      </c>
      <c r="C118" s="526" t="s">
        <v>14</v>
      </c>
      <c r="D118" s="543">
        <v>0</v>
      </c>
      <c r="E118" s="1534">
        <v>0</v>
      </c>
      <c r="F118" s="1534">
        <v>0</v>
      </c>
      <c r="G118" s="1534">
        <v>0</v>
      </c>
      <c r="H118" s="545">
        <v>0</v>
      </c>
      <c r="I118" s="1534">
        <v>0</v>
      </c>
      <c r="J118" s="544">
        <v>0</v>
      </c>
      <c r="K118" s="544">
        <v>0</v>
      </c>
      <c r="L118" s="544">
        <v>0</v>
      </c>
      <c r="M118" s="545">
        <v>0</v>
      </c>
      <c r="N118" s="258"/>
      <c r="O118" s="543">
        <v>0</v>
      </c>
      <c r="P118" s="544">
        <v>0</v>
      </c>
      <c r="Q118" s="545">
        <v>0</v>
      </c>
      <c r="R118" s="258"/>
      <c r="S118" s="543">
        <v>0</v>
      </c>
      <c r="T118" s="1477" t="s">
        <v>1022</v>
      </c>
    </row>
    <row r="119" spans="1:20" ht="15.75" customHeight="1">
      <c r="A119" s="254"/>
      <c r="B119" s="1540" t="s">
        <v>605</v>
      </c>
      <c r="C119" s="330"/>
      <c r="D119" s="1535"/>
      <c r="E119" s="1536"/>
      <c r="F119" s="1536"/>
      <c r="G119" s="1536"/>
      <c r="H119" s="1537"/>
      <c r="I119" s="1536"/>
      <c r="J119" s="1536"/>
      <c r="K119" s="1536"/>
      <c r="L119" s="1536"/>
      <c r="M119" s="1537"/>
      <c r="N119" s="258"/>
      <c r="O119" s="1535"/>
      <c r="P119" s="1536"/>
      <c r="Q119" s="1537"/>
      <c r="R119" s="258"/>
      <c r="S119" s="1535"/>
      <c r="T119" s="1537"/>
    </row>
    <row r="120" spans="1:20" ht="15.75" customHeight="1">
      <c r="A120" s="254"/>
      <c r="B120" s="1145" t="s">
        <v>863</v>
      </c>
      <c r="C120" s="526" t="s">
        <v>14</v>
      </c>
      <c r="D120" s="305">
        <v>0</v>
      </c>
      <c r="E120" s="306">
        <v>0</v>
      </c>
      <c r="F120" s="306">
        <v>0</v>
      </c>
      <c r="G120" s="306">
        <v>0</v>
      </c>
      <c r="H120" s="307">
        <v>0</v>
      </c>
      <c r="I120" s="306">
        <v>0</v>
      </c>
      <c r="J120" s="308">
        <v>0</v>
      </c>
      <c r="K120" s="308">
        <v>0</v>
      </c>
      <c r="L120" s="308">
        <v>0</v>
      </c>
      <c r="M120" s="307">
        <v>0</v>
      </c>
      <c r="N120" s="258"/>
      <c r="O120" s="543">
        <v>0</v>
      </c>
      <c r="P120" s="544">
        <v>0</v>
      </c>
      <c r="Q120" s="545">
        <v>0</v>
      </c>
      <c r="R120" s="258"/>
      <c r="S120" s="543">
        <v>0</v>
      </c>
      <c r="T120" s="1477" t="s">
        <v>1022</v>
      </c>
    </row>
    <row r="121" spans="1:20" ht="15.75" customHeight="1">
      <c r="A121" s="254"/>
      <c r="B121" s="1145" t="s">
        <v>142</v>
      </c>
      <c r="C121" s="526" t="s">
        <v>14</v>
      </c>
      <c r="D121" s="305">
        <v>0</v>
      </c>
      <c r="E121" s="306">
        <v>0</v>
      </c>
      <c r="F121" s="306">
        <v>0</v>
      </c>
      <c r="G121" s="306">
        <v>0</v>
      </c>
      <c r="H121" s="307">
        <v>0</v>
      </c>
      <c r="I121" s="306">
        <v>0</v>
      </c>
      <c r="J121" s="308">
        <v>0</v>
      </c>
      <c r="K121" s="308">
        <v>0</v>
      </c>
      <c r="L121" s="308">
        <v>0</v>
      </c>
      <c r="M121" s="307">
        <v>0</v>
      </c>
      <c r="N121" s="258"/>
      <c r="O121" s="543">
        <v>0</v>
      </c>
      <c r="P121" s="544">
        <v>0</v>
      </c>
      <c r="Q121" s="545">
        <v>0</v>
      </c>
      <c r="R121" s="258"/>
      <c r="S121" s="543">
        <v>0</v>
      </c>
      <c r="T121" s="1477" t="s">
        <v>1022</v>
      </c>
    </row>
    <row r="122" spans="1:20" ht="15.75" customHeight="1">
      <c r="A122" s="254"/>
      <c r="B122" s="1541" t="s">
        <v>700</v>
      </c>
      <c r="C122" s="526" t="s">
        <v>14</v>
      </c>
      <c r="D122" s="543">
        <v>0</v>
      </c>
      <c r="E122" s="1534">
        <v>0</v>
      </c>
      <c r="F122" s="1534">
        <v>0</v>
      </c>
      <c r="G122" s="1534">
        <v>0</v>
      </c>
      <c r="H122" s="545">
        <v>0</v>
      </c>
      <c r="I122" s="1534">
        <v>0</v>
      </c>
      <c r="J122" s="544">
        <v>0</v>
      </c>
      <c r="K122" s="544">
        <v>0</v>
      </c>
      <c r="L122" s="544">
        <v>0</v>
      </c>
      <c r="M122" s="545">
        <v>0</v>
      </c>
      <c r="N122" s="258"/>
      <c r="O122" s="543">
        <v>0</v>
      </c>
      <c r="P122" s="544">
        <v>0</v>
      </c>
      <c r="Q122" s="545">
        <v>0</v>
      </c>
      <c r="R122" s="258"/>
      <c r="S122" s="543">
        <v>0</v>
      </c>
      <c r="T122" s="1477" t="s">
        <v>1022</v>
      </c>
    </row>
    <row r="123" spans="1:20" ht="15.75" customHeight="1">
      <c r="A123" s="254"/>
      <c r="B123" s="1533"/>
      <c r="C123" s="526"/>
      <c r="D123" s="1535"/>
      <c r="E123" s="1536"/>
      <c r="F123" s="1536"/>
      <c r="G123" s="1536"/>
      <c r="H123" s="1537"/>
      <c r="I123" s="1536"/>
      <c r="J123" s="1536"/>
      <c r="K123" s="1536"/>
      <c r="L123" s="1536"/>
      <c r="M123" s="1537"/>
      <c r="N123" s="258"/>
      <c r="O123" s="1535"/>
      <c r="P123" s="1536"/>
      <c r="Q123" s="1537"/>
      <c r="R123" s="258"/>
      <c r="S123" s="1535"/>
      <c r="T123" s="1537"/>
    </row>
    <row r="124" spans="1:20" ht="15.75" customHeight="1">
      <c r="A124" s="254"/>
      <c r="B124" s="1540" t="s">
        <v>455</v>
      </c>
      <c r="C124" s="524" t="s">
        <v>14</v>
      </c>
      <c r="D124" s="1485">
        <v>11.2</v>
      </c>
      <c r="E124" s="1485">
        <v>25.7</v>
      </c>
      <c r="F124" s="1485">
        <v>36.1</v>
      </c>
      <c r="G124" s="1485">
        <v>30.999999999999996</v>
      </c>
      <c r="H124" s="1484">
        <v>29.1</v>
      </c>
      <c r="I124" s="1485">
        <v>27.2</v>
      </c>
      <c r="J124" s="1483">
        <v>28.9</v>
      </c>
      <c r="K124" s="1483">
        <v>31.400000000000002</v>
      </c>
      <c r="L124" s="1483">
        <v>33.5</v>
      </c>
      <c r="M124" s="1484">
        <v>35.5</v>
      </c>
      <c r="N124" s="1542"/>
      <c r="O124" s="1482">
        <v>73</v>
      </c>
      <c r="P124" s="1483">
        <v>60.099999999999994</v>
      </c>
      <c r="Q124" s="1484">
        <v>133.1</v>
      </c>
      <c r="R124" s="1542"/>
      <c r="S124" s="1482">
        <v>156.5</v>
      </c>
      <c r="T124" s="1539">
        <v>0.17580766341096923</v>
      </c>
    </row>
    <row r="125" spans="1:20" ht="15.75" customHeight="1">
      <c r="A125" s="254"/>
      <c r="B125" s="1540" t="s">
        <v>456</v>
      </c>
      <c r="C125" s="524" t="s">
        <v>14</v>
      </c>
      <c r="D125" s="305">
        <v>-5.6</v>
      </c>
      <c r="E125" s="306">
        <v>16.399999999999999</v>
      </c>
      <c r="F125" s="306">
        <v>18.100000000000001</v>
      </c>
      <c r="G125" s="306">
        <v>7.3</v>
      </c>
      <c r="H125" s="307">
        <v>10.199999999999999</v>
      </c>
      <c r="I125" s="306">
        <v>9.8000000000000007</v>
      </c>
      <c r="J125" s="308">
        <v>10.5</v>
      </c>
      <c r="K125" s="308">
        <v>11.4</v>
      </c>
      <c r="L125" s="308">
        <v>12.1</v>
      </c>
      <c r="M125" s="307">
        <v>12.9</v>
      </c>
      <c r="N125" s="1542"/>
      <c r="O125" s="1482">
        <v>28.9</v>
      </c>
      <c r="P125" s="1483">
        <v>17.5</v>
      </c>
      <c r="Q125" s="1484">
        <v>46.399999999999991</v>
      </c>
      <c r="R125" s="1542"/>
      <c r="S125" s="1482">
        <v>56.7</v>
      </c>
      <c r="T125" s="1539">
        <v>0.22198275862068995</v>
      </c>
    </row>
    <row r="126" spans="1:20" ht="15.75" customHeight="1">
      <c r="A126" s="254"/>
      <c r="B126" s="1540" t="s">
        <v>457</v>
      </c>
      <c r="C126" s="524" t="s">
        <v>14</v>
      </c>
      <c r="D126" s="1482">
        <v>5.6</v>
      </c>
      <c r="E126" s="1485">
        <v>42.099999999999994</v>
      </c>
      <c r="F126" s="1485">
        <v>54.2</v>
      </c>
      <c r="G126" s="1485">
        <v>38.299999999999997</v>
      </c>
      <c r="H126" s="1484">
        <v>39.299999999999997</v>
      </c>
      <c r="I126" s="1485">
        <v>37</v>
      </c>
      <c r="J126" s="1483">
        <v>39.4</v>
      </c>
      <c r="K126" s="1483">
        <v>42.800000000000004</v>
      </c>
      <c r="L126" s="1483">
        <v>45.6</v>
      </c>
      <c r="M126" s="1484">
        <v>48.4</v>
      </c>
      <c r="N126" s="1542"/>
      <c r="O126" s="1482">
        <v>101.9</v>
      </c>
      <c r="P126" s="1483">
        <v>77.599999999999994</v>
      </c>
      <c r="Q126" s="1484">
        <v>179.5</v>
      </c>
      <c r="R126" s="1542"/>
      <c r="S126" s="1482">
        <v>213.20000000000002</v>
      </c>
      <c r="T126" s="1539">
        <v>0.18774373259052934</v>
      </c>
    </row>
    <row r="127" spans="1:20" ht="15.75" customHeight="1">
      <c r="A127" s="254"/>
      <c r="B127" s="1540"/>
      <c r="C127" s="322"/>
      <c r="D127" s="1543"/>
      <c r="E127" s="1544"/>
      <c r="F127" s="1544"/>
      <c r="G127" s="1544"/>
      <c r="H127" s="1545"/>
      <c r="I127" s="1544"/>
      <c r="J127" s="1544"/>
      <c r="K127" s="1544"/>
      <c r="L127" s="1544"/>
      <c r="M127" s="1545"/>
      <c r="N127" s="258"/>
      <c r="O127" s="1535"/>
      <c r="P127" s="1536"/>
      <c r="Q127" s="1537"/>
      <c r="R127" s="258"/>
      <c r="S127" s="1535"/>
      <c r="T127" s="1537"/>
    </row>
    <row r="128" spans="1:20" ht="15.75" customHeight="1" thickBot="1">
      <c r="A128" s="254"/>
      <c r="B128" s="1546" t="s">
        <v>490</v>
      </c>
      <c r="C128" s="525" t="s">
        <v>14</v>
      </c>
      <c r="D128" s="924">
        <v>7.6450092226258857</v>
      </c>
      <c r="E128" s="924">
        <v>-11.632611909473546</v>
      </c>
      <c r="F128" s="924">
        <v>-10.49380295570699</v>
      </c>
      <c r="G128" s="924">
        <v>-2.9627310795847706</v>
      </c>
      <c r="H128" s="925">
        <v>-7.7874465784883711</v>
      </c>
      <c r="I128" s="924">
        <v>-6.3923692050209198</v>
      </c>
      <c r="J128" s="926">
        <v>-7.0284252045169353</v>
      </c>
      <c r="K128" s="926">
        <v>-7.7260893303571478</v>
      </c>
      <c r="L128" s="926">
        <v>-8.1955438911290344</v>
      </c>
      <c r="M128" s="925">
        <v>-8.8956225935984463</v>
      </c>
      <c r="N128" s="1542"/>
      <c r="O128" s="923">
        <v>-14.48140564255465</v>
      </c>
      <c r="P128" s="926">
        <v>-10.750177658073142</v>
      </c>
      <c r="Q128" s="925">
        <v>-25.23158330062779</v>
      </c>
      <c r="R128" s="1542"/>
      <c r="S128" s="923">
        <v>-38.238050224622484</v>
      </c>
      <c r="T128" s="1547">
        <v>0.51548358139186135</v>
      </c>
    </row>
    <row r="129" spans="1:20">
      <c r="A129" s="254"/>
      <c r="B129" s="254"/>
      <c r="C129" s="316"/>
      <c r="D129" s="932"/>
      <c r="E129" s="932"/>
      <c r="F129" s="932"/>
      <c r="G129" s="932"/>
      <c r="H129" s="932"/>
      <c r="I129" s="932"/>
      <c r="J129" s="932"/>
      <c r="K129" s="932"/>
      <c r="L129" s="932"/>
      <c r="M129" s="932"/>
      <c r="N129" s="932"/>
      <c r="O129" s="932"/>
      <c r="P129" s="932"/>
      <c r="Q129" s="932"/>
      <c r="R129" s="932"/>
      <c r="S129" s="932"/>
      <c r="T129" s="932"/>
    </row>
    <row r="130" spans="1:20" ht="13.5" thickBot="1">
      <c r="A130" s="254"/>
      <c r="B130" s="254"/>
      <c r="C130" s="316"/>
      <c r="D130" s="932"/>
      <c r="E130" s="932"/>
      <c r="F130" s="932"/>
      <c r="G130" s="932"/>
      <c r="H130" s="932"/>
      <c r="I130" s="932"/>
      <c r="J130" s="932"/>
      <c r="K130" s="932"/>
      <c r="L130" s="932"/>
      <c r="M130" s="932"/>
      <c r="N130" s="932"/>
      <c r="O130" s="932"/>
      <c r="P130" s="932"/>
      <c r="Q130" s="932"/>
      <c r="R130" s="932"/>
      <c r="S130" s="932"/>
      <c r="T130" s="932"/>
    </row>
    <row r="131" spans="1:20">
      <c r="A131" s="254"/>
      <c r="B131" s="1913"/>
      <c r="C131" s="1915" t="s">
        <v>31</v>
      </c>
      <c r="D131" s="933" t="s">
        <v>116</v>
      </c>
      <c r="E131" s="934"/>
      <c r="F131" s="934"/>
      <c r="G131" s="934"/>
      <c r="H131" s="935"/>
      <c r="I131" s="934" t="s">
        <v>117</v>
      </c>
      <c r="J131" s="936"/>
      <c r="K131" s="936"/>
      <c r="L131" s="936"/>
      <c r="M131" s="935"/>
      <c r="N131" s="931"/>
      <c r="O131" s="959" t="s">
        <v>116</v>
      </c>
      <c r="P131" s="960"/>
      <c r="Q131" s="961"/>
      <c r="R131" s="931"/>
      <c r="S131" s="959" t="s">
        <v>117</v>
      </c>
      <c r="T131" s="961"/>
    </row>
    <row r="132" spans="1:20" ht="25.5">
      <c r="A132" s="254"/>
      <c r="B132" s="1914"/>
      <c r="C132" s="1916"/>
      <c r="D132" s="937" t="s">
        <v>32</v>
      </c>
      <c r="E132" s="938" t="s">
        <v>33</v>
      </c>
      <c r="F132" s="938" t="s">
        <v>29</v>
      </c>
      <c r="G132" s="938" t="s">
        <v>34</v>
      </c>
      <c r="H132" s="939" t="s">
        <v>35</v>
      </c>
      <c r="I132" s="940" t="s">
        <v>118</v>
      </c>
      <c r="J132" s="938" t="s">
        <v>136</v>
      </c>
      <c r="K132" s="938" t="s">
        <v>137</v>
      </c>
      <c r="L132" s="938" t="s">
        <v>138</v>
      </c>
      <c r="M132" s="939" t="s">
        <v>139</v>
      </c>
      <c r="N132" s="931"/>
      <c r="O132" s="962" t="s">
        <v>126</v>
      </c>
      <c r="P132" s="963" t="s">
        <v>127</v>
      </c>
      <c r="Q132" s="964" t="s">
        <v>246</v>
      </c>
      <c r="R132" s="931"/>
      <c r="S132" s="962" t="s">
        <v>127</v>
      </c>
      <c r="T132" s="964" t="s">
        <v>128</v>
      </c>
    </row>
    <row r="133" spans="1:20" s="1000" customFormat="1" ht="15.75" customHeight="1">
      <c r="A133" s="1130"/>
      <c r="B133" s="1134" t="s">
        <v>491</v>
      </c>
      <c r="C133" s="1135" t="s">
        <v>14</v>
      </c>
      <c r="D133" s="1473">
        <v>1.8612022889187028</v>
      </c>
      <c r="E133" s="1474">
        <v>4.2916342830448642</v>
      </c>
      <c r="F133" s="1474">
        <v>5.9542738915905176</v>
      </c>
      <c r="G133" s="1474">
        <v>4.4099629446366775</v>
      </c>
      <c r="H133" s="1475">
        <v>2.2213589549418593</v>
      </c>
      <c r="I133" s="1474">
        <v>2.1924148953974898</v>
      </c>
      <c r="J133" s="1476">
        <v>2.3811381292346301</v>
      </c>
      <c r="K133" s="1476">
        <v>2.552222098214286</v>
      </c>
      <c r="L133" s="1476">
        <v>2.8307401572580657</v>
      </c>
      <c r="M133" s="1475">
        <v>3.0010034869059155</v>
      </c>
      <c r="N133" s="1548"/>
      <c r="O133" s="1549">
        <v>12.107110463554084</v>
      </c>
      <c r="P133" s="1550">
        <v>6.6313218995785368</v>
      </c>
      <c r="Q133" s="1551">
        <v>18.73843236313262</v>
      </c>
      <c r="R133" s="258"/>
      <c r="S133" s="1549">
        <v>12.957518767010388</v>
      </c>
      <c r="T133" s="1552">
        <v>-0.3085057215082746</v>
      </c>
    </row>
    <row r="134" spans="1:20" s="1000" customFormat="1" ht="15.75" customHeight="1">
      <c r="A134" s="1130"/>
      <c r="B134" s="1134" t="s">
        <v>361</v>
      </c>
      <c r="C134" s="1135" t="s">
        <v>14</v>
      </c>
      <c r="D134" s="1478">
        <v>0.18380693370718193</v>
      </c>
      <c r="E134" s="1479">
        <v>0.47575380748158391</v>
      </c>
      <c r="F134" s="1479">
        <v>1.6519231527024933</v>
      </c>
      <c r="G134" s="1479">
        <v>9.2619913494809691E-2</v>
      </c>
      <c r="H134" s="1480">
        <v>0.37740199854651157</v>
      </c>
      <c r="I134" s="1479">
        <v>1.4607630794979078</v>
      </c>
      <c r="J134" s="1481">
        <v>1.3595085934755333</v>
      </c>
      <c r="K134" s="1481">
        <v>1.4527110714285716</v>
      </c>
      <c r="L134" s="1481">
        <v>1.4482817147177418</v>
      </c>
      <c r="M134" s="1480">
        <v>1.4428966527643061</v>
      </c>
      <c r="N134" s="1548"/>
      <c r="O134" s="543">
        <v>2.3114838938912592</v>
      </c>
      <c r="P134" s="544">
        <v>0.47002191204132127</v>
      </c>
      <c r="Q134" s="545">
        <v>2.7815058059325803</v>
      </c>
      <c r="R134" s="258"/>
      <c r="S134" s="543">
        <v>7.1641611118840602</v>
      </c>
      <c r="T134" s="1477">
        <v>1.575641257553323</v>
      </c>
    </row>
    <row r="135" spans="1:20" s="1000" customFormat="1" ht="15.75" customHeight="1">
      <c r="A135" s="1130"/>
      <c r="B135" s="1134" t="s">
        <v>495</v>
      </c>
      <c r="C135" s="1135" t="s">
        <v>14</v>
      </c>
      <c r="D135" s="1478">
        <v>0</v>
      </c>
      <c r="E135" s="1479">
        <v>0</v>
      </c>
      <c r="F135" s="1479">
        <v>0</v>
      </c>
      <c r="G135" s="1479">
        <v>0</v>
      </c>
      <c r="H135" s="1480">
        <v>0</v>
      </c>
      <c r="I135" s="1479">
        <v>0</v>
      </c>
      <c r="J135" s="1481">
        <v>0</v>
      </c>
      <c r="K135" s="1481">
        <v>0</v>
      </c>
      <c r="L135" s="1481">
        <v>0</v>
      </c>
      <c r="M135" s="1480">
        <v>0</v>
      </c>
      <c r="N135" s="1548"/>
      <c r="O135" s="543">
        <v>0</v>
      </c>
      <c r="P135" s="544">
        <v>0</v>
      </c>
      <c r="Q135" s="545">
        <v>0</v>
      </c>
      <c r="R135" s="258"/>
      <c r="S135" s="543">
        <v>0</v>
      </c>
      <c r="T135" s="1477" t="s">
        <v>1022</v>
      </c>
    </row>
    <row r="136" spans="1:20" s="1000" customFormat="1" ht="15.75" customHeight="1" thickBot="1">
      <c r="A136" s="1130"/>
      <c r="B136" s="1136" t="s">
        <v>496</v>
      </c>
      <c r="C136" s="1137" t="s">
        <v>14</v>
      </c>
      <c r="D136" s="1553">
        <v>0</v>
      </c>
      <c r="E136" s="1554">
        <v>0</v>
      </c>
      <c r="F136" s="1554">
        <v>0</v>
      </c>
      <c r="G136" s="1554">
        <v>0</v>
      </c>
      <c r="H136" s="1555">
        <v>0</v>
      </c>
      <c r="I136" s="1554">
        <v>0</v>
      </c>
      <c r="J136" s="1556">
        <v>0</v>
      </c>
      <c r="K136" s="1556">
        <v>0</v>
      </c>
      <c r="L136" s="1556">
        <v>0</v>
      </c>
      <c r="M136" s="1555">
        <v>0</v>
      </c>
      <c r="N136" s="1548"/>
      <c r="O136" s="1486">
        <v>0</v>
      </c>
      <c r="P136" s="1487">
        <v>0</v>
      </c>
      <c r="Q136" s="1488">
        <v>0</v>
      </c>
      <c r="R136" s="258"/>
      <c r="S136" s="1486">
        <v>0</v>
      </c>
      <c r="T136" s="1489" t="s">
        <v>1022</v>
      </c>
    </row>
    <row r="137" spans="1:20">
      <c r="A137" s="331"/>
      <c r="B137" s="529"/>
      <c r="C137" s="332"/>
      <c r="D137" s="323"/>
      <c r="E137" s="323"/>
      <c r="F137" s="323"/>
      <c r="G137" s="323"/>
      <c r="H137" s="323"/>
      <c r="I137" s="323"/>
      <c r="J137" s="323"/>
      <c r="K137" s="323"/>
      <c r="L137" s="323"/>
      <c r="M137" s="323"/>
      <c r="N137" s="323"/>
      <c r="O137" s="320"/>
      <c r="P137" s="320"/>
      <c r="Q137" s="320"/>
      <c r="R137" s="320"/>
      <c r="S137" s="320"/>
      <c r="T137" s="320"/>
    </row>
    <row r="138" spans="1:20">
      <c r="A138" s="254"/>
      <c r="B138" s="254"/>
      <c r="C138" s="316"/>
      <c r="D138" s="320"/>
      <c r="E138" s="320"/>
      <c r="F138" s="320"/>
      <c r="G138" s="320"/>
      <c r="H138" s="320"/>
      <c r="I138" s="320"/>
      <c r="J138" s="320"/>
      <c r="K138" s="320"/>
      <c r="L138" s="320"/>
      <c r="M138" s="320"/>
      <c r="N138" s="320"/>
      <c r="O138" s="320"/>
      <c r="P138" s="320"/>
      <c r="Q138" s="320"/>
      <c r="R138" s="320"/>
      <c r="S138" s="320"/>
      <c r="T138" s="320"/>
    </row>
    <row r="139" spans="1:20">
      <c r="A139" s="254"/>
      <c r="B139" s="254"/>
      <c r="C139" s="316"/>
      <c r="D139" s="320"/>
      <c r="E139" s="320"/>
      <c r="F139" s="320"/>
      <c r="G139" s="320"/>
      <c r="H139" s="320"/>
      <c r="I139" s="320"/>
      <c r="J139" s="320"/>
      <c r="K139" s="320"/>
      <c r="L139" s="320"/>
      <c r="M139" s="320"/>
      <c r="N139" s="320"/>
      <c r="O139" s="320"/>
      <c r="P139" s="320"/>
      <c r="Q139" s="320"/>
      <c r="R139" s="320"/>
      <c r="S139" s="320"/>
      <c r="T139" s="320"/>
    </row>
    <row r="140" spans="1:20">
      <c r="A140" s="254"/>
      <c r="B140" s="254"/>
      <c r="C140" s="316"/>
      <c r="D140" s="320"/>
      <c r="E140" s="320"/>
      <c r="F140" s="320"/>
      <c r="G140" s="320"/>
      <c r="H140" s="320"/>
      <c r="I140" s="320"/>
      <c r="J140" s="320"/>
      <c r="K140" s="320"/>
      <c r="L140" s="320"/>
      <c r="M140" s="320"/>
      <c r="N140" s="320"/>
      <c r="O140" s="320"/>
      <c r="P140" s="320"/>
      <c r="Q140" s="320"/>
      <c r="R140" s="320"/>
      <c r="S140" s="320"/>
      <c r="T140" s="320"/>
    </row>
    <row r="141" spans="1:20">
      <c r="A141" s="254"/>
      <c r="B141" s="254"/>
      <c r="C141" s="316"/>
      <c r="D141" s="320"/>
      <c r="E141" s="320"/>
      <c r="F141" s="320"/>
      <c r="G141" s="320"/>
      <c r="H141" s="320"/>
      <c r="I141" s="320"/>
      <c r="J141" s="320"/>
      <c r="K141" s="320"/>
      <c r="L141" s="320"/>
      <c r="M141" s="320"/>
      <c r="N141" s="320"/>
      <c r="O141" s="320"/>
      <c r="P141" s="320"/>
      <c r="Q141" s="320"/>
      <c r="R141" s="320"/>
      <c r="S141" s="320"/>
      <c r="T141" s="320"/>
    </row>
    <row r="142" spans="1:20">
      <c r="A142" s="254"/>
      <c r="B142" s="254"/>
      <c r="C142" s="316"/>
      <c r="D142" s="320"/>
      <c r="E142" s="320"/>
      <c r="F142" s="320"/>
      <c r="G142" s="320"/>
      <c r="H142" s="320"/>
      <c r="I142" s="320"/>
      <c r="J142" s="320"/>
      <c r="K142" s="320"/>
      <c r="L142" s="320"/>
      <c r="M142" s="320"/>
      <c r="N142" s="320"/>
      <c r="O142" s="320"/>
      <c r="P142" s="320"/>
      <c r="Q142" s="320"/>
      <c r="R142" s="320"/>
      <c r="S142" s="320"/>
      <c r="T142" s="320"/>
    </row>
    <row r="143" spans="1:20">
      <c r="A143" s="254"/>
      <c r="B143" s="254"/>
      <c r="C143" s="316"/>
      <c r="D143" s="320"/>
      <c r="E143" s="320"/>
      <c r="F143" s="320"/>
      <c r="G143" s="320"/>
      <c r="H143" s="320"/>
      <c r="I143" s="320"/>
      <c r="J143" s="320"/>
      <c r="K143" s="320"/>
      <c r="L143" s="320"/>
      <c r="M143" s="320"/>
      <c r="N143" s="320"/>
      <c r="O143" s="320"/>
      <c r="P143" s="320"/>
      <c r="Q143" s="320"/>
      <c r="R143" s="320"/>
      <c r="S143" s="320"/>
      <c r="T143" s="320"/>
    </row>
    <row r="144" spans="1:20">
      <c r="A144" s="254"/>
      <c r="B144" s="254"/>
      <c r="C144" s="316"/>
      <c r="D144" s="320"/>
      <c r="E144" s="320"/>
      <c r="F144" s="320"/>
      <c r="G144" s="320"/>
      <c r="H144" s="320"/>
      <c r="I144" s="320"/>
      <c r="J144" s="320"/>
      <c r="K144" s="320"/>
      <c r="L144" s="320"/>
      <c r="M144" s="320"/>
      <c r="N144" s="320"/>
      <c r="O144" s="320"/>
      <c r="P144" s="320"/>
      <c r="Q144" s="320"/>
      <c r="R144" s="320"/>
      <c r="S144" s="320"/>
      <c r="T144" s="320"/>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F1" zoomScaleSheetLayoutView="85" workbookViewId="0"/>
  </sheetViews>
  <sheetFormatPr defaultColWidth="10.28515625" defaultRowHeight="12.75"/>
  <cols>
    <col min="1" max="1" width="3.7109375" style="596" customWidth="1"/>
    <col min="2" max="2" width="105.28515625" style="596" customWidth="1"/>
    <col min="3" max="3" width="7.42578125" style="597" customWidth="1"/>
    <col min="4" max="8" width="10" style="598" customWidth="1"/>
    <col min="9" max="13" width="10.28515625" style="598" customWidth="1"/>
    <col min="14" max="14" width="3.140625" style="598" customWidth="1"/>
    <col min="15" max="17" width="10.28515625" style="598" customWidth="1"/>
    <col min="18" max="18" width="3.140625" style="598" customWidth="1"/>
    <col min="19" max="19" width="10.28515625" style="598" customWidth="1"/>
    <col min="20" max="20" width="13" style="598" customWidth="1"/>
    <col min="21" max="16384" width="10.28515625" style="596"/>
  </cols>
  <sheetData>
    <row r="1" spans="1:30" s="587" customFormat="1" ht="26.25">
      <c r="A1" s="581" t="s">
        <v>858</v>
      </c>
      <c r="B1" s="582"/>
      <c r="C1" s="583"/>
      <c r="D1" s="584"/>
      <c r="E1" s="584"/>
      <c r="F1" s="584"/>
      <c r="G1" s="584"/>
      <c r="H1" s="584"/>
      <c r="I1" s="584"/>
      <c r="J1" s="585"/>
      <c r="K1" s="586"/>
      <c r="L1" s="586"/>
      <c r="M1" s="585"/>
      <c r="N1" s="585"/>
      <c r="O1" s="586"/>
      <c r="P1" s="585"/>
      <c r="Q1" s="585"/>
      <c r="R1" s="585"/>
      <c r="S1" s="585"/>
      <c r="T1" s="585"/>
      <c r="Y1" s="588"/>
      <c r="Z1" s="588"/>
      <c r="AA1" s="588"/>
      <c r="AB1" s="588"/>
      <c r="AC1" s="588"/>
      <c r="AD1" s="588"/>
    </row>
    <row r="2" spans="1:30" s="587" customFormat="1" ht="18">
      <c r="A2" s="589"/>
      <c r="C2" s="590"/>
      <c r="D2" s="585"/>
      <c r="E2" s="585"/>
      <c r="F2" s="585"/>
      <c r="G2" s="585"/>
      <c r="H2" s="585"/>
      <c r="I2" s="585"/>
      <c r="J2" s="585"/>
      <c r="K2" s="585"/>
      <c r="L2" s="585"/>
      <c r="M2" s="585"/>
      <c r="N2" s="585"/>
      <c r="O2" s="585"/>
      <c r="P2" s="585"/>
      <c r="Q2" s="585"/>
      <c r="R2" s="585"/>
      <c r="S2" s="585"/>
      <c r="T2" s="585"/>
      <c r="Y2" s="588"/>
      <c r="Z2" s="588"/>
      <c r="AA2" s="588"/>
      <c r="AB2" s="588"/>
      <c r="AC2" s="588"/>
      <c r="AD2" s="588"/>
    </row>
    <row r="3" spans="1:30" s="592" customFormat="1" ht="18.75" thickBot="1">
      <c r="A3" s="591" t="s">
        <v>255</v>
      </c>
      <c r="C3" s="593"/>
      <c r="D3" s="594"/>
      <c r="E3" s="594"/>
      <c r="F3" s="594"/>
      <c r="G3" s="594"/>
      <c r="H3" s="594"/>
      <c r="I3" s="594"/>
      <c r="J3" s="594"/>
      <c r="K3" s="594"/>
      <c r="L3" s="594"/>
      <c r="M3" s="594"/>
      <c r="N3" s="594"/>
      <c r="O3" s="594"/>
      <c r="P3" s="594"/>
      <c r="Q3" s="594"/>
      <c r="R3" s="594"/>
      <c r="S3" s="594"/>
      <c r="T3" s="594"/>
      <c r="Y3" s="595"/>
      <c r="Z3" s="595"/>
      <c r="AA3" s="595"/>
      <c r="AB3" s="595"/>
      <c r="AC3" s="595"/>
      <c r="AD3" s="595"/>
    </row>
    <row r="4" spans="1:30">
      <c r="R4" s="599"/>
    </row>
    <row r="5" spans="1:30">
      <c r="D5" s="596"/>
      <c r="E5" s="596"/>
      <c r="F5" s="596"/>
      <c r="G5" s="596"/>
      <c r="H5" s="596"/>
      <c r="I5" s="596"/>
      <c r="J5" s="596"/>
      <c r="K5" s="596"/>
      <c r="L5" s="596"/>
      <c r="M5" s="596"/>
      <c r="N5" s="596"/>
      <c r="O5" s="596"/>
      <c r="P5" s="596"/>
      <c r="Q5" s="596"/>
      <c r="R5" s="599"/>
      <c r="S5" s="596"/>
      <c r="T5" s="596"/>
    </row>
    <row r="6" spans="1:30">
      <c r="B6" s="600" t="s">
        <v>256</v>
      </c>
      <c r="D6" s="596"/>
      <c r="E6" s="596"/>
      <c r="F6" s="596"/>
      <c r="G6" s="596"/>
      <c r="H6" s="596"/>
      <c r="I6" s="596"/>
      <c r="J6" s="596"/>
      <c r="K6" s="596"/>
      <c r="L6" s="596"/>
      <c r="M6" s="596"/>
      <c r="N6" s="596"/>
      <c r="O6" s="596"/>
      <c r="P6" s="596"/>
      <c r="Q6" s="596"/>
      <c r="R6" s="599"/>
      <c r="S6" s="596"/>
      <c r="T6" s="596"/>
    </row>
    <row r="7" spans="1:30" ht="13.5" thickBot="1">
      <c r="D7" s="596"/>
      <c r="E7" s="596"/>
      <c r="F7" s="596"/>
      <c r="G7" s="596"/>
      <c r="H7" s="596"/>
      <c r="I7" s="596"/>
      <c r="J7" s="596"/>
      <c r="K7" s="596"/>
      <c r="L7" s="596"/>
      <c r="M7" s="596"/>
      <c r="N7" s="596"/>
      <c r="O7" s="596"/>
      <c r="P7" s="596"/>
      <c r="Q7" s="596"/>
      <c r="R7" s="599"/>
      <c r="S7" s="596"/>
      <c r="T7" s="596"/>
    </row>
    <row r="8" spans="1:30">
      <c r="B8" s="601"/>
      <c r="C8" s="1919" t="s">
        <v>31</v>
      </c>
      <c r="D8" s="602" t="s">
        <v>116</v>
      </c>
      <c r="E8" s="603"/>
      <c r="F8" s="603"/>
      <c r="G8" s="603"/>
      <c r="H8" s="604"/>
      <c r="I8" s="603" t="s">
        <v>117</v>
      </c>
      <c r="J8" s="605"/>
      <c r="K8" s="605"/>
      <c r="L8" s="605"/>
      <c r="M8" s="604"/>
      <c r="N8" s="596"/>
      <c r="O8" s="606" t="s">
        <v>116</v>
      </c>
      <c r="P8" s="607"/>
      <c r="Q8" s="608"/>
      <c r="R8" s="599"/>
      <c r="S8" s="606" t="s">
        <v>117</v>
      </c>
      <c r="T8" s="608"/>
    </row>
    <row r="9" spans="1:30">
      <c r="B9" s="609"/>
      <c r="C9" s="1920"/>
      <c r="D9" s="610" t="s">
        <v>32</v>
      </c>
      <c r="E9" s="611" t="s">
        <v>33</v>
      </c>
      <c r="F9" s="611" t="s">
        <v>29</v>
      </c>
      <c r="G9" s="611" t="s">
        <v>34</v>
      </c>
      <c r="H9" s="612" t="s">
        <v>35</v>
      </c>
      <c r="I9" s="613" t="s">
        <v>118</v>
      </c>
      <c r="J9" s="611" t="s">
        <v>136</v>
      </c>
      <c r="K9" s="611" t="s">
        <v>137</v>
      </c>
      <c r="L9" s="611" t="s">
        <v>138</v>
      </c>
      <c r="M9" s="612" t="s">
        <v>139</v>
      </c>
      <c r="N9" s="596"/>
      <c r="O9" s="614" t="s">
        <v>126</v>
      </c>
      <c r="P9" s="615" t="s">
        <v>127</v>
      </c>
      <c r="Q9" s="616" t="s">
        <v>246</v>
      </c>
      <c r="R9" s="599"/>
      <c r="S9" s="614" t="s">
        <v>127</v>
      </c>
      <c r="T9" s="616" t="s">
        <v>128</v>
      </c>
    </row>
    <row r="10" spans="1:30">
      <c r="B10" s="617" t="s">
        <v>257</v>
      </c>
      <c r="C10" s="618" t="s">
        <v>14</v>
      </c>
      <c r="D10" s="619">
        <f t="shared" ref="D10:M10" si="0">SUM(D178,D217,D240)</f>
        <v>0</v>
      </c>
      <c r="E10" s="619">
        <f t="shared" si="0"/>
        <v>0</v>
      </c>
      <c r="F10" s="619">
        <f t="shared" si="0"/>
        <v>0</v>
      </c>
      <c r="G10" s="619">
        <f t="shared" si="0"/>
        <v>0</v>
      </c>
      <c r="H10" s="620">
        <f t="shared" si="0"/>
        <v>0</v>
      </c>
      <c r="I10" s="619">
        <f t="shared" si="0"/>
        <v>0</v>
      </c>
      <c r="J10" s="621">
        <f t="shared" si="0"/>
        <v>0</v>
      </c>
      <c r="K10" s="621">
        <f t="shared" si="0"/>
        <v>0</v>
      </c>
      <c r="L10" s="621">
        <f t="shared" si="0"/>
        <v>0</v>
      </c>
      <c r="M10" s="620">
        <f t="shared" si="0"/>
        <v>0</v>
      </c>
      <c r="N10" s="596"/>
      <c r="O10" s="622">
        <f t="shared" ref="O10:O15" si="1">SUM(D10:G10)</f>
        <v>0</v>
      </c>
      <c r="P10" s="623">
        <f t="shared" ref="P10:P15" si="2">SUM(H10)</f>
        <v>0</v>
      </c>
      <c r="Q10" s="624">
        <f t="shared" ref="Q10:Q15" si="3">SUM(D10:H10)</f>
        <v>0</v>
      </c>
      <c r="R10" s="599"/>
      <c r="S10" s="622">
        <f t="shared" ref="S10:S15" si="4">SUM(I10:M10)</f>
        <v>0</v>
      </c>
      <c r="T10" s="625" t="str">
        <f t="shared" ref="T10:T15" si="5">IF(Q10&lt;&gt;0,(S10-Q10)/Q10,"0")</f>
        <v>0</v>
      </c>
    </row>
    <row r="11" spans="1:30">
      <c r="B11" s="617" t="s">
        <v>258</v>
      </c>
      <c r="C11" s="618" t="s">
        <v>14</v>
      </c>
      <c r="D11" s="626">
        <f t="shared" ref="D11:M11" si="6">D240</f>
        <v>0</v>
      </c>
      <c r="E11" s="619">
        <f t="shared" si="6"/>
        <v>0</v>
      </c>
      <c r="F11" s="619">
        <f t="shared" si="6"/>
        <v>0</v>
      </c>
      <c r="G11" s="619">
        <f t="shared" si="6"/>
        <v>0</v>
      </c>
      <c r="H11" s="620">
        <f t="shared" si="6"/>
        <v>0</v>
      </c>
      <c r="I11" s="619">
        <f t="shared" si="6"/>
        <v>0</v>
      </c>
      <c r="J11" s="621">
        <f t="shared" si="6"/>
        <v>0</v>
      </c>
      <c r="K11" s="621">
        <f t="shared" si="6"/>
        <v>0</v>
      </c>
      <c r="L11" s="621">
        <f t="shared" si="6"/>
        <v>0</v>
      </c>
      <c r="M11" s="620">
        <f t="shared" si="6"/>
        <v>0</v>
      </c>
      <c r="N11" s="596"/>
      <c r="O11" s="622">
        <f t="shared" si="1"/>
        <v>0</v>
      </c>
      <c r="P11" s="623">
        <f t="shared" si="2"/>
        <v>0</v>
      </c>
      <c r="Q11" s="624">
        <f t="shared" si="3"/>
        <v>0</v>
      </c>
      <c r="R11" s="599"/>
      <c r="S11" s="622">
        <f t="shared" si="4"/>
        <v>0</v>
      </c>
      <c r="T11" s="625" t="str">
        <f t="shared" si="5"/>
        <v>0</v>
      </c>
    </row>
    <row r="12" spans="1:30">
      <c r="B12" s="627" t="s">
        <v>259</v>
      </c>
      <c r="C12" s="618" t="s">
        <v>14</v>
      </c>
      <c r="D12" s="626">
        <f t="shared" ref="D12:M12" si="7">D263</f>
        <v>0</v>
      </c>
      <c r="E12" s="619">
        <f t="shared" si="7"/>
        <v>0</v>
      </c>
      <c r="F12" s="619">
        <f t="shared" si="7"/>
        <v>0</v>
      </c>
      <c r="G12" s="619">
        <f t="shared" si="7"/>
        <v>0</v>
      </c>
      <c r="H12" s="620">
        <f t="shared" si="7"/>
        <v>0</v>
      </c>
      <c r="I12" s="619">
        <f t="shared" si="7"/>
        <v>0</v>
      </c>
      <c r="J12" s="621">
        <f t="shared" si="7"/>
        <v>0</v>
      </c>
      <c r="K12" s="621">
        <f t="shared" si="7"/>
        <v>0</v>
      </c>
      <c r="L12" s="621">
        <f t="shared" si="7"/>
        <v>0</v>
      </c>
      <c r="M12" s="620">
        <f t="shared" si="7"/>
        <v>0</v>
      </c>
      <c r="N12" s="596"/>
      <c r="O12" s="622">
        <f t="shared" si="1"/>
        <v>0</v>
      </c>
      <c r="P12" s="623">
        <f t="shared" si="2"/>
        <v>0</v>
      </c>
      <c r="Q12" s="624">
        <f t="shared" si="3"/>
        <v>0</v>
      </c>
      <c r="R12" s="599"/>
      <c r="S12" s="622">
        <f t="shared" si="4"/>
        <v>0</v>
      </c>
      <c r="T12" s="625" t="str">
        <f t="shared" si="5"/>
        <v>0</v>
      </c>
    </row>
    <row r="13" spans="1:30">
      <c r="B13" s="617" t="s">
        <v>260</v>
      </c>
      <c r="C13" s="618" t="s">
        <v>14</v>
      </c>
      <c r="D13" s="628">
        <f t="shared" ref="D13:M13" si="8">D11-D12</f>
        <v>0</v>
      </c>
      <c r="E13" s="629">
        <f t="shared" si="8"/>
        <v>0</v>
      </c>
      <c r="F13" s="629">
        <f t="shared" si="8"/>
        <v>0</v>
      </c>
      <c r="G13" s="629">
        <f t="shared" si="8"/>
        <v>0</v>
      </c>
      <c r="H13" s="630">
        <f t="shared" si="8"/>
        <v>0</v>
      </c>
      <c r="I13" s="631">
        <f t="shared" si="8"/>
        <v>0</v>
      </c>
      <c r="J13" s="629">
        <f t="shared" si="8"/>
        <v>0</v>
      </c>
      <c r="K13" s="629">
        <f t="shared" si="8"/>
        <v>0</v>
      </c>
      <c r="L13" s="629">
        <f t="shared" si="8"/>
        <v>0</v>
      </c>
      <c r="M13" s="630">
        <f t="shared" si="8"/>
        <v>0</v>
      </c>
      <c r="N13" s="596"/>
      <c r="O13" s="622">
        <f t="shared" si="1"/>
        <v>0</v>
      </c>
      <c r="P13" s="623">
        <f t="shared" si="2"/>
        <v>0</v>
      </c>
      <c r="Q13" s="624">
        <f t="shared" si="3"/>
        <v>0</v>
      </c>
      <c r="R13" s="599"/>
      <c r="S13" s="622">
        <f t="shared" si="4"/>
        <v>0</v>
      </c>
      <c r="T13" s="625" t="str">
        <f t="shared" si="5"/>
        <v>0</v>
      </c>
    </row>
    <row r="14" spans="1:30">
      <c r="B14" s="617" t="s">
        <v>261</v>
      </c>
      <c r="C14" s="618" t="s">
        <v>14</v>
      </c>
      <c r="D14" s="632"/>
      <c r="E14" s="632"/>
      <c r="F14" s="632"/>
      <c r="G14" s="632"/>
      <c r="H14" s="632"/>
      <c r="I14" s="632"/>
      <c r="J14" s="632"/>
      <c r="K14" s="632"/>
      <c r="L14" s="632"/>
      <c r="M14" s="632"/>
      <c r="N14" s="596"/>
      <c r="O14" s="622">
        <f t="shared" si="1"/>
        <v>0</v>
      </c>
      <c r="P14" s="623">
        <f t="shared" si="2"/>
        <v>0</v>
      </c>
      <c r="Q14" s="624">
        <f t="shared" si="3"/>
        <v>0</v>
      </c>
      <c r="R14" s="599"/>
      <c r="S14" s="622">
        <f t="shared" si="4"/>
        <v>0</v>
      </c>
      <c r="T14" s="625" t="str">
        <f t="shared" si="5"/>
        <v>0</v>
      </c>
    </row>
    <row r="15" spans="1:30">
      <c r="B15" s="617" t="s">
        <v>262</v>
      </c>
      <c r="C15" s="618" t="s">
        <v>14</v>
      </c>
      <c r="D15" s="633">
        <f t="shared" ref="D15:M15" si="9">D13+D14</f>
        <v>0</v>
      </c>
      <c r="E15" s="634">
        <f t="shared" si="9"/>
        <v>0</v>
      </c>
      <c r="F15" s="634">
        <f t="shared" si="9"/>
        <v>0</v>
      </c>
      <c r="G15" s="634">
        <f t="shared" si="9"/>
        <v>0</v>
      </c>
      <c r="H15" s="635">
        <f t="shared" si="9"/>
        <v>0</v>
      </c>
      <c r="I15" s="634">
        <f t="shared" si="9"/>
        <v>0</v>
      </c>
      <c r="J15" s="636">
        <f t="shared" si="9"/>
        <v>0</v>
      </c>
      <c r="K15" s="636">
        <f t="shared" si="9"/>
        <v>0</v>
      </c>
      <c r="L15" s="636">
        <f t="shared" si="9"/>
        <v>0</v>
      </c>
      <c r="M15" s="635">
        <f t="shared" si="9"/>
        <v>0</v>
      </c>
      <c r="N15" s="596"/>
      <c r="O15" s="622">
        <f t="shared" si="1"/>
        <v>0</v>
      </c>
      <c r="P15" s="623">
        <f t="shared" si="2"/>
        <v>0</v>
      </c>
      <c r="Q15" s="624">
        <f t="shared" si="3"/>
        <v>0</v>
      </c>
      <c r="R15" s="599"/>
      <c r="S15" s="622">
        <f t="shared" si="4"/>
        <v>0</v>
      </c>
      <c r="T15" s="625" t="str">
        <f t="shared" si="5"/>
        <v>0</v>
      </c>
    </row>
    <row r="16" spans="1:30" ht="13.5" thickBot="1">
      <c r="B16" s="637" t="s">
        <v>619</v>
      </c>
      <c r="C16" s="638"/>
      <c r="D16" s="639" t="str">
        <f t="shared" ref="D16:M16" si="10">IF(D13-SUM(D31,D35,D39,D43)=0,"OK","ERROR")</f>
        <v>OK</v>
      </c>
      <c r="E16" s="640" t="str">
        <f t="shared" si="10"/>
        <v>OK</v>
      </c>
      <c r="F16" s="640" t="str">
        <f t="shared" si="10"/>
        <v>OK</v>
      </c>
      <c r="G16" s="640" t="str">
        <f t="shared" si="10"/>
        <v>OK</v>
      </c>
      <c r="H16" s="641" t="str">
        <f t="shared" si="10"/>
        <v>OK</v>
      </c>
      <c r="I16" s="640" t="str">
        <f t="shared" si="10"/>
        <v>OK</v>
      </c>
      <c r="J16" s="642" t="str">
        <f t="shared" si="10"/>
        <v>OK</v>
      </c>
      <c r="K16" s="642" t="str">
        <f t="shared" si="10"/>
        <v>OK</v>
      </c>
      <c r="L16" s="642" t="str">
        <f t="shared" si="10"/>
        <v>OK</v>
      </c>
      <c r="M16" s="641" t="str">
        <f t="shared" si="10"/>
        <v>OK</v>
      </c>
      <c r="N16" s="596"/>
      <c r="O16" s="643"/>
      <c r="P16" s="644"/>
      <c r="Q16" s="645"/>
      <c r="R16" s="599"/>
      <c r="S16" s="643"/>
      <c r="T16" s="646"/>
    </row>
    <row r="17" spans="2:20" ht="13.5" thickBot="1">
      <c r="D17" s="596"/>
      <c r="E17" s="596"/>
      <c r="F17" s="596"/>
      <c r="G17" s="596"/>
      <c r="H17" s="596"/>
      <c r="I17" s="596"/>
      <c r="J17" s="596"/>
      <c r="K17" s="596"/>
      <c r="L17" s="596"/>
      <c r="M17" s="596"/>
      <c r="N17" s="596"/>
      <c r="O17" s="596"/>
      <c r="P17" s="596"/>
      <c r="Q17" s="596"/>
      <c r="R17" s="599"/>
      <c r="S17" s="596"/>
      <c r="T17" s="596"/>
    </row>
    <row r="18" spans="2:20">
      <c r="B18" s="601"/>
      <c r="C18" s="1919" t="s">
        <v>31</v>
      </c>
      <c r="D18" s="602" t="s">
        <v>116</v>
      </c>
      <c r="E18" s="603"/>
      <c r="F18" s="603"/>
      <c r="G18" s="603"/>
      <c r="H18" s="604"/>
      <c r="I18" s="603" t="s">
        <v>117</v>
      </c>
      <c r="J18" s="605"/>
      <c r="K18" s="605"/>
      <c r="L18" s="605"/>
      <c r="M18" s="604"/>
      <c r="N18" s="596"/>
      <c r="O18" s="606" t="s">
        <v>116</v>
      </c>
      <c r="P18" s="607"/>
      <c r="Q18" s="608"/>
      <c r="R18" s="599"/>
      <c r="S18" s="606" t="s">
        <v>117</v>
      </c>
      <c r="T18" s="608"/>
    </row>
    <row r="19" spans="2:20">
      <c r="B19" s="609"/>
      <c r="C19" s="1920"/>
      <c r="D19" s="610" t="s">
        <v>32</v>
      </c>
      <c r="E19" s="611" t="s">
        <v>33</v>
      </c>
      <c r="F19" s="611" t="s">
        <v>29</v>
      </c>
      <c r="G19" s="611" t="s">
        <v>34</v>
      </c>
      <c r="H19" s="612" t="s">
        <v>35</v>
      </c>
      <c r="I19" s="613" t="s">
        <v>118</v>
      </c>
      <c r="J19" s="611" t="s">
        <v>136</v>
      </c>
      <c r="K19" s="611" t="s">
        <v>137</v>
      </c>
      <c r="L19" s="611" t="s">
        <v>138</v>
      </c>
      <c r="M19" s="612" t="s">
        <v>139</v>
      </c>
      <c r="N19" s="596"/>
      <c r="O19" s="614" t="s">
        <v>126</v>
      </c>
      <c r="P19" s="615" t="s">
        <v>127</v>
      </c>
      <c r="Q19" s="616" t="s">
        <v>246</v>
      </c>
      <c r="R19" s="599"/>
      <c r="S19" s="614" t="s">
        <v>127</v>
      </c>
      <c r="T19" s="616" t="s">
        <v>128</v>
      </c>
    </row>
    <row r="20" spans="2:20">
      <c r="B20" s="617" t="s">
        <v>263</v>
      </c>
      <c r="C20" s="618" t="s">
        <v>14</v>
      </c>
      <c r="D20" s="632"/>
      <c r="E20" s="647"/>
      <c r="F20" s="647"/>
      <c r="G20" s="647"/>
      <c r="H20" s="648"/>
      <c r="I20" s="647"/>
      <c r="J20" s="649"/>
      <c r="K20" s="649"/>
      <c r="L20" s="649"/>
      <c r="M20" s="648"/>
      <c r="N20" s="596"/>
      <c r="O20" s="622">
        <f>SUM(D20:G20)</f>
        <v>0</v>
      </c>
      <c r="P20" s="623">
        <f>SUM(H20)</f>
        <v>0</v>
      </c>
      <c r="Q20" s="624">
        <f>SUM(D20:H20)</f>
        <v>0</v>
      </c>
      <c r="R20" s="599"/>
      <c r="S20" s="622">
        <f>SUM(I20:M20)</f>
        <v>0</v>
      </c>
      <c r="T20" s="625" t="str">
        <f>IF(Q20&lt;&gt;0,(S20-Q20)/Q20,"0")</f>
        <v>0</v>
      </c>
    </row>
    <row r="21" spans="2:20">
      <c r="B21" s="617" t="s">
        <v>264</v>
      </c>
      <c r="C21" s="618" t="s">
        <v>14</v>
      </c>
      <c r="D21" s="632"/>
      <c r="E21" s="647"/>
      <c r="F21" s="647"/>
      <c r="G21" s="647"/>
      <c r="H21" s="648"/>
      <c r="I21" s="647"/>
      <c r="J21" s="649"/>
      <c r="K21" s="649"/>
      <c r="L21" s="649"/>
      <c r="M21" s="648"/>
      <c r="N21" s="596"/>
      <c r="O21" s="622">
        <f>SUM(D21:G21)</f>
        <v>0</v>
      </c>
      <c r="P21" s="623">
        <f>SUM(H21)</f>
        <v>0</v>
      </c>
      <c r="Q21" s="624">
        <f>SUM(D21:H21)</f>
        <v>0</v>
      </c>
      <c r="R21" s="599"/>
      <c r="S21" s="622">
        <f>SUM(I21:M21)</f>
        <v>0</v>
      </c>
      <c r="T21" s="625" t="str">
        <f>IF(Q21&lt;&gt;0,(S21-Q21)/Q21,"0")</f>
        <v>0</v>
      </c>
    </row>
    <row r="22" spans="2:20" ht="13.5" thickBot="1">
      <c r="B22" s="637" t="s">
        <v>246</v>
      </c>
      <c r="C22" s="638" t="s">
        <v>14</v>
      </c>
      <c r="D22" s="650">
        <f t="shared" ref="D22:M22" si="11">D20+D21</f>
        <v>0</v>
      </c>
      <c r="E22" s="651">
        <f t="shared" si="11"/>
        <v>0</v>
      </c>
      <c r="F22" s="651">
        <f t="shared" si="11"/>
        <v>0</v>
      </c>
      <c r="G22" s="651">
        <f t="shared" si="11"/>
        <v>0</v>
      </c>
      <c r="H22" s="652">
        <f t="shared" si="11"/>
        <v>0</v>
      </c>
      <c r="I22" s="651">
        <f t="shared" si="11"/>
        <v>0</v>
      </c>
      <c r="J22" s="653">
        <f t="shared" si="11"/>
        <v>0</v>
      </c>
      <c r="K22" s="653">
        <f t="shared" si="11"/>
        <v>0</v>
      </c>
      <c r="L22" s="653">
        <f t="shared" si="11"/>
        <v>0</v>
      </c>
      <c r="M22" s="652">
        <f t="shared" si="11"/>
        <v>0</v>
      </c>
      <c r="N22" s="596"/>
      <c r="O22" s="654">
        <f>SUM(D22:G22)</f>
        <v>0</v>
      </c>
      <c r="P22" s="655">
        <f>SUM(H22)</f>
        <v>0</v>
      </c>
      <c r="Q22" s="656">
        <f>SUM(D22:H22)</f>
        <v>0</v>
      </c>
      <c r="R22" s="599"/>
      <c r="S22" s="654">
        <f>SUM(I22:M22)</f>
        <v>0</v>
      </c>
      <c r="T22" s="657" t="str">
        <f>IF(Q22&lt;&gt;0,(S22-Q22)/Q22,"0")</f>
        <v>0</v>
      </c>
    </row>
    <row r="23" spans="2:20">
      <c r="D23" s="596"/>
      <c r="E23" s="596"/>
      <c r="F23" s="596"/>
      <c r="G23" s="596"/>
      <c r="H23" s="596"/>
      <c r="I23" s="596"/>
      <c r="J23" s="596"/>
      <c r="K23" s="596"/>
      <c r="L23" s="596"/>
      <c r="M23" s="596"/>
      <c r="N23" s="596"/>
      <c r="O23" s="596"/>
      <c r="P23" s="596"/>
      <c r="Q23" s="596"/>
      <c r="R23" s="599"/>
      <c r="S23" s="596"/>
      <c r="T23" s="596"/>
    </row>
    <row r="24" spans="2:20">
      <c r="B24" s="658" t="s">
        <v>265</v>
      </c>
      <c r="C24" s="659"/>
      <c r="D24" s="660"/>
      <c r="E24" s="660"/>
      <c r="F24" s="660"/>
      <c r="G24" s="660"/>
      <c r="H24" s="660"/>
      <c r="I24" s="660"/>
      <c r="J24" s="660"/>
      <c r="K24" s="660"/>
      <c r="L24" s="660"/>
      <c r="M24" s="660"/>
      <c r="N24" s="599"/>
      <c r="O24" s="660"/>
      <c r="P24" s="660"/>
      <c r="Q24" s="660"/>
      <c r="R24" s="599"/>
      <c r="S24" s="660"/>
      <c r="T24" s="660"/>
    </row>
    <row r="25" spans="2:20" ht="13.5" thickBot="1">
      <c r="B25" s="658"/>
      <c r="C25" s="659"/>
      <c r="D25" s="660"/>
      <c r="E25" s="660"/>
      <c r="F25" s="660"/>
      <c r="G25" s="660"/>
      <c r="H25" s="660"/>
      <c r="I25" s="660"/>
      <c r="J25" s="660"/>
      <c r="K25" s="660"/>
      <c r="L25" s="660"/>
      <c r="M25" s="660"/>
      <c r="N25" s="599"/>
      <c r="O25" s="660"/>
      <c r="P25" s="660"/>
      <c r="Q25" s="660"/>
      <c r="R25" s="599"/>
      <c r="S25" s="660"/>
      <c r="T25" s="660"/>
    </row>
    <row r="26" spans="2:20">
      <c r="B26" s="1917" t="s">
        <v>266</v>
      </c>
      <c r="C26" s="1919" t="s">
        <v>31</v>
      </c>
      <c r="D26" s="602" t="s">
        <v>116</v>
      </c>
      <c r="E26" s="603"/>
      <c r="F26" s="603"/>
      <c r="G26" s="603"/>
      <c r="H26" s="604"/>
      <c r="I26" s="603" t="s">
        <v>117</v>
      </c>
      <c r="J26" s="605"/>
      <c r="K26" s="605"/>
      <c r="L26" s="605"/>
      <c r="M26" s="604"/>
      <c r="N26" s="599"/>
      <c r="O26" s="606" t="s">
        <v>116</v>
      </c>
      <c r="P26" s="607"/>
      <c r="Q26" s="608"/>
      <c r="R26" s="599"/>
      <c r="S26" s="606" t="s">
        <v>117</v>
      </c>
      <c r="T26" s="608"/>
    </row>
    <row r="27" spans="2:20">
      <c r="B27" s="1918"/>
      <c r="C27" s="1920"/>
      <c r="D27" s="610" t="s">
        <v>32</v>
      </c>
      <c r="E27" s="611" t="s">
        <v>33</v>
      </c>
      <c r="F27" s="611" t="s">
        <v>29</v>
      </c>
      <c r="G27" s="611" t="s">
        <v>34</v>
      </c>
      <c r="H27" s="612" t="s">
        <v>35</v>
      </c>
      <c r="I27" s="613" t="s">
        <v>118</v>
      </c>
      <c r="J27" s="611" t="s">
        <v>136</v>
      </c>
      <c r="K27" s="611" t="s">
        <v>137</v>
      </c>
      <c r="L27" s="611" t="s">
        <v>138</v>
      </c>
      <c r="M27" s="612" t="s">
        <v>139</v>
      </c>
      <c r="N27" s="599"/>
      <c r="O27" s="614" t="s">
        <v>126</v>
      </c>
      <c r="P27" s="615" t="s">
        <v>127</v>
      </c>
      <c r="Q27" s="616" t="s">
        <v>246</v>
      </c>
      <c r="R27" s="599"/>
      <c r="S27" s="614" t="s">
        <v>127</v>
      </c>
      <c r="T27" s="616" t="s">
        <v>128</v>
      </c>
    </row>
    <row r="28" spans="2:20">
      <c r="B28" s="661" t="s">
        <v>141</v>
      </c>
      <c r="C28" s="662"/>
      <c r="D28" s="663"/>
      <c r="E28" s="664"/>
      <c r="F28" s="664"/>
      <c r="G28" s="664"/>
      <c r="H28" s="665"/>
      <c r="I28" s="664"/>
      <c r="J28" s="664"/>
      <c r="K28" s="664"/>
      <c r="L28" s="664"/>
      <c r="M28" s="665"/>
      <c r="N28" s="599"/>
      <c r="O28" s="666"/>
      <c r="P28" s="667"/>
      <c r="Q28" s="668"/>
      <c r="R28" s="599"/>
      <c r="S28" s="663"/>
      <c r="T28" s="665"/>
    </row>
    <row r="29" spans="2:20">
      <c r="B29" s="669" t="s">
        <v>267</v>
      </c>
      <c r="C29" s="670" t="s">
        <v>14</v>
      </c>
      <c r="D29" s="671"/>
      <c r="E29" s="672"/>
      <c r="F29" s="672"/>
      <c r="G29" s="672"/>
      <c r="H29" s="673"/>
      <c r="I29" s="674">
        <f t="shared" ref="I29:M30" si="12">I225-I248</f>
        <v>0</v>
      </c>
      <c r="J29" s="675">
        <f t="shared" si="12"/>
        <v>0</v>
      </c>
      <c r="K29" s="675">
        <f t="shared" si="12"/>
        <v>0</v>
      </c>
      <c r="L29" s="675">
        <f t="shared" si="12"/>
        <v>0</v>
      </c>
      <c r="M29" s="676">
        <f t="shared" si="12"/>
        <v>0</v>
      </c>
      <c r="N29" s="599"/>
      <c r="O29" s="643"/>
      <c r="P29" s="644"/>
      <c r="Q29" s="645"/>
      <c r="R29" s="599"/>
      <c r="S29" s="643"/>
      <c r="T29" s="646"/>
    </row>
    <row r="30" spans="2:20">
      <c r="B30" s="669" t="s">
        <v>268</v>
      </c>
      <c r="C30" s="670" t="s">
        <v>14</v>
      </c>
      <c r="D30" s="671"/>
      <c r="E30" s="672"/>
      <c r="F30" s="672"/>
      <c r="G30" s="672"/>
      <c r="H30" s="673"/>
      <c r="I30" s="674">
        <f t="shared" si="12"/>
        <v>0</v>
      </c>
      <c r="J30" s="675">
        <f t="shared" si="12"/>
        <v>0</v>
      </c>
      <c r="K30" s="675">
        <f t="shared" si="12"/>
        <v>0</v>
      </c>
      <c r="L30" s="675">
        <f t="shared" si="12"/>
        <v>0</v>
      </c>
      <c r="M30" s="676">
        <f t="shared" si="12"/>
        <v>0</v>
      </c>
      <c r="N30" s="599"/>
      <c r="O30" s="643"/>
      <c r="P30" s="644"/>
      <c r="Q30" s="645"/>
      <c r="R30" s="599"/>
      <c r="S30" s="643"/>
      <c r="T30" s="646"/>
    </row>
    <row r="31" spans="2:20">
      <c r="B31" s="677" t="s">
        <v>865</v>
      </c>
      <c r="C31" s="670" t="s">
        <v>14</v>
      </c>
      <c r="D31" s="622">
        <f>D227-D250</f>
        <v>0</v>
      </c>
      <c r="E31" s="678">
        <f>E227-E250</f>
        <v>0</v>
      </c>
      <c r="F31" s="678">
        <f>F227-F250</f>
        <v>0</v>
      </c>
      <c r="G31" s="678">
        <f>G227-G250</f>
        <v>0</v>
      </c>
      <c r="H31" s="624">
        <f>H227-H250</f>
        <v>0</v>
      </c>
      <c r="I31" s="678">
        <f>SUM(I29:I30)</f>
        <v>0</v>
      </c>
      <c r="J31" s="623">
        <f>SUM(J29:J30)</f>
        <v>0</v>
      </c>
      <c r="K31" s="623">
        <f>SUM(K29:K30)</f>
        <v>0</v>
      </c>
      <c r="L31" s="623">
        <f>SUM(L29:L30)</f>
        <v>0</v>
      </c>
      <c r="M31" s="624">
        <f>SUM(M29:M30)</f>
        <v>0</v>
      </c>
      <c r="N31" s="599"/>
      <c r="O31" s="622">
        <f>SUM(D31:G31)</f>
        <v>0</v>
      </c>
      <c r="P31" s="623">
        <f>SUM(H31)</f>
        <v>0</v>
      </c>
      <c r="Q31" s="624">
        <f>SUM(D31:H31)</f>
        <v>0</v>
      </c>
      <c r="R31" s="599"/>
      <c r="S31" s="622">
        <f>SUM(I31:M31)</f>
        <v>0</v>
      </c>
      <c r="T31" s="625" t="str">
        <f>IF(Q31&lt;&gt;0,(S31-Q31)/Q31,"0")</f>
        <v>0</v>
      </c>
    </row>
    <row r="32" spans="2:20">
      <c r="B32" s="661" t="s">
        <v>877</v>
      </c>
      <c r="C32" s="679"/>
      <c r="D32" s="680"/>
      <c r="E32" s="681"/>
      <c r="F32" s="681"/>
      <c r="G32" s="681"/>
      <c r="H32" s="682"/>
      <c r="I32" s="681"/>
      <c r="J32" s="681"/>
      <c r="K32" s="681"/>
      <c r="L32" s="681"/>
      <c r="M32" s="682"/>
      <c r="N32" s="599"/>
      <c r="O32" s="683"/>
      <c r="P32" s="681"/>
      <c r="Q32" s="682"/>
      <c r="R32" s="599"/>
      <c r="S32" s="680"/>
      <c r="T32" s="682"/>
    </row>
    <row r="33" spans="2:20">
      <c r="B33" s="669" t="s">
        <v>269</v>
      </c>
      <c r="C33" s="670" t="s">
        <v>14</v>
      </c>
      <c r="D33" s="671"/>
      <c r="E33" s="672"/>
      <c r="F33" s="672"/>
      <c r="G33" s="672"/>
      <c r="H33" s="673"/>
      <c r="I33" s="674">
        <f t="shared" ref="I33:M34" si="13">I229-I252</f>
        <v>0</v>
      </c>
      <c r="J33" s="675">
        <f t="shared" si="13"/>
        <v>0</v>
      </c>
      <c r="K33" s="675">
        <f t="shared" si="13"/>
        <v>0</v>
      </c>
      <c r="L33" s="675">
        <f t="shared" si="13"/>
        <v>0</v>
      </c>
      <c r="M33" s="676">
        <f t="shared" si="13"/>
        <v>0</v>
      </c>
      <c r="N33" s="599"/>
      <c r="O33" s="643"/>
      <c r="P33" s="644"/>
      <c r="Q33" s="645"/>
      <c r="R33" s="599"/>
      <c r="S33" s="643"/>
      <c r="T33" s="646"/>
    </row>
    <row r="34" spans="2:20">
      <c r="B34" s="669" t="s">
        <v>270</v>
      </c>
      <c r="C34" s="670" t="s">
        <v>14</v>
      </c>
      <c r="D34" s="671"/>
      <c r="E34" s="672"/>
      <c r="F34" s="672"/>
      <c r="G34" s="672"/>
      <c r="H34" s="673"/>
      <c r="I34" s="674">
        <f t="shared" si="13"/>
        <v>0</v>
      </c>
      <c r="J34" s="675">
        <f t="shared" si="13"/>
        <v>0</v>
      </c>
      <c r="K34" s="675">
        <f t="shared" si="13"/>
        <v>0</v>
      </c>
      <c r="L34" s="675">
        <f t="shared" si="13"/>
        <v>0</v>
      </c>
      <c r="M34" s="676">
        <f t="shared" si="13"/>
        <v>0</v>
      </c>
      <c r="N34" s="599"/>
      <c r="O34" s="643"/>
      <c r="P34" s="644"/>
      <c r="Q34" s="645"/>
      <c r="R34" s="599"/>
      <c r="S34" s="643"/>
      <c r="T34" s="646"/>
    </row>
    <row r="35" spans="2:20">
      <c r="B35" s="677" t="s">
        <v>866</v>
      </c>
      <c r="C35" s="670" t="s">
        <v>14</v>
      </c>
      <c r="D35" s="622">
        <f>D231-D254</f>
        <v>0</v>
      </c>
      <c r="E35" s="678">
        <f>E231-E254</f>
        <v>0</v>
      </c>
      <c r="F35" s="678">
        <f>F231-F254</f>
        <v>0</v>
      </c>
      <c r="G35" s="678">
        <f>G231-G254</f>
        <v>0</v>
      </c>
      <c r="H35" s="624">
        <f>H231-H254</f>
        <v>0</v>
      </c>
      <c r="I35" s="678">
        <f>SUM(I33:I34)</f>
        <v>0</v>
      </c>
      <c r="J35" s="623">
        <f>SUM(J33:J34)</f>
        <v>0</v>
      </c>
      <c r="K35" s="623">
        <f>SUM(K33:K34)</f>
        <v>0</v>
      </c>
      <c r="L35" s="623">
        <f>SUM(L33:L34)</f>
        <v>0</v>
      </c>
      <c r="M35" s="624">
        <f>SUM(M33:M34)</f>
        <v>0</v>
      </c>
      <c r="N35" s="599"/>
      <c r="O35" s="622">
        <f>SUM(D35:G35)</f>
        <v>0</v>
      </c>
      <c r="P35" s="623">
        <f>SUM(H35)</f>
        <v>0</v>
      </c>
      <c r="Q35" s="624">
        <f>SUM(D35:H35)</f>
        <v>0</v>
      </c>
      <c r="R35" s="599"/>
      <c r="S35" s="622">
        <f>SUM(I35:M35)</f>
        <v>0</v>
      </c>
      <c r="T35" s="625" t="str">
        <f>IF(Q35&lt;&gt;0,(S35-Q35)/Q35,"0")</f>
        <v>0</v>
      </c>
    </row>
    <row r="36" spans="2:20">
      <c r="B36" s="661" t="s">
        <v>714</v>
      </c>
      <c r="C36" s="679"/>
      <c r="D36" s="680"/>
      <c r="E36" s="681"/>
      <c r="F36" s="681"/>
      <c r="G36" s="681"/>
      <c r="H36" s="682"/>
      <c r="I36" s="681"/>
      <c r="J36" s="681"/>
      <c r="K36" s="681"/>
      <c r="L36" s="681"/>
      <c r="M36" s="682"/>
      <c r="N36" s="599"/>
      <c r="O36" s="680"/>
      <c r="P36" s="681"/>
      <c r="Q36" s="682"/>
      <c r="R36" s="599"/>
      <c r="S36" s="680"/>
      <c r="T36" s="682"/>
    </row>
    <row r="37" spans="2:20">
      <c r="B37" s="669" t="s">
        <v>271</v>
      </c>
      <c r="C37" s="670" t="s">
        <v>14</v>
      </c>
      <c r="D37" s="671"/>
      <c r="E37" s="672"/>
      <c r="F37" s="672"/>
      <c r="G37" s="672"/>
      <c r="H37" s="673"/>
      <c r="I37" s="674">
        <f t="shared" ref="I37:M38" si="14">I233-I256</f>
        <v>0</v>
      </c>
      <c r="J37" s="675">
        <f t="shared" si="14"/>
        <v>0</v>
      </c>
      <c r="K37" s="675">
        <f t="shared" si="14"/>
        <v>0</v>
      </c>
      <c r="L37" s="675">
        <f t="shared" si="14"/>
        <v>0</v>
      </c>
      <c r="M37" s="676">
        <f t="shared" si="14"/>
        <v>0</v>
      </c>
      <c r="N37" s="599"/>
      <c r="O37" s="643"/>
      <c r="P37" s="644"/>
      <c r="Q37" s="645"/>
      <c r="R37" s="599"/>
      <c r="S37" s="643"/>
      <c r="T37" s="646"/>
    </row>
    <row r="38" spans="2:20">
      <c r="B38" s="669" t="s">
        <v>272</v>
      </c>
      <c r="C38" s="670" t="s">
        <v>14</v>
      </c>
      <c r="D38" s="671"/>
      <c r="E38" s="672"/>
      <c r="F38" s="672"/>
      <c r="G38" s="672"/>
      <c r="H38" s="673"/>
      <c r="I38" s="674">
        <f t="shared" si="14"/>
        <v>0</v>
      </c>
      <c r="J38" s="675">
        <f t="shared" si="14"/>
        <v>0</v>
      </c>
      <c r="K38" s="675">
        <f t="shared" si="14"/>
        <v>0</v>
      </c>
      <c r="L38" s="675">
        <f t="shared" si="14"/>
        <v>0</v>
      </c>
      <c r="M38" s="676">
        <f t="shared" si="14"/>
        <v>0</v>
      </c>
      <c r="N38" s="599"/>
      <c r="O38" s="643"/>
      <c r="P38" s="644"/>
      <c r="Q38" s="645"/>
      <c r="R38" s="599"/>
      <c r="S38" s="643"/>
      <c r="T38" s="646"/>
    </row>
    <row r="39" spans="2:20">
      <c r="B39" s="677" t="s">
        <v>867</v>
      </c>
      <c r="C39" s="670" t="s">
        <v>14</v>
      </c>
      <c r="D39" s="622">
        <f>D235-D258</f>
        <v>0</v>
      </c>
      <c r="E39" s="678">
        <f>E235-E258</f>
        <v>0</v>
      </c>
      <c r="F39" s="678">
        <f>F235-F258</f>
        <v>0</v>
      </c>
      <c r="G39" s="678">
        <f>G235-G258</f>
        <v>0</v>
      </c>
      <c r="H39" s="624">
        <f>H235-H258</f>
        <v>0</v>
      </c>
      <c r="I39" s="678">
        <f>SUM(I37:I38)</f>
        <v>0</v>
      </c>
      <c r="J39" s="623">
        <f>SUM(J37:J38)</f>
        <v>0</v>
      </c>
      <c r="K39" s="623">
        <f>SUM(K37:K38)</f>
        <v>0</v>
      </c>
      <c r="L39" s="623">
        <f>SUM(L37:L38)</f>
        <v>0</v>
      </c>
      <c r="M39" s="624">
        <f>SUM(M37:M38)</f>
        <v>0</v>
      </c>
      <c r="N39" s="599"/>
      <c r="O39" s="622">
        <f>SUM(D39:G39)</f>
        <v>0</v>
      </c>
      <c r="P39" s="623">
        <f>SUM(H39)</f>
        <v>0</v>
      </c>
      <c r="Q39" s="624">
        <f>SUM(D39:H39)</f>
        <v>0</v>
      </c>
      <c r="R39" s="599"/>
      <c r="S39" s="622">
        <f>SUM(I39:M39)</f>
        <v>0</v>
      </c>
      <c r="T39" s="625" t="str">
        <f>IF(Q39&lt;&gt;0,(S39-Q39)/Q39,"0")</f>
        <v>0</v>
      </c>
    </row>
    <row r="40" spans="2:20">
      <c r="B40" s="661" t="s">
        <v>605</v>
      </c>
      <c r="C40" s="679"/>
      <c r="D40" s="680"/>
      <c r="E40" s="681"/>
      <c r="F40" s="681"/>
      <c r="G40" s="681"/>
      <c r="H40" s="682"/>
      <c r="I40" s="681"/>
      <c r="J40" s="681"/>
      <c r="K40" s="681"/>
      <c r="L40" s="681"/>
      <c r="M40" s="682"/>
      <c r="N40" s="599"/>
      <c r="O40" s="680"/>
      <c r="P40" s="681"/>
      <c r="Q40" s="682"/>
      <c r="R40" s="599"/>
      <c r="S40" s="680"/>
      <c r="T40" s="682"/>
    </row>
    <row r="41" spans="2:20">
      <c r="B41" s="669" t="s">
        <v>273</v>
      </c>
      <c r="C41" s="670" t="s">
        <v>14</v>
      </c>
      <c r="D41" s="671"/>
      <c r="E41" s="672"/>
      <c r="F41" s="672"/>
      <c r="G41" s="672"/>
      <c r="H41" s="673"/>
      <c r="I41" s="674">
        <f t="shared" ref="I41:M42" si="15">I237-I260</f>
        <v>0</v>
      </c>
      <c r="J41" s="675">
        <f t="shared" si="15"/>
        <v>0</v>
      </c>
      <c r="K41" s="675">
        <f t="shared" si="15"/>
        <v>0</v>
      </c>
      <c r="L41" s="675">
        <f t="shared" si="15"/>
        <v>0</v>
      </c>
      <c r="M41" s="676">
        <f t="shared" si="15"/>
        <v>0</v>
      </c>
      <c r="N41" s="599"/>
      <c r="O41" s="643"/>
      <c r="P41" s="644"/>
      <c r="Q41" s="645"/>
      <c r="R41" s="599"/>
      <c r="S41" s="643"/>
      <c r="T41" s="646"/>
    </row>
    <row r="42" spans="2:20">
      <c r="B42" s="669" t="s">
        <v>274</v>
      </c>
      <c r="C42" s="670" t="s">
        <v>14</v>
      </c>
      <c r="D42" s="671"/>
      <c r="E42" s="672"/>
      <c r="F42" s="672"/>
      <c r="G42" s="672"/>
      <c r="H42" s="673"/>
      <c r="I42" s="674">
        <f t="shared" si="15"/>
        <v>0</v>
      </c>
      <c r="J42" s="675">
        <f t="shared" si="15"/>
        <v>0</v>
      </c>
      <c r="K42" s="675">
        <f t="shared" si="15"/>
        <v>0</v>
      </c>
      <c r="L42" s="675">
        <f t="shared" si="15"/>
        <v>0</v>
      </c>
      <c r="M42" s="676">
        <f t="shared" si="15"/>
        <v>0</v>
      </c>
      <c r="N42" s="599"/>
      <c r="O42" s="643"/>
      <c r="P42" s="644"/>
      <c r="Q42" s="645"/>
      <c r="R42" s="599"/>
      <c r="S42" s="643"/>
      <c r="T42" s="646"/>
    </row>
    <row r="43" spans="2:20" ht="13.5" thickBot="1">
      <c r="B43" s="684" t="s">
        <v>700</v>
      </c>
      <c r="C43" s="685" t="s">
        <v>14</v>
      </c>
      <c r="D43" s="654">
        <f>D239-D262</f>
        <v>0</v>
      </c>
      <c r="E43" s="686">
        <f>E239-E262</f>
        <v>0</v>
      </c>
      <c r="F43" s="686">
        <f>F239-F262</f>
        <v>0</v>
      </c>
      <c r="G43" s="686">
        <f>G239-G262</f>
        <v>0</v>
      </c>
      <c r="H43" s="656">
        <f>H239-H262</f>
        <v>0</v>
      </c>
      <c r="I43" s="686">
        <f>SUM(I41:I42)</f>
        <v>0</v>
      </c>
      <c r="J43" s="655">
        <f>SUM(J41:J42)</f>
        <v>0</v>
      </c>
      <c r="K43" s="655">
        <f>SUM(K41:K42)</f>
        <v>0</v>
      </c>
      <c r="L43" s="655">
        <f>SUM(L41:L42)</f>
        <v>0</v>
      </c>
      <c r="M43" s="656">
        <f>SUM(M41:M42)</f>
        <v>0</v>
      </c>
      <c r="N43" s="599"/>
      <c r="O43" s="622">
        <f>SUM(D43:G43)</f>
        <v>0</v>
      </c>
      <c r="P43" s="623">
        <f>SUM(H43)</f>
        <v>0</v>
      </c>
      <c r="Q43" s="624">
        <f>SUM(D43:H43)</f>
        <v>0</v>
      </c>
      <c r="R43" s="599"/>
      <c r="S43" s="622">
        <f>SUM(I43:M43)</f>
        <v>0</v>
      </c>
      <c r="T43" s="625" t="str">
        <f>IF(Q43&lt;&gt;0,(S43-Q43)/Q43,"0")</f>
        <v>0</v>
      </c>
    </row>
    <row r="44" spans="2:20">
      <c r="D44" s="596"/>
      <c r="E44" s="596"/>
      <c r="F44" s="596"/>
      <c r="G44" s="596"/>
      <c r="H44" s="596"/>
      <c r="I44" s="596"/>
      <c r="J44" s="596"/>
      <c r="K44" s="596"/>
      <c r="L44" s="596"/>
      <c r="M44" s="596"/>
      <c r="N44" s="596"/>
      <c r="O44" s="596"/>
      <c r="P44" s="596"/>
      <c r="Q44" s="596"/>
      <c r="R44" s="599"/>
      <c r="S44" s="596"/>
      <c r="T44" s="596"/>
    </row>
    <row r="45" spans="2:20">
      <c r="N45" s="599"/>
      <c r="O45" s="599"/>
      <c r="P45" s="599"/>
      <c r="Q45" s="599"/>
      <c r="R45" s="599"/>
      <c r="S45" s="599"/>
      <c r="T45" s="599"/>
    </row>
    <row r="46" spans="2:20">
      <c r="B46" s="600" t="s">
        <v>275</v>
      </c>
      <c r="N46" s="599"/>
      <c r="O46" s="599"/>
      <c r="P46" s="599"/>
      <c r="Q46" s="599"/>
      <c r="R46" s="599"/>
      <c r="S46" s="599"/>
      <c r="T46" s="599"/>
    </row>
    <row r="47" spans="2:20" ht="13.5" thickBot="1">
      <c r="B47" s="600"/>
      <c r="N47" s="599"/>
      <c r="O47" s="599"/>
      <c r="P47" s="599"/>
      <c r="Q47" s="599"/>
      <c r="R47" s="599"/>
      <c r="S47" s="599"/>
      <c r="T47" s="599"/>
    </row>
    <row r="48" spans="2:20">
      <c r="B48" s="1921"/>
      <c r="C48" s="1919" t="s">
        <v>31</v>
      </c>
      <c r="D48" s="602" t="s">
        <v>116</v>
      </c>
      <c r="E48" s="603"/>
      <c r="F48" s="603"/>
      <c r="G48" s="603"/>
      <c r="H48" s="604"/>
      <c r="I48" s="602" t="s">
        <v>117</v>
      </c>
      <c r="J48" s="605"/>
      <c r="K48" s="605"/>
      <c r="L48" s="605"/>
      <c r="M48" s="604"/>
      <c r="N48" s="599"/>
      <c r="O48" s="599"/>
      <c r="P48" s="599"/>
      <c r="Q48" s="599"/>
      <c r="R48" s="599"/>
      <c r="S48" s="599"/>
      <c r="T48" s="599"/>
    </row>
    <row r="49" spans="2:20">
      <c r="B49" s="1922"/>
      <c r="C49" s="1920"/>
      <c r="D49" s="610" t="s">
        <v>32</v>
      </c>
      <c r="E49" s="611" t="s">
        <v>33</v>
      </c>
      <c r="F49" s="611" t="s">
        <v>29</v>
      </c>
      <c r="G49" s="611" t="s">
        <v>34</v>
      </c>
      <c r="H49" s="612" t="s">
        <v>35</v>
      </c>
      <c r="I49" s="610" t="s">
        <v>118</v>
      </c>
      <c r="J49" s="611" t="s">
        <v>136</v>
      </c>
      <c r="K49" s="611" t="s">
        <v>137</v>
      </c>
      <c r="L49" s="611" t="s">
        <v>138</v>
      </c>
      <c r="M49" s="612" t="s">
        <v>139</v>
      </c>
      <c r="N49" s="599"/>
      <c r="O49" s="599"/>
      <c r="P49" s="599"/>
      <c r="Q49" s="599"/>
      <c r="R49" s="599"/>
      <c r="S49" s="599"/>
      <c r="T49" s="599"/>
    </row>
    <row r="50" spans="2:20">
      <c r="B50" s="687" t="s">
        <v>276</v>
      </c>
      <c r="C50" s="688"/>
      <c r="D50" s="689"/>
      <c r="E50" s="690"/>
      <c r="F50" s="690"/>
      <c r="G50" s="690"/>
      <c r="H50" s="691"/>
      <c r="I50" s="692"/>
      <c r="J50" s="693"/>
      <c r="K50" s="693"/>
      <c r="L50" s="693"/>
      <c r="M50" s="694"/>
      <c r="N50" s="695"/>
      <c r="O50" s="599"/>
      <c r="P50" s="599"/>
      <c r="Q50" s="599"/>
      <c r="R50" s="599"/>
      <c r="S50" s="599"/>
      <c r="T50" s="599"/>
    </row>
    <row r="51" spans="2:20">
      <c r="B51" s="696" t="s">
        <v>277</v>
      </c>
      <c r="C51" s="670"/>
      <c r="D51" s="697"/>
      <c r="E51" s="698"/>
      <c r="F51" s="698"/>
      <c r="G51" s="698"/>
      <c r="H51" s="699"/>
      <c r="I51" s="700"/>
      <c r="J51" s="701"/>
      <c r="K51" s="701"/>
      <c r="L51" s="701"/>
      <c r="M51" s="702"/>
      <c r="N51" s="695"/>
      <c r="O51" s="599"/>
      <c r="P51" s="599"/>
      <c r="Q51" s="599"/>
      <c r="R51" s="599"/>
      <c r="S51" s="599"/>
      <c r="T51" s="599"/>
    </row>
    <row r="52" spans="2:20">
      <c r="B52" s="703" t="s">
        <v>520</v>
      </c>
      <c r="C52" s="670" t="s">
        <v>521</v>
      </c>
      <c r="D52" s="704">
        <f t="shared" ref="D52:M52" si="16">D83+D114</f>
        <v>0</v>
      </c>
      <c r="E52" s="705">
        <f t="shared" si="16"/>
        <v>0</v>
      </c>
      <c r="F52" s="705">
        <f t="shared" si="16"/>
        <v>0</v>
      </c>
      <c r="G52" s="705">
        <f t="shared" si="16"/>
        <v>0</v>
      </c>
      <c r="H52" s="706">
        <f t="shared" si="16"/>
        <v>0</v>
      </c>
      <c r="I52" s="704">
        <f t="shared" si="16"/>
        <v>0</v>
      </c>
      <c r="J52" s="707">
        <f t="shared" si="16"/>
        <v>0</v>
      </c>
      <c r="K52" s="707">
        <f t="shared" si="16"/>
        <v>0</v>
      </c>
      <c r="L52" s="707">
        <f t="shared" si="16"/>
        <v>0</v>
      </c>
      <c r="M52" s="706">
        <f t="shared" si="16"/>
        <v>0</v>
      </c>
      <c r="N52" s="599"/>
      <c r="O52" s="599"/>
      <c r="P52" s="599"/>
      <c r="Q52" s="599"/>
      <c r="R52" s="599"/>
      <c r="S52" s="599"/>
      <c r="T52" s="599"/>
    </row>
    <row r="53" spans="2:20">
      <c r="B53" s="708" t="s">
        <v>278</v>
      </c>
      <c r="C53" s="670"/>
      <c r="D53" s="704">
        <f t="shared" ref="D53:M53" si="17">D84+D115</f>
        <v>0</v>
      </c>
      <c r="E53" s="705">
        <f t="shared" si="17"/>
        <v>0</v>
      </c>
      <c r="F53" s="705">
        <f t="shared" si="17"/>
        <v>0</v>
      </c>
      <c r="G53" s="705">
        <f t="shared" si="17"/>
        <v>0</v>
      </c>
      <c r="H53" s="706">
        <f t="shared" si="17"/>
        <v>0</v>
      </c>
      <c r="I53" s="704">
        <f t="shared" si="17"/>
        <v>0</v>
      </c>
      <c r="J53" s="707">
        <f t="shared" si="17"/>
        <v>0</v>
      </c>
      <c r="K53" s="707">
        <f t="shared" si="17"/>
        <v>0</v>
      </c>
      <c r="L53" s="707">
        <f t="shared" si="17"/>
        <v>0</v>
      </c>
      <c r="M53" s="706">
        <f t="shared" si="17"/>
        <v>0</v>
      </c>
      <c r="N53" s="599"/>
      <c r="O53" s="599"/>
      <c r="P53" s="599"/>
      <c r="Q53" s="599"/>
      <c r="R53" s="599"/>
      <c r="S53" s="599"/>
      <c r="T53" s="599"/>
    </row>
    <row r="54" spans="2:20">
      <c r="B54" s="669" t="s">
        <v>279</v>
      </c>
      <c r="C54" s="670"/>
      <c r="D54" s="709"/>
      <c r="E54" s="710"/>
      <c r="F54" s="710"/>
      <c r="G54" s="710"/>
      <c r="H54" s="711"/>
      <c r="I54" s="704">
        <f t="shared" ref="I54:M56" si="18">I85+I116</f>
        <v>0</v>
      </c>
      <c r="J54" s="707">
        <f t="shared" si="18"/>
        <v>0</v>
      </c>
      <c r="K54" s="707">
        <f t="shared" si="18"/>
        <v>0</v>
      </c>
      <c r="L54" s="707">
        <f t="shared" si="18"/>
        <v>0</v>
      </c>
      <c r="M54" s="706">
        <f t="shared" si="18"/>
        <v>0</v>
      </c>
      <c r="N54" s="599"/>
      <c r="O54" s="599"/>
      <c r="P54" s="599"/>
      <c r="Q54" s="599"/>
      <c r="R54" s="599"/>
      <c r="S54" s="599"/>
      <c r="T54" s="599"/>
    </row>
    <row r="55" spans="2:20">
      <c r="B55" s="669" t="s">
        <v>280</v>
      </c>
      <c r="C55" s="670" t="s">
        <v>521</v>
      </c>
      <c r="D55" s="709"/>
      <c r="E55" s="710"/>
      <c r="F55" s="710"/>
      <c r="G55" s="710"/>
      <c r="H55" s="711"/>
      <c r="I55" s="704">
        <f t="shared" si="18"/>
        <v>0</v>
      </c>
      <c r="J55" s="707">
        <f t="shared" si="18"/>
        <v>0</v>
      </c>
      <c r="K55" s="707">
        <f t="shared" si="18"/>
        <v>0</v>
      </c>
      <c r="L55" s="707">
        <f t="shared" si="18"/>
        <v>0</v>
      </c>
      <c r="M55" s="706">
        <f t="shared" si="18"/>
        <v>0</v>
      </c>
      <c r="N55" s="599"/>
      <c r="O55" s="599"/>
      <c r="P55" s="599"/>
      <c r="Q55" s="599"/>
      <c r="R55" s="599"/>
      <c r="S55" s="599"/>
      <c r="T55" s="599"/>
    </row>
    <row r="56" spans="2:20">
      <c r="B56" s="669" t="s">
        <v>281</v>
      </c>
      <c r="C56" s="670"/>
      <c r="D56" s="704">
        <f>D87+D118</f>
        <v>0</v>
      </c>
      <c r="E56" s="707">
        <f>E87+E118</f>
        <v>0</v>
      </c>
      <c r="F56" s="707">
        <f>F87+F118</f>
        <v>0</v>
      </c>
      <c r="G56" s="707">
        <f>G87+G118</f>
        <v>0</v>
      </c>
      <c r="H56" s="706">
        <f>H87+H118</f>
        <v>0</v>
      </c>
      <c r="I56" s="704">
        <f t="shared" si="18"/>
        <v>0</v>
      </c>
      <c r="J56" s="707">
        <f t="shared" si="18"/>
        <v>0</v>
      </c>
      <c r="K56" s="707">
        <f t="shared" si="18"/>
        <v>0</v>
      </c>
      <c r="L56" s="707">
        <f t="shared" si="18"/>
        <v>0</v>
      </c>
      <c r="M56" s="706">
        <f t="shared" si="18"/>
        <v>0</v>
      </c>
      <c r="N56" s="599"/>
      <c r="O56" s="599"/>
      <c r="P56" s="599"/>
      <c r="Q56" s="599"/>
      <c r="R56" s="599"/>
      <c r="S56" s="599"/>
      <c r="T56" s="599"/>
    </row>
    <row r="57" spans="2:20">
      <c r="B57" s="712" t="s">
        <v>282</v>
      </c>
      <c r="C57" s="670"/>
      <c r="D57" s="713"/>
      <c r="E57" s="714"/>
      <c r="F57" s="714"/>
      <c r="G57" s="714"/>
      <c r="H57" s="715"/>
      <c r="I57" s="716"/>
      <c r="J57" s="717"/>
      <c r="K57" s="717"/>
      <c r="L57" s="717"/>
      <c r="M57" s="718"/>
      <c r="N57" s="695"/>
      <c r="O57" s="599"/>
      <c r="P57" s="599"/>
      <c r="Q57" s="599"/>
      <c r="R57" s="599"/>
      <c r="S57" s="599"/>
      <c r="T57" s="599"/>
    </row>
    <row r="58" spans="2:20">
      <c r="B58" s="719" t="s">
        <v>520</v>
      </c>
      <c r="C58" s="670" t="s">
        <v>521</v>
      </c>
      <c r="D58" s="704">
        <f t="shared" ref="D58:M58" si="19">D89+D120</f>
        <v>0</v>
      </c>
      <c r="E58" s="705">
        <f t="shared" si="19"/>
        <v>0</v>
      </c>
      <c r="F58" s="705">
        <f t="shared" si="19"/>
        <v>0</v>
      </c>
      <c r="G58" s="705">
        <f t="shared" si="19"/>
        <v>0</v>
      </c>
      <c r="H58" s="706">
        <f t="shared" si="19"/>
        <v>0</v>
      </c>
      <c r="I58" s="704">
        <f t="shared" si="19"/>
        <v>0</v>
      </c>
      <c r="J58" s="707">
        <f t="shared" si="19"/>
        <v>0</v>
      </c>
      <c r="K58" s="707">
        <f t="shared" si="19"/>
        <v>0</v>
      </c>
      <c r="L58" s="707">
        <f t="shared" si="19"/>
        <v>0</v>
      </c>
      <c r="M58" s="706">
        <f t="shared" si="19"/>
        <v>0</v>
      </c>
      <c r="N58" s="599"/>
      <c r="O58" s="599"/>
      <c r="P58" s="599"/>
      <c r="Q58" s="599"/>
      <c r="R58" s="599"/>
      <c r="S58" s="599"/>
      <c r="T58" s="599"/>
    </row>
    <row r="59" spans="2:20">
      <c r="B59" s="720" t="s">
        <v>278</v>
      </c>
      <c r="C59" s="670"/>
      <c r="D59" s="704">
        <f t="shared" ref="D59:M59" si="20">D90+D121</f>
        <v>0</v>
      </c>
      <c r="E59" s="705">
        <f t="shared" si="20"/>
        <v>0</v>
      </c>
      <c r="F59" s="705">
        <f t="shared" si="20"/>
        <v>0</v>
      </c>
      <c r="G59" s="705">
        <f t="shared" si="20"/>
        <v>0</v>
      </c>
      <c r="H59" s="706">
        <f t="shared" si="20"/>
        <v>0</v>
      </c>
      <c r="I59" s="704">
        <f t="shared" si="20"/>
        <v>0</v>
      </c>
      <c r="J59" s="707">
        <f t="shared" si="20"/>
        <v>0</v>
      </c>
      <c r="K59" s="707">
        <f t="shared" si="20"/>
        <v>0</v>
      </c>
      <c r="L59" s="707">
        <f t="shared" si="20"/>
        <v>0</v>
      </c>
      <c r="M59" s="706">
        <f t="shared" si="20"/>
        <v>0</v>
      </c>
      <c r="N59" s="599"/>
      <c r="O59" s="599"/>
      <c r="P59" s="599"/>
      <c r="Q59" s="599"/>
      <c r="R59" s="599"/>
      <c r="S59" s="599"/>
      <c r="T59" s="599"/>
    </row>
    <row r="60" spans="2:20">
      <c r="B60" s="669" t="s">
        <v>269</v>
      </c>
      <c r="C60" s="670"/>
      <c r="D60" s="721"/>
      <c r="E60" s="722"/>
      <c r="F60" s="722"/>
      <c r="G60" s="722"/>
      <c r="H60" s="723"/>
      <c r="I60" s="704">
        <f t="shared" ref="I60:M62" si="21">I91+I122</f>
        <v>0</v>
      </c>
      <c r="J60" s="707">
        <f t="shared" si="21"/>
        <v>0</v>
      </c>
      <c r="K60" s="707">
        <f t="shared" si="21"/>
        <v>0</v>
      </c>
      <c r="L60" s="707">
        <f t="shared" si="21"/>
        <v>0</v>
      </c>
      <c r="M60" s="706">
        <f t="shared" si="21"/>
        <v>0</v>
      </c>
      <c r="N60" s="599"/>
      <c r="O60" s="599"/>
      <c r="P60" s="599"/>
      <c r="Q60" s="599"/>
      <c r="R60" s="599"/>
      <c r="S60" s="599"/>
      <c r="T60" s="599"/>
    </row>
    <row r="61" spans="2:20">
      <c r="B61" s="669" t="s">
        <v>270</v>
      </c>
      <c r="C61" s="670" t="s">
        <v>521</v>
      </c>
      <c r="D61" s="721"/>
      <c r="E61" s="722"/>
      <c r="F61" s="722"/>
      <c r="G61" s="722"/>
      <c r="H61" s="723"/>
      <c r="I61" s="704">
        <f t="shared" si="21"/>
        <v>0</v>
      </c>
      <c r="J61" s="707">
        <f t="shared" si="21"/>
        <v>0</v>
      </c>
      <c r="K61" s="707">
        <f t="shared" si="21"/>
        <v>0</v>
      </c>
      <c r="L61" s="707">
        <f t="shared" si="21"/>
        <v>0</v>
      </c>
      <c r="M61" s="706">
        <f t="shared" si="21"/>
        <v>0</v>
      </c>
      <c r="N61" s="599"/>
      <c r="O61" s="599"/>
      <c r="P61" s="599"/>
      <c r="Q61" s="599"/>
      <c r="R61" s="599"/>
      <c r="S61" s="599"/>
      <c r="T61" s="599"/>
    </row>
    <row r="62" spans="2:20">
      <c r="B62" s="669" t="s">
        <v>283</v>
      </c>
      <c r="C62" s="670"/>
      <c r="D62" s="704">
        <f>D93+D124</f>
        <v>0</v>
      </c>
      <c r="E62" s="707">
        <f>E93+E124</f>
        <v>0</v>
      </c>
      <c r="F62" s="707">
        <f>F93+F124</f>
        <v>0</v>
      </c>
      <c r="G62" s="707">
        <f>G93+G124</f>
        <v>0</v>
      </c>
      <c r="H62" s="706">
        <f>H93+H124</f>
        <v>0</v>
      </c>
      <c r="I62" s="704">
        <f t="shared" si="21"/>
        <v>0</v>
      </c>
      <c r="J62" s="707">
        <f t="shared" si="21"/>
        <v>0</v>
      </c>
      <c r="K62" s="707">
        <f t="shared" si="21"/>
        <v>0</v>
      </c>
      <c r="L62" s="707">
        <f t="shared" si="21"/>
        <v>0</v>
      </c>
      <c r="M62" s="706">
        <f t="shared" si="21"/>
        <v>0</v>
      </c>
      <c r="N62" s="599"/>
      <c r="O62" s="599"/>
      <c r="P62" s="599"/>
      <c r="Q62" s="599"/>
      <c r="R62" s="599"/>
      <c r="S62" s="599"/>
      <c r="T62" s="599"/>
    </row>
    <row r="63" spans="2:20">
      <c r="B63" s="712" t="s">
        <v>284</v>
      </c>
      <c r="C63" s="670"/>
      <c r="D63" s="713"/>
      <c r="E63" s="714"/>
      <c r="F63" s="714"/>
      <c r="G63" s="714"/>
      <c r="H63" s="715"/>
      <c r="I63" s="724"/>
      <c r="J63" s="725"/>
      <c r="K63" s="725"/>
      <c r="L63" s="725"/>
      <c r="M63" s="726"/>
      <c r="N63" s="695"/>
      <c r="O63" s="599"/>
      <c r="P63" s="599"/>
      <c r="Q63" s="599"/>
      <c r="R63" s="599"/>
      <c r="S63" s="599"/>
      <c r="T63" s="599"/>
    </row>
    <row r="64" spans="2:20">
      <c r="B64" s="719" t="s">
        <v>520</v>
      </c>
      <c r="C64" s="670" t="s">
        <v>521</v>
      </c>
      <c r="D64" s="704">
        <f t="shared" ref="D64:M64" si="22">D95+D126</f>
        <v>0</v>
      </c>
      <c r="E64" s="705">
        <f t="shared" si="22"/>
        <v>0</v>
      </c>
      <c r="F64" s="705">
        <f t="shared" si="22"/>
        <v>0</v>
      </c>
      <c r="G64" s="705">
        <f t="shared" si="22"/>
        <v>0</v>
      </c>
      <c r="H64" s="706">
        <f t="shared" si="22"/>
        <v>0</v>
      </c>
      <c r="I64" s="704">
        <f t="shared" si="22"/>
        <v>0</v>
      </c>
      <c r="J64" s="707">
        <f t="shared" si="22"/>
        <v>0</v>
      </c>
      <c r="K64" s="707">
        <f t="shared" si="22"/>
        <v>0</v>
      </c>
      <c r="L64" s="707">
        <f t="shared" si="22"/>
        <v>0</v>
      </c>
      <c r="M64" s="706">
        <f t="shared" si="22"/>
        <v>0</v>
      </c>
      <c r="N64" s="599"/>
      <c r="O64" s="599"/>
      <c r="P64" s="599"/>
      <c r="Q64" s="599"/>
      <c r="R64" s="599"/>
      <c r="S64" s="599"/>
      <c r="T64" s="599"/>
    </row>
    <row r="65" spans="1:20">
      <c r="B65" s="720" t="s">
        <v>278</v>
      </c>
      <c r="C65" s="670"/>
      <c r="D65" s="704">
        <f t="shared" ref="D65:M65" si="23">D96+D127</f>
        <v>0</v>
      </c>
      <c r="E65" s="705">
        <f t="shared" si="23"/>
        <v>0</v>
      </c>
      <c r="F65" s="705">
        <f t="shared" si="23"/>
        <v>0</v>
      </c>
      <c r="G65" s="705">
        <f t="shared" si="23"/>
        <v>0</v>
      </c>
      <c r="H65" s="706">
        <f t="shared" si="23"/>
        <v>0</v>
      </c>
      <c r="I65" s="704">
        <f t="shared" si="23"/>
        <v>0</v>
      </c>
      <c r="J65" s="707">
        <f t="shared" si="23"/>
        <v>0</v>
      </c>
      <c r="K65" s="707">
        <f t="shared" si="23"/>
        <v>0</v>
      </c>
      <c r="L65" s="707">
        <f t="shared" si="23"/>
        <v>0</v>
      </c>
      <c r="M65" s="706">
        <f t="shared" si="23"/>
        <v>0</v>
      </c>
      <c r="N65" s="599"/>
      <c r="O65" s="599"/>
      <c r="P65" s="599"/>
      <c r="Q65" s="599"/>
      <c r="R65" s="599"/>
      <c r="S65" s="599"/>
      <c r="T65" s="599"/>
    </row>
    <row r="66" spans="1:20">
      <c r="B66" s="669" t="s">
        <v>271</v>
      </c>
      <c r="C66" s="670"/>
      <c r="D66" s="721"/>
      <c r="E66" s="722"/>
      <c r="F66" s="722"/>
      <c r="G66" s="722"/>
      <c r="H66" s="723"/>
      <c r="I66" s="704">
        <f t="shared" ref="I66:M68" si="24">I97+I128</f>
        <v>0</v>
      </c>
      <c r="J66" s="707">
        <f t="shared" si="24"/>
        <v>0</v>
      </c>
      <c r="K66" s="707">
        <f t="shared" si="24"/>
        <v>0</v>
      </c>
      <c r="L66" s="707">
        <f t="shared" si="24"/>
        <v>0</v>
      </c>
      <c r="M66" s="706">
        <f t="shared" si="24"/>
        <v>0</v>
      </c>
      <c r="N66" s="599"/>
      <c r="O66" s="599"/>
      <c r="P66" s="599"/>
      <c r="Q66" s="599"/>
      <c r="R66" s="599"/>
      <c r="S66" s="599"/>
      <c r="T66" s="599"/>
    </row>
    <row r="67" spans="1:20">
      <c r="B67" s="669" t="s">
        <v>272</v>
      </c>
      <c r="C67" s="670" t="s">
        <v>521</v>
      </c>
      <c r="D67" s="721"/>
      <c r="E67" s="722"/>
      <c r="F67" s="722"/>
      <c r="G67" s="722"/>
      <c r="H67" s="723"/>
      <c r="I67" s="704">
        <f t="shared" si="24"/>
        <v>0</v>
      </c>
      <c r="J67" s="707">
        <f t="shared" si="24"/>
        <v>0</v>
      </c>
      <c r="K67" s="707">
        <f t="shared" si="24"/>
        <v>0</v>
      </c>
      <c r="L67" s="707">
        <f t="shared" si="24"/>
        <v>0</v>
      </c>
      <c r="M67" s="706">
        <f t="shared" si="24"/>
        <v>0</v>
      </c>
      <c r="N67" s="599"/>
      <c r="O67" s="599"/>
      <c r="P67" s="599"/>
      <c r="Q67" s="599"/>
      <c r="R67" s="599"/>
      <c r="S67" s="599"/>
      <c r="T67" s="599"/>
    </row>
    <row r="68" spans="1:20">
      <c r="B68" s="669" t="s">
        <v>285</v>
      </c>
      <c r="C68" s="670"/>
      <c r="D68" s="704">
        <f>D99+D130</f>
        <v>0</v>
      </c>
      <c r="E68" s="707">
        <f>E99+E130</f>
        <v>0</v>
      </c>
      <c r="F68" s="707">
        <f>F99+F130</f>
        <v>0</v>
      </c>
      <c r="G68" s="707">
        <f>G99+G130</f>
        <v>0</v>
      </c>
      <c r="H68" s="706">
        <f>H99+H130</f>
        <v>0</v>
      </c>
      <c r="I68" s="704">
        <f t="shared" si="24"/>
        <v>0</v>
      </c>
      <c r="J68" s="707">
        <f t="shared" si="24"/>
        <v>0</v>
      </c>
      <c r="K68" s="707">
        <f t="shared" si="24"/>
        <v>0</v>
      </c>
      <c r="L68" s="707">
        <f t="shared" si="24"/>
        <v>0</v>
      </c>
      <c r="M68" s="706">
        <f t="shared" si="24"/>
        <v>0</v>
      </c>
      <c r="N68" s="599"/>
      <c r="O68" s="599"/>
      <c r="P68" s="599"/>
      <c r="Q68" s="599"/>
      <c r="R68" s="599"/>
      <c r="S68" s="599"/>
      <c r="T68" s="599"/>
    </row>
    <row r="69" spans="1:20">
      <c r="B69" s="712" t="s">
        <v>286</v>
      </c>
      <c r="C69" s="670"/>
      <c r="D69" s="713"/>
      <c r="E69" s="714"/>
      <c r="F69" s="714"/>
      <c r="G69" s="714"/>
      <c r="H69" s="715"/>
      <c r="I69" s="724"/>
      <c r="J69" s="725"/>
      <c r="K69" s="725"/>
      <c r="L69" s="725"/>
      <c r="M69" s="726"/>
      <c r="N69" s="695"/>
      <c r="O69" s="599"/>
      <c r="P69" s="599"/>
      <c r="Q69" s="599"/>
      <c r="R69" s="599"/>
      <c r="S69" s="599"/>
      <c r="T69" s="599"/>
    </row>
    <row r="70" spans="1:20">
      <c r="B70" s="719" t="s">
        <v>520</v>
      </c>
      <c r="C70" s="670" t="s">
        <v>521</v>
      </c>
      <c r="D70" s="727">
        <f t="shared" ref="D70:M70" si="25">D101+D132</f>
        <v>0</v>
      </c>
      <c r="E70" s="728">
        <f t="shared" si="25"/>
        <v>0</v>
      </c>
      <c r="F70" s="728">
        <f t="shared" si="25"/>
        <v>0</v>
      </c>
      <c r="G70" s="728">
        <f t="shared" si="25"/>
        <v>0</v>
      </c>
      <c r="H70" s="729">
        <f t="shared" si="25"/>
        <v>0</v>
      </c>
      <c r="I70" s="727">
        <f t="shared" si="25"/>
        <v>0</v>
      </c>
      <c r="J70" s="730">
        <f t="shared" si="25"/>
        <v>0</v>
      </c>
      <c r="K70" s="730">
        <f t="shared" si="25"/>
        <v>0</v>
      </c>
      <c r="L70" s="730">
        <f t="shared" si="25"/>
        <v>0</v>
      </c>
      <c r="M70" s="729">
        <f t="shared" si="25"/>
        <v>0</v>
      </c>
      <c r="N70" s="599"/>
      <c r="O70" s="599"/>
      <c r="P70" s="599"/>
      <c r="Q70" s="599"/>
      <c r="R70" s="599"/>
      <c r="S70" s="599"/>
      <c r="T70" s="599"/>
    </row>
    <row r="71" spans="1:20">
      <c r="B71" s="720" t="s">
        <v>278</v>
      </c>
      <c r="C71" s="670"/>
      <c r="D71" s="727">
        <f t="shared" ref="D71:M71" si="26">D102+D133</f>
        <v>0</v>
      </c>
      <c r="E71" s="728">
        <f t="shared" si="26"/>
        <v>0</v>
      </c>
      <c r="F71" s="728">
        <f t="shared" si="26"/>
        <v>0</v>
      </c>
      <c r="G71" s="728">
        <f t="shared" si="26"/>
        <v>0</v>
      </c>
      <c r="H71" s="729">
        <f t="shared" si="26"/>
        <v>0</v>
      </c>
      <c r="I71" s="727">
        <f t="shared" si="26"/>
        <v>0</v>
      </c>
      <c r="J71" s="730">
        <f t="shared" si="26"/>
        <v>0</v>
      </c>
      <c r="K71" s="730">
        <f t="shared" si="26"/>
        <v>0</v>
      </c>
      <c r="L71" s="730">
        <f t="shared" si="26"/>
        <v>0</v>
      </c>
      <c r="M71" s="729">
        <f t="shared" si="26"/>
        <v>0</v>
      </c>
      <c r="N71" s="599"/>
      <c r="O71" s="599"/>
      <c r="P71" s="599"/>
      <c r="Q71" s="599"/>
      <c r="R71" s="599"/>
      <c r="S71" s="599"/>
      <c r="T71" s="599"/>
    </row>
    <row r="72" spans="1:20">
      <c r="B72" s="669" t="s">
        <v>273</v>
      </c>
      <c r="C72" s="670"/>
      <c r="D72" s="731"/>
      <c r="E72" s="732"/>
      <c r="F72" s="732"/>
      <c r="G72" s="732"/>
      <c r="H72" s="733"/>
      <c r="I72" s="727">
        <f t="shared" ref="I72:M74" si="27">I103+I134</f>
        <v>0</v>
      </c>
      <c r="J72" s="730">
        <f t="shared" si="27"/>
        <v>0</v>
      </c>
      <c r="K72" s="730">
        <f t="shared" si="27"/>
        <v>0</v>
      </c>
      <c r="L72" s="730">
        <f t="shared" si="27"/>
        <v>0</v>
      </c>
      <c r="M72" s="729">
        <f t="shared" si="27"/>
        <v>0</v>
      </c>
      <c r="N72" s="599"/>
      <c r="O72" s="599"/>
      <c r="P72" s="599"/>
      <c r="Q72" s="599"/>
      <c r="R72" s="599"/>
      <c r="S72" s="599"/>
      <c r="T72" s="599"/>
    </row>
    <row r="73" spans="1:20">
      <c r="B73" s="669" t="s">
        <v>274</v>
      </c>
      <c r="C73" s="670" t="s">
        <v>521</v>
      </c>
      <c r="D73" s="731"/>
      <c r="E73" s="732"/>
      <c r="F73" s="732"/>
      <c r="G73" s="732"/>
      <c r="H73" s="733"/>
      <c r="I73" s="727">
        <f t="shared" si="27"/>
        <v>0</v>
      </c>
      <c r="J73" s="730">
        <f t="shared" si="27"/>
        <v>0</v>
      </c>
      <c r="K73" s="730">
        <f t="shared" si="27"/>
        <v>0</v>
      </c>
      <c r="L73" s="730">
        <f t="shared" si="27"/>
        <v>0</v>
      </c>
      <c r="M73" s="729">
        <f t="shared" si="27"/>
        <v>0</v>
      </c>
      <c r="N73" s="599"/>
      <c r="O73" s="599"/>
      <c r="P73" s="599"/>
      <c r="Q73" s="599"/>
      <c r="R73" s="599"/>
      <c r="S73" s="599"/>
      <c r="T73" s="599"/>
    </row>
    <row r="74" spans="1:20">
      <c r="B74" s="669" t="s">
        <v>287</v>
      </c>
      <c r="C74" s="670"/>
      <c r="D74" s="727">
        <f>D105+D136</f>
        <v>0</v>
      </c>
      <c r="E74" s="728">
        <f>E105+E136</f>
        <v>0</v>
      </c>
      <c r="F74" s="728">
        <f>F105+F136</f>
        <v>0</v>
      </c>
      <c r="G74" s="728">
        <f>G105+G136</f>
        <v>0</v>
      </c>
      <c r="H74" s="729">
        <f>H105+H136</f>
        <v>0</v>
      </c>
      <c r="I74" s="727">
        <f t="shared" si="27"/>
        <v>0</v>
      </c>
      <c r="J74" s="730">
        <f t="shared" si="27"/>
        <v>0</v>
      </c>
      <c r="K74" s="730">
        <f t="shared" si="27"/>
        <v>0</v>
      </c>
      <c r="L74" s="730">
        <f t="shared" si="27"/>
        <v>0</v>
      </c>
      <c r="M74" s="729">
        <f t="shared" si="27"/>
        <v>0</v>
      </c>
      <c r="N74" s="599"/>
      <c r="O74" s="599"/>
      <c r="P74" s="599"/>
      <c r="Q74" s="599"/>
      <c r="R74" s="599"/>
      <c r="S74" s="599"/>
      <c r="T74" s="599"/>
    </row>
    <row r="75" spans="1:20" ht="13.5" thickBot="1">
      <c r="B75" s="734" t="s">
        <v>853</v>
      </c>
      <c r="C75" s="685" t="s">
        <v>521</v>
      </c>
      <c r="D75" s="735">
        <f t="shared" ref="D75:M75" si="28">SUM(D52:D55,D58:D61,D64:D67,D70:D73)</f>
        <v>0</v>
      </c>
      <c r="E75" s="736">
        <f t="shared" si="28"/>
        <v>0</v>
      </c>
      <c r="F75" s="736">
        <f t="shared" si="28"/>
        <v>0</v>
      </c>
      <c r="G75" s="736">
        <f t="shared" si="28"/>
        <v>0</v>
      </c>
      <c r="H75" s="737">
        <f t="shared" si="28"/>
        <v>0</v>
      </c>
      <c r="I75" s="735">
        <f t="shared" si="28"/>
        <v>0</v>
      </c>
      <c r="J75" s="736">
        <f t="shared" si="28"/>
        <v>0</v>
      </c>
      <c r="K75" s="736">
        <f t="shared" si="28"/>
        <v>0</v>
      </c>
      <c r="L75" s="736">
        <f t="shared" si="28"/>
        <v>0</v>
      </c>
      <c r="M75" s="737">
        <f t="shared" si="28"/>
        <v>0</v>
      </c>
      <c r="N75" s="738"/>
      <c r="O75" s="599"/>
      <c r="P75" s="599"/>
      <c r="Q75" s="599"/>
      <c r="R75" s="599"/>
      <c r="S75" s="599"/>
      <c r="T75" s="599"/>
    </row>
    <row r="76" spans="1:20">
      <c r="B76" s="739"/>
      <c r="C76" s="740"/>
      <c r="D76" s="599"/>
      <c r="E76" s="599"/>
      <c r="F76" s="599"/>
      <c r="G76" s="599"/>
      <c r="H76" s="599"/>
      <c r="I76" s="599"/>
      <c r="J76" s="599"/>
      <c r="K76" s="599"/>
      <c r="L76" s="599"/>
      <c r="M76" s="599"/>
      <c r="N76" s="599"/>
      <c r="O76" s="599"/>
      <c r="P76" s="599"/>
      <c r="Q76" s="599"/>
      <c r="R76" s="599"/>
      <c r="S76" s="599"/>
      <c r="T76" s="599"/>
    </row>
    <row r="77" spans="1:20">
      <c r="B77" s="600" t="s">
        <v>288</v>
      </c>
      <c r="N77" s="599"/>
      <c r="O77" s="599"/>
      <c r="P77" s="599"/>
      <c r="Q77" s="599"/>
      <c r="R77" s="599"/>
      <c r="S77" s="599"/>
      <c r="T77" s="599"/>
    </row>
    <row r="78" spans="1:20" ht="13.5" thickBot="1">
      <c r="B78" s="600"/>
      <c r="N78" s="599"/>
      <c r="O78" s="599"/>
      <c r="P78" s="599"/>
      <c r="Q78" s="599"/>
      <c r="R78" s="599"/>
      <c r="S78" s="599"/>
      <c r="T78" s="599"/>
    </row>
    <row r="79" spans="1:20">
      <c r="A79" s="741"/>
      <c r="B79" s="1921"/>
      <c r="C79" s="1919" t="s">
        <v>31</v>
      </c>
      <c r="D79" s="602" t="s">
        <v>116</v>
      </c>
      <c r="E79" s="603"/>
      <c r="F79" s="603"/>
      <c r="G79" s="603"/>
      <c r="H79" s="604"/>
      <c r="I79" s="602" t="s">
        <v>117</v>
      </c>
      <c r="J79" s="605"/>
      <c r="K79" s="605"/>
      <c r="L79" s="604"/>
      <c r="M79" s="604"/>
      <c r="N79" s="599"/>
      <c r="O79" s="599"/>
      <c r="P79" s="599"/>
      <c r="Q79" s="599"/>
      <c r="R79" s="599"/>
      <c r="S79" s="599"/>
      <c r="T79" s="599"/>
    </row>
    <row r="80" spans="1:20">
      <c r="A80" s="741"/>
      <c r="B80" s="1922"/>
      <c r="C80" s="1920"/>
      <c r="D80" s="610" t="s">
        <v>32</v>
      </c>
      <c r="E80" s="611" t="s">
        <v>33</v>
      </c>
      <c r="F80" s="611" t="s">
        <v>29</v>
      </c>
      <c r="G80" s="611" t="s">
        <v>34</v>
      </c>
      <c r="H80" s="612" t="s">
        <v>35</v>
      </c>
      <c r="I80" s="610" t="s">
        <v>118</v>
      </c>
      <c r="J80" s="611" t="s">
        <v>136</v>
      </c>
      <c r="K80" s="611" t="s">
        <v>137</v>
      </c>
      <c r="L80" s="615" t="s">
        <v>138</v>
      </c>
      <c r="M80" s="742" t="s">
        <v>139</v>
      </c>
      <c r="N80" s="599"/>
      <c r="O80" s="599"/>
      <c r="P80" s="599"/>
      <c r="Q80" s="599"/>
      <c r="R80" s="599"/>
      <c r="S80" s="599"/>
      <c r="T80" s="599"/>
    </row>
    <row r="81" spans="1:20">
      <c r="A81" s="741"/>
      <c r="B81" s="687" t="s">
        <v>276</v>
      </c>
      <c r="C81" s="688"/>
      <c r="D81" s="689"/>
      <c r="E81" s="690"/>
      <c r="F81" s="690"/>
      <c r="G81" s="690"/>
      <c r="H81" s="691"/>
      <c r="I81" s="692"/>
      <c r="J81" s="693"/>
      <c r="K81" s="693"/>
      <c r="L81" s="743"/>
      <c r="M81" s="694"/>
      <c r="N81" s="695"/>
      <c r="O81" s="599"/>
      <c r="P81" s="599"/>
      <c r="Q81" s="599"/>
      <c r="R81" s="599"/>
      <c r="S81" s="599"/>
      <c r="T81" s="599"/>
    </row>
    <row r="82" spans="1:20">
      <c r="A82" s="741"/>
      <c r="B82" s="696" t="s">
        <v>277</v>
      </c>
      <c r="C82" s="744"/>
      <c r="D82" s="697"/>
      <c r="E82" s="698"/>
      <c r="F82" s="698"/>
      <c r="G82" s="698"/>
      <c r="H82" s="699"/>
      <c r="I82" s="700"/>
      <c r="J82" s="701"/>
      <c r="K82" s="701"/>
      <c r="L82" s="745"/>
      <c r="M82" s="702"/>
      <c r="N82" s="695"/>
      <c r="O82" s="599"/>
      <c r="P82" s="599"/>
      <c r="Q82" s="599"/>
      <c r="R82" s="599"/>
      <c r="S82" s="599"/>
      <c r="T82" s="599"/>
    </row>
    <row r="83" spans="1:20">
      <c r="A83" s="741"/>
      <c r="B83" s="703" t="s">
        <v>520</v>
      </c>
      <c r="C83" s="670" t="s">
        <v>521</v>
      </c>
      <c r="D83" s="746"/>
      <c r="E83" s="747"/>
      <c r="F83" s="747"/>
      <c r="G83" s="747"/>
      <c r="H83" s="748"/>
      <c r="I83" s="746"/>
      <c r="J83" s="749"/>
      <c r="K83" s="749"/>
      <c r="L83" s="749"/>
      <c r="M83" s="750"/>
      <c r="N83" s="599"/>
      <c r="O83" s="599"/>
      <c r="P83" s="599"/>
      <c r="Q83" s="599"/>
      <c r="R83" s="599"/>
      <c r="S83" s="599"/>
      <c r="T83" s="599"/>
    </row>
    <row r="84" spans="1:20">
      <c r="A84" s="741"/>
      <c r="B84" s="708" t="s">
        <v>278</v>
      </c>
      <c r="C84" s="670"/>
      <c r="D84" s="746"/>
      <c r="E84" s="747"/>
      <c r="F84" s="747"/>
      <c r="G84" s="747"/>
      <c r="H84" s="748"/>
      <c r="I84" s="746"/>
      <c r="J84" s="749"/>
      <c r="K84" s="749"/>
      <c r="L84" s="749"/>
      <c r="M84" s="750"/>
      <c r="N84" s="599"/>
      <c r="O84" s="599"/>
      <c r="P84" s="599"/>
      <c r="Q84" s="599"/>
      <c r="R84" s="599"/>
      <c r="S84" s="599"/>
      <c r="T84" s="599"/>
    </row>
    <row r="85" spans="1:20">
      <c r="A85" s="741"/>
      <c r="B85" s="669" t="s">
        <v>279</v>
      </c>
      <c r="C85" s="670"/>
      <c r="D85" s="721"/>
      <c r="E85" s="722"/>
      <c r="F85" s="722"/>
      <c r="G85" s="722"/>
      <c r="H85" s="723"/>
      <c r="I85" s="746"/>
      <c r="J85" s="749"/>
      <c r="K85" s="749"/>
      <c r="L85" s="749"/>
      <c r="M85" s="750"/>
      <c r="N85" s="599"/>
      <c r="O85" s="599"/>
      <c r="P85" s="599"/>
      <c r="Q85" s="599"/>
      <c r="R85" s="599"/>
      <c r="S85" s="599"/>
      <c r="T85" s="599"/>
    </row>
    <row r="86" spans="1:20">
      <c r="A86" s="741"/>
      <c r="B86" s="669" t="s">
        <v>280</v>
      </c>
      <c r="C86" s="670" t="s">
        <v>521</v>
      </c>
      <c r="D86" s="721"/>
      <c r="E86" s="722"/>
      <c r="F86" s="722"/>
      <c r="G86" s="722"/>
      <c r="H86" s="723"/>
      <c r="I86" s="746"/>
      <c r="J86" s="749"/>
      <c r="K86" s="749"/>
      <c r="L86" s="749"/>
      <c r="M86" s="750"/>
      <c r="N86" s="599"/>
      <c r="O86" s="599"/>
      <c r="P86" s="599"/>
      <c r="Q86" s="599"/>
      <c r="R86" s="599"/>
      <c r="S86" s="599"/>
      <c r="T86" s="599"/>
    </row>
    <row r="87" spans="1:20">
      <c r="A87" s="741"/>
      <c r="B87" s="669" t="s">
        <v>281</v>
      </c>
      <c r="C87" s="670"/>
      <c r="D87" s="746"/>
      <c r="E87" s="749"/>
      <c r="F87" s="749"/>
      <c r="G87" s="749"/>
      <c r="H87" s="748"/>
      <c r="I87" s="751">
        <f>SUM(I85:I86)</f>
        <v>0</v>
      </c>
      <c r="J87" s="752">
        <f>SUM(J85:J86)</f>
        <v>0</v>
      </c>
      <c r="K87" s="752">
        <f>SUM(K85:K86)</f>
        <v>0</v>
      </c>
      <c r="L87" s="752">
        <f>SUM(L85:L86)</f>
        <v>0</v>
      </c>
      <c r="M87" s="753">
        <f>SUM(M85:M86)</f>
        <v>0</v>
      </c>
      <c r="N87" s="599"/>
      <c r="O87" s="599"/>
      <c r="P87" s="599"/>
      <c r="Q87" s="599"/>
      <c r="R87" s="599"/>
      <c r="S87" s="599"/>
      <c r="T87" s="599"/>
    </row>
    <row r="88" spans="1:20">
      <c r="A88" s="741"/>
      <c r="B88" s="712" t="s">
        <v>289</v>
      </c>
      <c r="C88" s="670"/>
      <c r="D88" s="713"/>
      <c r="E88" s="714"/>
      <c r="F88" s="714"/>
      <c r="G88" s="714"/>
      <c r="H88" s="715"/>
      <c r="I88" s="716"/>
      <c r="J88" s="717"/>
      <c r="K88" s="717"/>
      <c r="L88" s="754"/>
      <c r="M88" s="718"/>
      <c r="N88" s="695"/>
      <c r="O88" s="599"/>
      <c r="P88" s="599"/>
      <c r="Q88" s="599"/>
      <c r="R88" s="599"/>
      <c r="S88" s="599"/>
      <c r="T88" s="599"/>
    </row>
    <row r="89" spans="1:20">
      <c r="A89" s="741"/>
      <c r="B89" s="719" t="s">
        <v>520</v>
      </c>
      <c r="C89" s="670" t="s">
        <v>521</v>
      </c>
      <c r="D89" s="746"/>
      <c r="E89" s="747"/>
      <c r="F89" s="747"/>
      <c r="G89" s="747"/>
      <c r="H89" s="748"/>
      <c r="I89" s="746"/>
      <c r="J89" s="749"/>
      <c r="K89" s="749"/>
      <c r="L89" s="749"/>
      <c r="M89" s="750"/>
      <c r="N89" s="599"/>
      <c r="O89" s="599"/>
      <c r="P89" s="599"/>
      <c r="Q89" s="599"/>
      <c r="R89" s="599"/>
      <c r="S89" s="599"/>
      <c r="T89" s="599"/>
    </row>
    <row r="90" spans="1:20">
      <c r="A90" s="741"/>
      <c r="B90" s="720" t="s">
        <v>278</v>
      </c>
      <c r="C90" s="670"/>
      <c r="D90" s="746"/>
      <c r="E90" s="747"/>
      <c r="F90" s="747"/>
      <c r="G90" s="747"/>
      <c r="H90" s="748"/>
      <c r="I90" s="746"/>
      <c r="J90" s="749"/>
      <c r="K90" s="749"/>
      <c r="L90" s="749"/>
      <c r="M90" s="750"/>
      <c r="N90" s="599"/>
      <c r="O90" s="599"/>
      <c r="P90" s="599"/>
      <c r="Q90" s="599"/>
      <c r="R90" s="599"/>
      <c r="S90" s="599"/>
      <c r="T90" s="599"/>
    </row>
    <row r="91" spans="1:20">
      <c r="A91" s="741"/>
      <c r="B91" s="669" t="s">
        <v>269</v>
      </c>
      <c r="C91" s="670"/>
      <c r="D91" s="721"/>
      <c r="E91" s="722"/>
      <c r="F91" s="722"/>
      <c r="G91" s="722"/>
      <c r="H91" s="723"/>
      <c r="I91" s="746"/>
      <c r="J91" s="749"/>
      <c r="K91" s="749"/>
      <c r="L91" s="749"/>
      <c r="M91" s="750"/>
      <c r="N91" s="599"/>
      <c r="O91" s="599"/>
      <c r="P91" s="599"/>
      <c r="Q91" s="599"/>
      <c r="R91" s="599"/>
      <c r="S91" s="599"/>
      <c r="T91" s="599"/>
    </row>
    <row r="92" spans="1:20">
      <c r="A92" s="741"/>
      <c r="B92" s="669" t="s">
        <v>270</v>
      </c>
      <c r="C92" s="670" t="s">
        <v>521</v>
      </c>
      <c r="D92" s="721"/>
      <c r="E92" s="722"/>
      <c r="F92" s="722"/>
      <c r="G92" s="722"/>
      <c r="H92" s="723"/>
      <c r="I92" s="746"/>
      <c r="J92" s="749"/>
      <c r="K92" s="749"/>
      <c r="L92" s="749"/>
      <c r="M92" s="750"/>
      <c r="N92" s="599"/>
      <c r="O92" s="599"/>
      <c r="P92" s="599"/>
      <c r="Q92" s="599"/>
      <c r="R92" s="599"/>
      <c r="S92" s="599"/>
      <c r="T92" s="599"/>
    </row>
    <row r="93" spans="1:20">
      <c r="A93" s="741"/>
      <c r="B93" s="669" t="s">
        <v>283</v>
      </c>
      <c r="C93" s="670"/>
      <c r="D93" s="746"/>
      <c r="E93" s="749"/>
      <c r="F93" s="749"/>
      <c r="G93" s="749"/>
      <c r="H93" s="748"/>
      <c r="I93" s="751">
        <f>SUM(I91:I92)</f>
        <v>0</v>
      </c>
      <c r="J93" s="751">
        <f>SUM(J91:J92)</f>
        <v>0</v>
      </c>
      <c r="K93" s="751">
        <f>SUM(K91:K92)</f>
        <v>0</v>
      </c>
      <c r="L93" s="751">
        <f>SUM(L91:L92)</f>
        <v>0</v>
      </c>
      <c r="M93" s="751">
        <f>SUM(M91:M92)</f>
        <v>0</v>
      </c>
      <c r="N93" s="599"/>
      <c r="O93" s="599"/>
      <c r="P93" s="599"/>
      <c r="Q93" s="599"/>
      <c r="R93" s="599"/>
      <c r="S93" s="599"/>
      <c r="T93" s="599"/>
    </row>
    <row r="94" spans="1:20">
      <c r="A94" s="741"/>
      <c r="B94" s="712" t="s">
        <v>290</v>
      </c>
      <c r="C94" s="670"/>
      <c r="D94" s="713"/>
      <c r="E94" s="714"/>
      <c r="F94" s="714"/>
      <c r="G94" s="714"/>
      <c r="H94" s="715"/>
      <c r="I94" s="716"/>
      <c r="J94" s="717"/>
      <c r="K94" s="717"/>
      <c r="L94" s="754"/>
      <c r="M94" s="718"/>
      <c r="N94" s="695"/>
      <c r="O94" s="599"/>
      <c r="P94" s="599"/>
      <c r="Q94" s="599"/>
      <c r="R94" s="599"/>
      <c r="S94" s="599"/>
      <c r="T94" s="599"/>
    </row>
    <row r="95" spans="1:20">
      <c r="A95" s="741"/>
      <c r="B95" s="719" t="s">
        <v>520</v>
      </c>
      <c r="C95" s="670" t="s">
        <v>521</v>
      </c>
      <c r="D95" s="746"/>
      <c r="E95" s="747"/>
      <c r="F95" s="747"/>
      <c r="G95" s="747"/>
      <c r="H95" s="748"/>
      <c r="I95" s="746"/>
      <c r="J95" s="749"/>
      <c r="K95" s="749"/>
      <c r="L95" s="749"/>
      <c r="M95" s="750"/>
      <c r="N95" s="599"/>
      <c r="O95" s="599"/>
      <c r="P95" s="599"/>
      <c r="Q95" s="599"/>
      <c r="R95" s="599"/>
      <c r="S95" s="599"/>
      <c r="T95" s="599"/>
    </row>
    <row r="96" spans="1:20">
      <c r="A96" s="741"/>
      <c r="B96" s="720" t="s">
        <v>278</v>
      </c>
      <c r="C96" s="670"/>
      <c r="D96" s="746"/>
      <c r="E96" s="747"/>
      <c r="F96" s="747"/>
      <c r="G96" s="747"/>
      <c r="H96" s="748"/>
      <c r="I96" s="746"/>
      <c r="J96" s="749"/>
      <c r="K96" s="749"/>
      <c r="L96" s="749"/>
      <c r="M96" s="750"/>
      <c r="N96" s="599"/>
      <c r="O96" s="599"/>
      <c r="P96" s="599"/>
      <c r="Q96" s="599"/>
      <c r="R96" s="599"/>
      <c r="S96" s="599"/>
      <c r="T96" s="599"/>
    </row>
    <row r="97" spans="1:20">
      <c r="A97" s="741"/>
      <c r="B97" s="669" t="s">
        <v>271</v>
      </c>
      <c r="C97" s="670"/>
      <c r="D97" s="709"/>
      <c r="E97" s="710"/>
      <c r="F97" s="710"/>
      <c r="G97" s="710"/>
      <c r="H97" s="711"/>
      <c r="I97" s="746"/>
      <c r="J97" s="749"/>
      <c r="K97" s="749"/>
      <c r="L97" s="749"/>
      <c r="M97" s="750"/>
      <c r="N97" s="599"/>
      <c r="O97" s="599"/>
      <c r="P97" s="599"/>
      <c r="Q97" s="599"/>
      <c r="R97" s="599"/>
      <c r="S97" s="599"/>
      <c r="T97" s="599"/>
    </row>
    <row r="98" spans="1:20">
      <c r="A98" s="741"/>
      <c r="B98" s="669" t="s">
        <v>272</v>
      </c>
      <c r="C98" s="670" t="s">
        <v>521</v>
      </c>
      <c r="D98" s="709"/>
      <c r="E98" s="710"/>
      <c r="F98" s="710"/>
      <c r="G98" s="710"/>
      <c r="H98" s="711"/>
      <c r="I98" s="746"/>
      <c r="J98" s="749"/>
      <c r="K98" s="749"/>
      <c r="L98" s="749"/>
      <c r="M98" s="750"/>
      <c r="N98" s="599"/>
      <c r="O98" s="599"/>
      <c r="P98" s="599"/>
      <c r="Q98" s="599"/>
      <c r="R98" s="599"/>
      <c r="S98" s="599"/>
      <c r="T98" s="599"/>
    </row>
    <row r="99" spans="1:20">
      <c r="A99" s="741"/>
      <c r="B99" s="669" t="s">
        <v>285</v>
      </c>
      <c r="C99" s="670"/>
      <c r="D99" s="746"/>
      <c r="E99" s="749"/>
      <c r="F99" s="749"/>
      <c r="G99" s="749"/>
      <c r="H99" s="748"/>
      <c r="I99" s="751">
        <f>SUM(I97:I98)</f>
        <v>0</v>
      </c>
      <c r="J99" s="751">
        <f>SUM(J97:J98)</f>
        <v>0</v>
      </c>
      <c r="K99" s="751">
        <f>SUM(K97:K98)</f>
        <v>0</v>
      </c>
      <c r="L99" s="751">
        <f>SUM(L97:L98)</f>
        <v>0</v>
      </c>
      <c r="M99" s="751">
        <f>SUM(M97:M98)</f>
        <v>0</v>
      </c>
      <c r="N99" s="599"/>
      <c r="O99" s="599"/>
      <c r="P99" s="599"/>
      <c r="Q99" s="599"/>
      <c r="R99" s="599"/>
      <c r="S99" s="599"/>
      <c r="T99" s="599"/>
    </row>
    <row r="100" spans="1:20">
      <c r="A100" s="741"/>
      <c r="B100" s="712" t="s">
        <v>291</v>
      </c>
      <c r="C100" s="670"/>
      <c r="D100" s="713"/>
      <c r="E100" s="714"/>
      <c r="F100" s="714"/>
      <c r="G100" s="714"/>
      <c r="H100" s="715"/>
      <c r="I100" s="716"/>
      <c r="J100" s="717"/>
      <c r="K100" s="717"/>
      <c r="L100" s="754"/>
      <c r="M100" s="718"/>
      <c r="N100" s="695"/>
      <c r="O100" s="599"/>
      <c r="P100" s="599"/>
      <c r="Q100" s="599"/>
      <c r="R100" s="599"/>
      <c r="S100" s="599"/>
      <c r="T100" s="599"/>
    </row>
    <row r="101" spans="1:20">
      <c r="A101" s="741"/>
      <c r="B101" s="719" t="s">
        <v>520</v>
      </c>
      <c r="C101" s="670" t="s">
        <v>521</v>
      </c>
      <c r="D101" s="755"/>
      <c r="E101" s="756"/>
      <c r="F101" s="756"/>
      <c r="G101" s="756"/>
      <c r="H101" s="757"/>
      <c r="I101" s="755"/>
      <c r="J101" s="758"/>
      <c r="K101" s="758"/>
      <c r="L101" s="758"/>
      <c r="M101" s="759"/>
      <c r="N101" s="599"/>
      <c r="O101" s="599"/>
      <c r="P101" s="599"/>
      <c r="Q101" s="599"/>
      <c r="R101" s="599"/>
      <c r="S101" s="599"/>
      <c r="T101" s="599"/>
    </row>
    <row r="102" spans="1:20">
      <c r="A102" s="741"/>
      <c r="B102" s="720" t="s">
        <v>278</v>
      </c>
      <c r="C102" s="670"/>
      <c r="D102" s="755"/>
      <c r="E102" s="756"/>
      <c r="F102" s="756"/>
      <c r="G102" s="756"/>
      <c r="H102" s="757"/>
      <c r="I102" s="755"/>
      <c r="J102" s="758"/>
      <c r="K102" s="758"/>
      <c r="L102" s="758"/>
      <c r="M102" s="759"/>
      <c r="N102" s="599"/>
      <c r="O102" s="599"/>
      <c r="P102" s="599"/>
      <c r="Q102" s="599"/>
      <c r="R102" s="599"/>
      <c r="S102" s="599"/>
      <c r="T102" s="599"/>
    </row>
    <row r="103" spans="1:20">
      <c r="A103" s="741"/>
      <c r="B103" s="669" t="s">
        <v>273</v>
      </c>
      <c r="C103" s="670"/>
      <c r="D103" s="760"/>
      <c r="E103" s="761"/>
      <c r="F103" s="761"/>
      <c r="G103" s="761"/>
      <c r="H103" s="762"/>
      <c r="I103" s="755"/>
      <c r="J103" s="758"/>
      <c r="K103" s="758"/>
      <c r="L103" s="758"/>
      <c r="M103" s="759"/>
      <c r="N103" s="599"/>
      <c r="O103" s="599"/>
      <c r="P103" s="599"/>
      <c r="Q103" s="599"/>
      <c r="R103" s="599"/>
      <c r="S103" s="599"/>
      <c r="T103" s="599"/>
    </row>
    <row r="104" spans="1:20">
      <c r="A104" s="741"/>
      <c r="B104" s="669" t="s">
        <v>274</v>
      </c>
      <c r="C104" s="670" t="s">
        <v>521</v>
      </c>
      <c r="D104" s="760"/>
      <c r="E104" s="761"/>
      <c r="F104" s="761"/>
      <c r="G104" s="761"/>
      <c r="H104" s="762"/>
      <c r="I104" s="755"/>
      <c r="J104" s="758"/>
      <c r="K104" s="758"/>
      <c r="L104" s="758"/>
      <c r="M104" s="759"/>
      <c r="N104" s="599"/>
      <c r="O104" s="599"/>
      <c r="P104" s="599"/>
      <c r="Q104" s="599"/>
      <c r="R104" s="599"/>
      <c r="S104" s="599"/>
      <c r="T104" s="599"/>
    </row>
    <row r="105" spans="1:20">
      <c r="A105" s="741"/>
      <c r="B105" s="669" t="s">
        <v>287</v>
      </c>
      <c r="C105" s="670"/>
      <c r="D105" s="755"/>
      <c r="E105" s="756"/>
      <c r="F105" s="756"/>
      <c r="G105" s="756"/>
      <c r="H105" s="757"/>
      <c r="I105" s="763">
        <f>SUM(I103:I104)</f>
        <v>0</v>
      </c>
      <c r="J105" s="763">
        <f>SUM(J103:J104)</f>
        <v>0</v>
      </c>
      <c r="K105" s="763">
        <f>SUM(K103:K104)</f>
        <v>0</v>
      </c>
      <c r="L105" s="763">
        <f>SUM(L103:L104)</f>
        <v>0</v>
      </c>
      <c r="M105" s="763">
        <f>SUM(M103:M104)</f>
        <v>0</v>
      </c>
      <c r="N105" s="599"/>
      <c r="O105" s="599"/>
      <c r="P105" s="599"/>
      <c r="Q105" s="599"/>
      <c r="R105" s="599"/>
      <c r="S105" s="599"/>
      <c r="T105" s="599"/>
    </row>
    <row r="106" spans="1:20" ht="13.5" thickBot="1">
      <c r="A106" s="741"/>
      <c r="B106" s="734" t="s">
        <v>853</v>
      </c>
      <c r="C106" s="685" t="s">
        <v>521</v>
      </c>
      <c r="D106" s="735">
        <f t="shared" ref="D106:M106" si="29">SUM(D83:D84,D87,D89:D90,D93,D95:D96,D99,D101:D102,D105)</f>
        <v>0</v>
      </c>
      <c r="E106" s="736">
        <f t="shared" si="29"/>
        <v>0</v>
      </c>
      <c r="F106" s="736">
        <f t="shared" si="29"/>
        <v>0</v>
      </c>
      <c r="G106" s="736">
        <f t="shared" si="29"/>
        <v>0</v>
      </c>
      <c r="H106" s="737">
        <f t="shared" si="29"/>
        <v>0</v>
      </c>
      <c r="I106" s="735">
        <f t="shared" si="29"/>
        <v>0</v>
      </c>
      <c r="J106" s="736">
        <f t="shared" si="29"/>
        <v>0</v>
      </c>
      <c r="K106" s="736">
        <f t="shared" si="29"/>
        <v>0</v>
      </c>
      <c r="L106" s="736">
        <f t="shared" si="29"/>
        <v>0</v>
      </c>
      <c r="M106" s="764">
        <f t="shared" si="29"/>
        <v>0</v>
      </c>
      <c r="N106" s="738"/>
      <c r="O106" s="599"/>
      <c r="P106" s="599"/>
      <c r="Q106" s="599"/>
      <c r="R106" s="599"/>
      <c r="S106" s="599"/>
      <c r="T106" s="599"/>
    </row>
    <row r="107" spans="1:20">
      <c r="B107" s="765"/>
      <c r="C107" s="659"/>
      <c r="D107" s="660"/>
      <c r="E107" s="660"/>
      <c r="F107" s="660"/>
      <c r="G107" s="660"/>
      <c r="H107" s="660"/>
      <c r="I107" s="660"/>
      <c r="J107" s="660"/>
      <c r="K107" s="660"/>
      <c r="L107" s="660"/>
      <c r="M107" s="660"/>
      <c r="N107" s="599"/>
      <c r="O107" s="660"/>
      <c r="P107" s="660"/>
      <c r="Q107" s="660"/>
      <c r="R107" s="599"/>
      <c r="S107" s="660"/>
      <c r="T107" s="660"/>
    </row>
    <row r="108" spans="1:20">
      <c r="B108" s="600" t="s">
        <v>292</v>
      </c>
      <c r="N108" s="599"/>
      <c r="O108" s="599"/>
      <c r="P108" s="599"/>
      <c r="Q108" s="599"/>
      <c r="R108" s="599"/>
      <c r="S108" s="599"/>
      <c r="T108" s="599"/>
    </row>
    <row r="109" spans="1:20" ht="13.5" thickBot="1">
      <c r="B109" s="600"/>
      <c r="F109" s="701"/>
      <c r="N109" s="599"/>
      <c r="O109" s="599"/>
      <c r="P109" s="599"/>
      <c r="Q109" s="599"/>
      <c r="R109" s="599"/>
      <c r="S109" s="599"/>
      <c r="T109" s="599"/>
    </row>
    <row r="110" spans="1:20">
      <c r="B110" s="1921"/>
      <c r="C110" s="1919" t="s">
        <v>31</v>
      </c>
      <c r="D110" s="602" t="s">
        <v>116</v>
      </c>
      <c r="E110" s="603"/>
      <c r="F110" s="603"/>
      <c r="G110" s="603"/>
      <c r="H110" s="604"/>
      <c r="I110" s="603" t="s">
        <v>117</v>
      </c>
      <c r="J110" s="605"/>
      <c r="K110" s="605"/>
      <c r="L110" s="605"/>
      <c r="M110" s="604"/>
      <c r="N110" s="599"/>
      <c r="O110" s="599"/>
      <c r="P110" s="599"/>
      <c r="Q110" s="599"/>
      <c r="R110" s="599"/>
      <c r="S110" s="599"/>
      <c r="T110" s="599"/>
    </row>
    <row r="111" spans="1:20">
      <c r="B111" s="1922"/>
      <c r="C111" s="1920"/>
      <c r="D111" s="610" t="s">
        <v>32</v>
      </c>
      <c r="E111" s="611" t="s">
        <v>33</v>
      </c>
      <c r="F111" s="611" t="s">
        <v>29</v>
      </c>
      <c r="G111" s="611" t="s">
        <v>34</v>
      </c>
      <c r="H111" s="612" t="s">
        <v>35</v>
      </c>
      <c r="I111" s="613" t="s">
        <v>118</v>
      </c>
      <c r="J111" s="611" t="s">
        <v>136</v>
      </c>
      <c r="K111" s="611" t="s">
        <v>137</v>
      </c>
      <c r="L111" s="611" t="s">
        <v>138</v>
      </c>
      <c r="M111" s="612" t="s">
        <v>139</v>
      </c>
      <c r="N111" s="599"/>
      <c r="O111" s="599"/>
      <c r="P111" s="599"/>
      <c r="Q111" s="599"/>
      <c r="R111" s="599"/>
      <c r="S111" s="599"/>
      <c r="T111" s="599"/>
    </row>
    <row r="112" spans="1:20">
      <c r="B112" s="687" t="s">
        <v>276</v>
      </c>
      <c r="C112" s="688"/>
      <c r="D112" s="689"/>
      <c r="E112" s="690"/>
      <c r="F112" s="690"/>
      <c r="G112" s="690"/>
      <c r="H112" s="691"/>
      <c r="I112" s="693"/>
      <c r="J112" s="693"/>
      <c r="K112" s="693"/>
      <c r="L112" s="693"/>
      <c r="M112" s="694"/>
      <c r="N112" s="695"/>
      <c r="O112" s="599"/>
      <c r="P112" s="599"/>
      <c r="Q112" s="599"/>
      <c r="R112" s="599"/>
      <c r="S112" s="599"/>
      <c r="T112" s="599"/>
    </row>
    <row r="113" spans="2:20">
      <c r="B113" s="696" t="s">
        <v>277</v>
      </c>
      <c r="C113" s="670"/>
      <c r="D113" s="697"/>
      <c r="E113" s="698"/>
      <c r="F113" s="698"/>
      <c r="G113" s="698"/>
      <c r="H113" s="699"/>
      <c r="I113" s="701"/>
      <c r="J113" s="701"/>
      <c r="K113" s="701"/>
      <c r="L113" s="701"/>
      <c r="M113" s="702"/>
      <c r="N113" s="695"/>
      <c r="O113" s="599"/>
      <c r="P113" s="599"/>
      <c r="Q113" s="599"/>
      <c r="R113" s="599"/>
      <c r="S113" s="599"/>
      <c r="T113" s="599"/>
    </row>
    <row r="114" spans="2:20">
      <c r="B114" s="703" t="s">
        <v>520</v>
      </c>
      <c r="C114" s="670" t="s">
        <v>521</v>
      </c>
      <c r="D114" s="746"/>
      <c r="E114" s="747"/>
      <c r="F114" s="747"/>
      <c r="G114" s="747"/>
      <c r="H114" s="748"/>
      <c r="I114" s="746"/>
      <c r="J114" s="749"/>
      <c r="K114" s="749"/>
      <c r="L114" s="749"/>
      <c r="M114" s="750"/>
      <c r="N114" s="599"/>
      <c r="O114" s="599"/>
      <c r="P114" s="599"/>
      <c r="Q114" s="599"/>
      <c r="R114" s="599"/>
      <c r="S114" s="599"/>
      <c r="T114" s="599"/>
    </row>
    <row r="115" spans="2:20">
      <c r="B115" s="708" t="s">
        <v>278</v>
      </c>
      <c r="C115" s="670"/>
      <c r="D115" s="746"/>
      <c r="E115" s="747"/>
      <c r="F115" s="747"/>
      <c r="G115" s="747"/>
      <c r="H115" s="748"/>
      <c r="I115" s="746"/>
      <c r="J115" s="749"/>
      <c r="K115" s="749"/>
      <c r="L115" s="749"/>
      <c r="M115" s="750"/>
      <c r="N115" s="599"/>
      <c r="O115" s="599"/>
      <c r="P115" s="599"/>
      <c r="Q115" s="599"/>
      <c r="R115" s="599"/>
      <c r="S115" s="599"/>
      <c r="T115" s="599"/>
    </row>
    <row r="116" spans="2:20">
      <c r="B116" s="669" t="s">
        <v>279</v>
      </c>
      <c r="C116" s="670"/>
      <c r="D116" s="721"/>
      <c r="E116" s="722"/>
      <c r="F116" s="722"/>
      <c r="G116" s="722"/>
      <c r="H116" s="723"/>
      <c r="I116" s="746"/>
      <c r="J116" s="749"/>
      <c r="K116" s="749"/>
      <c r="L116" s="749"/>
      <c r="M116" s="750"/>
      <c r="N116" s="599"/>
      <c r="O116" s="599"/>
      <c r="P116" s="599"/>
      <c r="Q116" s="599"/>
      <c r="R116" s="599"/>
      <c r="S116" s="599"/>
      <c r="T116" s="599"/>
    </row>
    <row r="117" spans="2:20">
      <c r="B117" s="669" t="s">
        <v>280</v>
      </c>
      <c r="C117" s="670" t="s">
        <v>521</v>
      </c>
      <c r="D117" s="721"/>
      <c r="E117" s="722"/>
      <c r="F117" s="722"/>
      <c r="G117" s="722"/>
      <c r="H117" s="723"/>
      <c r="I117" s="746"/>
      <c r="J117" s="749"/>
      <c r="K117" s="749"/>
      <c r="L117" s="749"/>
      <c r="M117" s="750"/>
      <c r="N117" s="599"/>
      <c r="O117" s="599"/>
      <c r="P117" s="599"/>
      <c r="Q117" s="599"/>
      <c r="R117" s="599"/>
      <c r="S117" s="599"/>
      <c r="T117" s="599"/>
    </row>
    <row r="118" spans="2:20">
      <c r="B118" s="669" t="s">
        <v>281</v>
      </c>
      <c r="C118" s="670"/>
      <c r="D118" s="746"/>
      <c r="E118" s="749"/>
      <c r="F118" s="749"/>
      <c r="G118" s="749"/>
      <c r="H118" s="748"/>
      <c r="I118" s="751">
        <f>SUM(I116:I117)</f>
        <v>0</v>
      </c>
      <c r="J118" s="752">
        <f>SUM(J116:J117)</f>
        <v>0</v>
      </c>
      <c r="K118" s="752">
        <f>SUM(K116:K117)</f>
        <v>0</v>
      </c>
      <c r="L118" s="752">
        <f>SUM(L116:L117)</f>
        <v>0</v>
      </c>
      <c r="M118" s="753">
        <f>SUM(M116:M117)</f>
        <v>0</v>
      </c>
      <c r="N118" s="599"/>
      <c r="O118" s="599"/>
      <c r="P118" s="599"/>
      <c r="Q118" s="599"/>
      <c r="R118" s="599"/>
      <c r="S118" s="599"/>
      <c r="T118" s="599"/>
    </row>
    <row r="119" spans="2:20">
      <c r="B119" s="712" t="s">
        <v>289</v>
      </c>
      <c r="C119" s="670"/>
      <c r="D119" s="713"/>
      <c r="E119" s="714"/>
      <c r="F119" s="714"/>
      <c r="G119" s="714"/>
      <c r="H119" s="715"/>
      <c r="I119" s="716"/>
      <c r="J119" s="717"/>
      <c r="K119" s="717"/>
      <c r="L119" s="754"/>
      <c r="M119" s="718"/>
      <c r="N119" s="695"/>
      <c r="O119" s="599"/>
      <c r="P119" s="599"/>
      <c r="Q119" s="599"/>
      <c r="R119" s="599"/>
      <c r="S119" s="599"/>
      <c r="T119" s="599"/>
    </row>
    <row r="120" spans="2:20">
      <c r="B120" s="719" t="s">
        <v>520</v>
      </c>
      <c r="C120" s="670" t="s">
        <v>521</v>
      </c>
      <c r="D120" s="746"/>
      <c r="E120" s="747"/>
      <c r="F120" s="747"/>
      <c r="G120" s="747"/>
      <c r="H120" s="748"/>
      <c r="I120" s="746"/>
      <c r="J120" s="749"/>
      <c r="K120" s="749"/>
      <c r="L120" s="749"/>
      <c r="M120" s="750"/>
      <c r="N120" s="599"/>
      <c r="O120" s="599"/>
      <c r="P120" s="599"/>
      <c r="Q120" s="599"/>
      <c r="R120" s="599"/>
      <c r="S120" s="599"/>
      <c r="T120" s="599"/>
    </row>
    <row r="121" spans="2:20">
      <c r="B121" s="720" t="s">
        <v>278</v>
      </c>
      <c r="C121" s="670"/>
      <c r="D121" s="746"/>
      <c r="E121" s="747"/>
      <c r="F121" s="747"/>
      <c r="G121" s="747"/>
      <c r="H121" s="748"/>
      <c r="I121" s="746"/>
      <c r="J121" s="749"/>
      <c r="K121" s="749"/>
      <c r="L121" s="749"/>
      <c r="M121" s="750"/>
      <c r="N121" s="599"/>
      <c r="O121" s="599"/>
      <c r="P121" s="599"/>
      <c r="Q121" s="599"/>
      <c r="R121" s="599"/>
      <c r="S121" s="599"/>
      <c r="T121" s="599"/>
    </row>
    <row r="122" spans="2:20">
      <c r="B122" s="669" t="s">
        <v>269</v>
      </c>
      <c r="C122" s="670"/>
      <c r="D122" s="721"/>
      <c r="E122" s="722"/>
      <c r="F122" s="722"/>
      <c r="G122" s="722"/>
      <c r="H122" s="723"/>
      <c r="I122" s="746"/>
      <c r="J122" s="749"/>
      <c r="K122" s="749"/>
      <c r="L122" s="749"/>
      <c r="M122" s="750"/>
      <c r="N122" s="599"/>
      <c r="O122" s="599"/>
      <c r="P122" s="599"/>
      <c r="Q122" s="599"/>
      <c r="R122" s="599"/>
      <c r="S122" s="599"/>
      <c r="T122" s="599"/>
    </row>
    <row r="123" spans="2:20">
      <c r="B123" s="669" t="s">
        <v>270</v>
      </c>
      <c r="C123" s="670" t="s">
        <v>521</v>
      </c>
      <c r="D123" s="721"/>
      <c r="E123" s="722"/>
      <c r="F123" s="722"/>
      <c r="G123" s="722"/>
      <c r="H123" s="723"/>
      <c r="I123" s="746"/>
      <c r="J123" s="749"/>
      <c r="K123" s="749"/>
      <c r="L123" s="749"/>
      <c r="M123" s="750"/>
      <c r="N123" s="599"/>
      <c r="O123" s="599"/>
      <c r="P123" s="599"/>
      <c r="Q123" s="599"/>
      <c r="R123" s="599"/>
      <c r="S123" s="599"/>
      <c r="T123" s="599"/>
    </row>
    <row r="124" spans="2:20">
      <c r="B124" s="669" t="s">
        <v>283</v>
      </c>
      <c r="C124" s="670"/>
      <c r="D124" s="746"/>
      <c r="E124" s="749"/>
      <c r="F124" s="749"/>
      <c r="G124" s="749"/>
      <c r="H124" s="748"/>
      <c r="I124" s="751">
        <f>SUM(I122:I123)</f>
        <v>0</v>
      </c>
      <c r="J124" s="751">
        <f>SUM(J122:J123)</f>
        <v>0</v>
      </c>
      <c r="K124" s="751">
        <f>SUM(K122:K123)</f>
        <v>0</v>
      </c>
      <c r="L124" s="751">
        <f>SUM(L122:L123)</f>
        <v>0</v>
      </c>
      <c r="M124" s="766">
        <f>SUM(M122:M123)</f>
        <v>0</v>
      </c>
      <c r="N124" s="599"/>
      <c r="O124" s="599"/>
      <c r="P124" s="599"/>
      <c r="Q124" s="599"/>
      <c r="R124" s="599"/>
      <c r="S124" s="599"/>
      <c r="T124" s="599"/>
    </row>
    <row r="125" spans="2:20">
      <c r="B125" s="712" t="s">
        <v>290</v>
      </c>
      <c r="C125" s="670"/>
      <c r="D125" s="713"/>
      <c r="E125" s="714"/>
      <c r="F125" s="714"/>
      <c r="G125" s="714"/>
      <c r="H125" s="715"/>
      <c r="I125" s="716"/>
      <c r="J125" s="717"/>
      <c r="K125" s="717"/>
      <c r="L125" s="754"/>
      <c r="M125" s="718"/>
      <c r="N125" s="695"/>
      <c r="O125" s="599"/>
      <c r="P125" s="599"/>
      <c r="Q125" s="599"/>
      <c r="R125" s="599"/>
      <c r="S125" s="599"/>
      <c r="T125" s="599"/>
    </row>
    <row r="126" spans="2:20">
      <c r="B126" s="719" t="s">
        <v>520</v>
      </c>
      <c r="C126" s="670" t="s">
        <v>521</v>
      </c>
      <c r="D126" s="746"/>
      <c r="E126" s="747"/>
      <c r="F126" s="747"/>
      <c r="G126" s="747"/>
      <c r="H126" s="748"/>
      <c r="I126" s="746"/>
      <c r="J126" s="749"/>
      <c r="K126" s="749"/>
      <c r="L126" s="749"/>
      <c r="M126" s="750"/>
      <c r="N126" s="599"/>
      <c r="O126" s="599"/>
      <c r="P126" s="599"/>
      <c r="Q126" s="599"/>
      <c r="R126" s="599"/>
      <c r="S126" s="599"/>
      <c r="T126" s="599"/>
    </row>
    <row r="127" spans="2:20">
      <c r="B127" s="720" t="s">
        <v>278</v>
      </c>
      <c r="C127" s="670"/>
      <c r="D127" s="746"/>
      <c r="E127" s="747"/>
      <c r="F127" s="747"/>
      <c r="G127" s="747"/>
      <c r="H127" s="748"/>
      <c r="I127" s="746"/>
      <c r="J127" s="749"/>
      <c r="K127" s="749"/>
      <c r="L127" s="749"/>
      <c r="M127" s="750"/>
      <c r="N127" s="599"/>
      <c r="O127" s="599"/>
      <c r="P127" s="599"/>
      <c r="Q127" s="599"/>
      <c r="R127" s="599"/>
      <c r="S127" s="599"/>
      <c r="T127" s="599"/>
    </row>
    <row r="128" spans="2:20">
      <c r="B128" s="669" t="s">
        <v>271</v>
      </c>
      <c r="C128" s="670"/>
      <c r="D128" s="709"/>
      <c r="E128" s="710"/>
      <c r="F128" s="710"/>
      <c r="G128" s="710"/>
      <c r="H128" s="711"/>
      <c r="I128" s="746"/>
      <c r="J128" s="749"/>
      <c r="K128" s="749"/>
      <c r="L128" s="749"/>
      <c r="M128" s="750"/>
      <c r="N128" s="599"/>
      <c r="O128" s="599"/>
      <c r="P128" s="599"/>
      <c r="Q128" s="599"/>
      <c r="R128" s="599"/>
      <c r="S128" s="599"/>
      <c r="T128" s="599"/>
    </row>
    <row r="129" spans="2:20">
      <c r="B129" s="669" t="s">
        <v>272</v>
      </c>
      <c r="C129" s="670" t="s">
        <v>521</v>
      </c>
      <c r="D129" s="709"/>
      <c r="E129" s="710"/>
      <c r="F129" s="710"/>
      <c r="G129" s="710"/>
      <c r="H129" s="711"/>
      <c r="I129" s="746"/>
      <c r="J129" s="749"/>
      <c r="K129" s="749"/>
      <c r="L129" s="749"/>
      <c r="M129" s="750"/>
      <c r="N129" s="599"/>
      <c r="O129" s="599"/>
      <c r="P129" s="599"/>
      <c r="Q129" s="599"/>
      <c r="R129" s="599"/>
      <c r="S129" s="599"/>
      <c r="T129" s="599"/>
    </row>
    <row r="130" spans="2:20">
      <c r="B130" s="669" t="s">
        <v>285</v>
      </c>
      <c r="C130" s="670"/>
      <c r="D130" s="746"/>
      <c r="E130" s="749"/>
      <c r="F130" s="749"/>
      <c r="G130" s="749"/>
      <c r="H130" s="748"/>
      <c r="I130" s="751">
        <f>SUM(I128:I129)</f>
        <v>0</v>
      </c>
      <c r="J130" s="751">
        <f>SUM(J128:J129)</f>
        <v>0</v>
      </c>
      <c r="K130" s="751">
        <f>SUM(K128:K129)</f>
        <v>0</v>
      </c>
      <c r="L130" s="751">
        <f>SUM(L128:L129)</f>
        <v>0</v>
      </c>
      <c r="M130" s="766">
        <f>SUM(M128:M129)</f>
        <v>0</v>
      </c>
      <c r="N130" s="599"/>
      <c r="O130" s="599"/>
      <c r="P130" s="599"/>
      <c r="Q130" s="599"/>
      <c r="R130" s="599"/>
      <c r="S130" s="599"/>
      <c r="T130" s="599"/>
    </row>
    <row r="131" spans="2:20">
      <c r="B131" s="712" t="s">
        <v>291</v>
      </c>
      <c r="C131" s="670"/>
      <c r="D131" s="713"/>
      <c r="E131" s="714"/>
      <c r="F131" s="714"/>
      <c r="G131" s="714"/>
      <c r="H131" s="715"/>
      <c r="I131" s="716"/>
      <c r="J131" s="717"/>
      <c r="K131" s="717"/>
      <c r="L131" s="754"/>
      <c r="M131" s="718"/>
      <c r="N131" s="695"/>
      <c r="O131" s="599"/>
      <c r="P131" s="599"/>
      <c r="Q131" s="599"/>
      <c r="R131" s="599"/>
      <c r="S131" s="599"/>
      <c r="T131" s="599"/>
    </row>
    <row r="132" spans="2:20">
      <c r="B132" s="719" t="s">
        <v>520</v>
      </c>
      <c r="C132" s="670" t="s">
        <v>521</v>
      </c>
      <c r="D132" s="755"/>
      <c r="E132" s="756"/>
      <c r="F132" s="756"/>
      <c r="G132" s="756"/>
      <c r="H132" s="757"/>
      <c r="I132" s="755"/>
      <c r="J132" s="758"/>
      <c r="K132" s="758"/>
      <c r="L132" s="758"/>
      <c r="M132" s="759"/>
      <c r="N132" s="599"/>
      <c r="O132" s="599"/>
      <c r="P132" s="599"/>
      <c r="Q132" s="599"/>
      <c r="R132" s="599"/>
      <c r="S132" s="599"/>
      <c r="T132" s="599"/>
    </row>
    <row r="133" spans="2:20">
      <c r="B133" s="720" t="s">
        <v>278</v>
      </c>
      <c r="C133" s="670"/>
      <c r="D133" s="755"/>
      <c r="E133" s="756"/>
      <c r="F133" s="756"/>
      <c r="G133" s="756"/>
      <c r="H133" s="757"/>
      <c r="I133" s="755"/>
      <c r="J133" s="758"/>
      <c r="K133" s="758"/>
      <c r="L133" s="758"/>
      <c r="M133" s="759"/>
      <c r="N133" s="599"/>
      <c r="O133" s="599"/>
      <c r="P133" s="599"/>
      <c r="Q133" s="599"/>
      <c r="R133" s="599"/>
      <c r="S133" s="599"/>
      <c r="T133" s="599"/>
    </row>
    <row r="134" spans="2:20">
      <c r="B134" s="669" t="s">
        <v>273</v>
      </c>
      <c r="C134" s="670"/>
      <c r="D134" s="760"/>
      <c r="E134" s="761"/>
      <c r="F134" s="761"/>
      <c r="G134" s="761"/>
      <c r="H134" s="762"/>
      <c r="I134" s="755"/>
      <c r="J134" s="758"/>
      <c r="K134" s="758"/>
      <c r="L134" s="758"/>
      <c r="M134" s="759"/>
      <c r="N134" s="599"/>
      <c r="O134" s="599"/>
      <c r="P134" s="599"/>
      <c r="Q134" s="599"/>
      <c r="R134" s="599"/>
      <c r="S134" s="599"/>
      <c r="T134" s="599"/>
    </row>
    <row r="135" spans="2:20">
      <c r="B135" s="669" t="s">
        <v>274</v>
      </c>
      <c r="C135" s="670" t="s">
        <v>521</v>
      </c>
      <c r="D135" s="760"/>
      <c r="E135" s="761"/>
      <c r="F135" s="761"/>
      <c r="G135" s="761"/>
      <c r="H135" s="762"/>
      <c r="I135" s="755"/>
      <c r="J135" s="758"/>
      <c r="K135" s="758"/>
      <c r="L135" s="758"/>
      <c r="M135" s="759"/>
      <c r="N135" s="599"/>
      <c r="O135" s="599"/>
      <c r="P135" s="599"/>
      <c r="Q135" s="599"/>
      <c r="R135" s="599"/>
      <c r="S135" s="599"/>
      <c r="T135" s="599"/>
    </row>
    <row r="136" spans="2:20">
      <c r="B136" s="669" t="s">
        <v>287</v>
      </c>
      <c r="C136" s="670"/>
      <c r="D136" s="755"/>
      <c r="E136" s="756"/>
      <c r="F136" s="756"/>
      <c r="G136" s="756"/>
      <c r="H136" s="757"/>
      <c r="I136" s="763">
        <f>SUM(I134:I135)</f>
        <v>0</v>
      </c>
      <c r="J136" s="763">
        <f>SUM(J134:J135)</f>
        <v>0</v>
      </c>
      <c r="K136" s="763">
        <f>SUM(K134:K135)</f>
        <v>0</v>
      </c>
      <c r="L136" s="763">
        <f>SUM(L134:L135)</f>
        <v>0</v>
      </c>
      <c r="M136" s="767">
        <f>SUM(M134:M135)</f>
        <v>0</v>
      </c>
      <c r="N136" s="599"/>
      <c r="O136" s="599"/>
      <c r="P136" s="599"/>
      <c r="Q136" s="599"/>
      <c r="R136" s="599"/>
      <c r="S136" s="599"/>
      <c r="T136" s="599"/>
    </row>
    <row r="137" spans="2:20" ht="13.5" thickBot="1">
      <c r="B137" s="734" t="s">
        <v>853</v>
      </c>
      <c r="C137" s="685" t="s">
        <v>521</v>
      </c>
      <c r="D137" s="735">
        <f t="shared" ref="D137:M137" si="30">SUM(D114:D115,D118,D120:D121,D124,D126:D127,D130,D132:D133,D136)</f>
        <v>0</v>
      </c>
      <c r="E137" s="736">
        <f t="shared" si="30"/>
        <v>0</v>
      </c>
      <c r="F137" s="736">
        <f t="shared" si="30"/>
        <v>0</v>
      </c>
      <c r="G137" s="736">
        <f t="shared" si="30"/>
        <v>0</v>
      </c>
      <c r="H137" s="737">
        <f t="shared" si="30"/>
        <v>0</v>
      </c>
      <c r="I137" s="735">
        <f t="shared" si="30"/>
        <v>0</v>
      </c>
      <c r="J137" s="736">
        <f t="shared" si="30"/>
        <v>0</v>
      </c>
      <c r="K137" s="736">
        <f t="shared" si="30"/>
        <v>0</v>
      </c>
      <c r="L137" s="736">
        <f t="shared" si="30"/>
        <v>0</v>
      </c>
      <c r="M137" s="764">
        <f t="shared" si="30"/>
        <v>0</v>
      </c>
      <c r="N137" s="738"/>
      <c r="O137" s="599"/>
      <c r="P137" s="599"/>
      <c r="Q137" s="599"/>
      <c r="R137" s="599"/>
      <c r="S137" s="599"/>
      <c r="T137" s="599"/>
    </row>
    <row r="138" spans="2:20">
      <c r="B138" s="765"/>
      <c r="C138" s="659"/>
      <c r="D138" s="660"/>
      <c r="E138" s="660"/>
      <c r="F138" s="660"/>
      <c r="G138" s="660"/>
      <c r="H138" s="660"/>
      <c r="I138" s="660"/>
      <c r="J138" s="660"/>
      <c r="K138" s="660"/>
      <c r="L138" s="660"/>
      <c r="M138" s="660"/>
      <c r="N138" s="599"/>
      <c r="O138" s="660"/>
      <c r="P138" s="660"/>
      <c r="Q138" s="660"/>
      <c r="R138" s="599"/>
      <c r="S138" s="660"/>
      <c r="T138" s="660"/>
    </row>
    <row r="139" spans="2:20">
      <c r="B139" s="765"/>
      <c r="C139" s="659"/>
      <c r="D139" s="660"/>
      <c r="E139" s="660"/>
      <c r="F139" s="660"/>
      <c r="G139" s="660"/>
      <c r="H139" s="660"/>
      <c r="I139" s="660"/>
      <c r="J139" s="660"/>
      <c r="K139" s="660"/>
      <c r="L139" s="660"/>
      <c r="M139" s="660"/>
      <c r="N139" s="599"/>
      <c r="O139" s="660"/>
      <c r="P139" s="660"/>
      <c r="Q139" s="660"/>
      <c r="R139" s="599"/>
      <c r="S139" s="660"/>
      <c r="T139" s="660"/>
    </row>
    <row r="140" spans="2:20">
      <c r="B140" s="765"/>
      <c r="C140" s="659"/>
      <c r="D140" s="660"/>
      <c r="E140" s="660"/>
      <c r="F140" s="660"/>
      <c r="G140" s="660"/>
      <c r="H140" s="660"/>
      <c r="I140" s="660"/>
      <c r="J140" s="660"/>
      <c r="K140" s="660"/>
      <c r="L140" s="660"/>
      <c r="M140" s="660"/>
      <c r="N140" s="599"/>
      <c r="O140" s="660"/>
      <c r="P140" s="660"/>
      <c r="Q140" s="660"/>
      <c r="R140" s="599"/>
      <c r="S140" s="660"/>
      <c r="T140" s="660"/>
    </row>
    <row r="141" spans="2:20">
      <c r="B141" s="658" t="s">
        <v>293</v>
      </c>
      <c r="C141" s="659"/>
      <c r="D141" s="660"/>
      <c r="E141" s="660"/>
      <c r="F141" s="660"/>
      <c r="G141" s="660"/>
      <c r="H141" s="660"/>
      <c r="I141" s="660"/>
      <c r="J141" s="660"/>
      <c r="K141" s="660"/>
      <c r="L141" s="660"/>
      <c r="M141" s="660"/>
      <c r="N141" s="599"/>
      <c r="O141" s="660"/>
      <c r="P141" s="660"/>
      <c r="Q141" s="660"/>
      <c r="R141" s="599"/>
      <c r="S141" s="660"/>
      <c r="T141" s="660"/>
    </row>
    <row r="142" spans="2:20" ht="13.5" thickBot="1">
      <c r="B142" s="658"/>
      <c r="C142" s="659"/>
      <c r="D142" s="660"/>
      <c r="E142" s="660"/>
      <c r="F142" s="660"/>
      <c r="G142" s="660"/>
      <c r="H142" s="660"/>
      <c r="I142" s="660"/>
      <c r="J142" s="660"/>
      <c r="K142" s="660"/>
      <c r="L142" s="660"/>
      <c r="M142" s="660"/>
      <c r="N142" s="599"/>
      <c r="O142" s="660"/>
      <c r="P142" s="660"/>
      <c r="Q142" s="660"/>
      <c r="R142" s="599"/>
      <c r="S142" s="660"/>
      <c r="T142" s="660"/>
    </row>
    <row r="143" spans="2:20">
      <c r="B143" s="1917" t="s">
        <v>857</v>
      </c>
      <c r="C143" s="1919" t="s">
        <v>31</v>
      </c>
      <c r="D143" s="602" t="s">
        <v>116</v>
      </c>
      <c r="E143" s="603"/>
      <c r="F143" s="603"/>
      <c r="G143" s="603"/>
      <c r="H143" s="604"/>
      <c r="I143" s="603" t="s">
        <v>117</v>
      </c>
      <c r="J143" s="605"/>
      <c r="K143" s="605"/>
      <c r="L143" s="605"/>
      <c r="M143" s="604"/>
      <c r="N143" s="599"/>
      <c r="O143" s="606" t="s">
        <v>116</v>
      </c>
      <c r="P143" s="607"/>
      <c r="Q143" s="608"/>
      <c r="R143" s="599"/>
      <c r="S143" s="606" t="s">
        <v>117</v>
      </c>
      <c r="T143" s="608"/>
    </row>
    <row r="144" spans="2:20">
      <c r="B144" s="1918"/>
      <c r="C144" s="1920"/>
      <c r="D144" s="610" t="s">
        <v>32</v>
      </c>
      <c r="E144" s="611" t="s">
        <v>33</v>
      </c>
      <c r="F144" s="611" t="s">
        <v>29</v>
      </c>
      <c r="G144" s="611" t="s">
        <v>34</v>
      </c>
      <c r="H144" s="612" t="s">
        <v>35</v>
      </c>
      <c r="I144" s="613" t="s">
        <v>118</v>
      </c>
      <c r="J144" s="611" t="s">
        <v>136</v>
      </c>
      <c r="K144" s="611" t="s">
        <v>137</v>
      </c>
      <c r="L144" s="611" t="s">
        <v>138</v>
      </c>
      <c r="M144" s="612" t="s">
        <v>139</v>
      </c>
      <c r="N144" s="599"/>
      <c r="O144" s="614" t="s">
        <v>126</v>
      </c>
      <c r="P144" s="615" t="s">
        <v>127</v>
      </c>
      <c r="Q144" s="616" t="s">
        <v>246</v>
      </c>
      <c r="R144" s="599"/>
      <c r="S144" s="614" t="s">
        <v>127</v>
      </c>
      <c r="T144" s="616" t="s">
        <v>128</v>
      </c>
    </row>
    <row r="145" spans="2:20">
      <c r="B145" s="768" t="s">
        <v>862</v>
      </c>
      <c r="C145" s="769"/>
      <c r="D145" s="689"/>
      <c r="E145" s="690"/>
      <c r="F145" s="690"/>
      <c r="G145" s="690"/>
      <c r="H145" s="691"/>
      <c r="I145" s="693"/>
      <c r="J145" s="693"/>
      <c r="K145" s="693"/>
      <c r="L145" s="693"/>
      <c r="M145" s="694"/>
      <c r="N145" s="599"/>
      <c r="O145" s="692"/>
      <c r="P145" s="693"/>
      <c r="Q145" s="694"/>
      <c r="R145" s="599"/>
      <c r="S145" s="692"/>
      <c r="T145" s="694"/>
    </row>
    <row r="146" spans="2:20">
      <c r="B146" s="661" t="s">
        <v>671</v>
      </c>
      <c r="C146" s="662"/>
      <c r="D146" s="663"/>
      <c r="E146" s="664"/>
      <c r="F146" s="664"/>
      <c r="G146" s="664"/>
      <c r="H146" s="665"/>
      <c r="I146" s="664"/>
      <c r="J146" s="664"/>
      <c r="K146" s="664"/>
      <c r="L146" s="664"/>
      <c r="M146" s="665"/>
      <c r="N146" s="599"/>
      <c r="O146" s="666"/>
      <c r="P146" s="667"/>
      <c r="Q146" s="668"/>
      <c r="R146" s="599"/>
      <c r="S146" s="663"/>
      <c r="T146" s="665"/>
    </row>
    <row r="147" spans="2:20">
      <c r="B147" s="669" t="s">
        <v>267</v>
      </c>
      <c r="C147" s="670" t="s">
        <v>14</v>
      </c>
      <c r="D147" s="770"/>
      <c r="E147" s="771"/>
      <c r="F147" s="771"/>
      <c r="G147" s="771"/>
      <c r="H147" s="772"/>
      <c r="I147" s="647"/>
      <c r="J147" s="649"/>
      <c r="K147" s="649"/>
      <c r="L147" s="649"/>
      <c r="M147" s="648"/>
      <c r="N147" s="599"/>
      <c r="O147" s="643"/>
      <c r="P147" s="644"/>
      <c r="Q147" s="645"/>
      <c r="R147" s="599"/>
      <c r="S147" s="643"/>
      <c r="T147" s="646"/>
    </row>
    <row r="148" spans="2:20">
      <c r="B148" s="669" t="s">
        <v>294</v>
      </c>
      <c r="C148" s="670" t="s">
        <v>295</v>
      </c>
      <c r="D148" s="773"/>
      <c r="E148" s="774"/>
      <c r="F148" s="774"/>
      <c r="G148" s="774"/>
      <c r="H148" s="775"/>
      <c r="I148" s="776"/>
      <c r="J148" s="777"/>
      <c r="K148" s="777"/>
      <c r="L148" s="777"/>
      <c r="M148" s="778"/>
      <c r="N148" s="599"/>
      <c r="O148" s="643"/>
      <c r="P148" s="644"/>
      <c r="Q148" s="645"/>
      <c r="R148" s="599"/>
      <c r="S148" s="643"/>
      <c r="T148" s="646"/>
    </row>
    <row r="149" spans="2:20">
      <c r="B149" s="669" t="s">
        <v>296</v>
      </c>
      <c r="C149" s="670" t="s">
        <v>295</v>
      </c>
      <c r="D149" s="773"/>
      <c r="E149" s="774"/>
      <c r="F149" s="774"/>
      <c r="G149" s="774"/>
      <c r="H149" s="775"/>
      <c r="I149" s="779">
        <f>1-I148</f>
        <v>1</v>
      </c>
      <c r="J149" s="780">
        <f>1-J148</f>
        <v>1</v>
      </c>
      <c r="K149" s="780">
        <f>1-K148</f>
        <v>1</v>
      </c>
      <c r="L149" s="780">
        <f>1-L148</f>
        <v>1</v>
      </c>
      <c r="M149" s="781">
        <f>1-M148</f>
        <v>1</v>
      </c>
      <c r="N149" s="599"/>
      <c r="O149" s="643"/>
      <c r="P149" s="644"/>
      <c r="Q149" s="645"/>
      <c r="R149" s="599"/>
      <c r="S149" s="643"/>
      <c r="T149" s="646"/>
    </row>
    <row r="150" spans="2:20">
      <c r="B150" s="669" t="s">
        <v>268</v>
      </c>
      <c r="C150" s="670" t="s">
        <v>14</v>
      </c>
      <c r="D150" s="770"/>
      <c r="E150" s="771"/>
      <c r="F150" s="771"/>
      <c r="G150" s="771"/>
      <c r="H150" s="772"/>
      <c r="I150" s="647"/>
      <c r="J150" s="649"/>
      <c r="K150" s="649"/>
      <c r="L150" s="649"/>
      <c r="M150" s="648"/>
      <c r="N150" s="599"/>
      <c r="O150" s="643"/>
      <c r="P150" s="644"/>
      <c r="Q150" s="645"/>
      <c r="R150" s="599"/>
      <c r="S150" s="643"/>
      <c r="T150" s="646"/>
    </row>
    <row r="151" spans="2:20">
      <c r="B151" s="669" t="s">
        <v>297</v>
      </c>
      <c r="C151" s="670" t="s">
        <v>295</v>
      </c>
      <c r="D151" s="770"/>
      <c r="E151" s="771"/>
      <c r="F151" s="771"/>
      <c r="G151" s="771"/>
      <c r="H151" s="772"/>
      <c r="I151" s="647"/>
      <c r="J151" s="649"/>
      <c r="K151" s="649"/>
      <c r="L151" s="649"/>
      <c r="M151" s="648"/>
      <c r="N151" s="599"/>
      <c r="O151" s="643"/>
      <c r="P151" s="644"/>
      <c r="Q151" s="645"/>
      <c r="R151" s="599"/>
      <c r="S151" s="643"/>
      <c r="T151" s="646"/>
    </row>
    <row r="152" spans="2:20">
      <c r="B152" s="669" t="s">
        <v>298</v>
      </c>
      <c r="C152" s="670" t="s">
        <v>295</v>
      </c>
      <c r="D152" s="773"/>
      <c r="E152" s="774"/>
      <c r="F152" s="774"/>
      <c r="G152" s="774"/>
      <c r="H152" s="775"/>
      <c r="I152" s="779">
        <f>1-I151</f>
        <v>1</v>
      </c>
      <c r="J152" s="780">
        <f>1-J151</f>
        <v>1</v>
      </c>
      <c r="K152" s="780">
        <f>1-K151</f>
        <v>1</v>
      </c>
      <c r="L152" s="780">
        <f>1-L151</f>
        <v>1</v>
      </c>
      <c r="M152" s="781">
        <f>1-M151</f>
        <v>1</v>
      </c>
      <c r="N152" s="599"/>
      <c r="O152" s="643"/>
      <c r="P152" s="644"/>
      <c r="Q152" s="645"/>
      <c r="R152" s="599"/>
      <c r="S152" s="643"/>
      <c r="T152" s="646"/>
    </row>
    <row r="153" spans="2:20">
      <c r="B153" s="677" t="s">
        <v>865</v>
      </c>
      <c r="C153" s="670" t="s">
        <v>14</v>
      </c>
      <c r="D153" s="632"/>
      <c r="E153" s="647"/>
      <c r="F153" s="647"/>
      <c r="G153" s="647"/>
      <c r="H153" s="648"/>
      <c r="I153" s="678">
        <f>SUM(I147,I150)</f>
        <v>0</v>
      </c>
      <c r="J153" s="623">
        <f>SUM(J147,J150)</f>
        <v>0</v>
      </c>
      <c r="K153" s="623">
        <f>SUM(K147,K150)</f>
        <v>0</v>
      </c>
      <c r="L153" s="623">
        <f>SUM(L147,L150)</f>
        <v>0</v>
      </c>
      <c r="M153" s="624">
        <f>SUM(M147,M150)</f>
        <v>0</v>
      </c>
      <c r="N153" s="599"/>
      <c r="O153" s="622">
        <f>SUM(D153:G153)</f>
        <v>0</v>
      </c>
      <c r="P153" s="623">
        <f>SUM(H153)</f>
        <v>0</v>
      </c>
      <c r="Q153" s="624">
        <f>SUM(D153:H153)</f>
        <v>0</v>
      </c>
      <c r="R153" s="599"/>
      <c r="S153" s="622">
        <f>SUM(I153:M153)</f>
        <v>0</v>
      </c>
      <c r="T153" s="625" t="str">
        <f>IF(Q153&lt;&gt;0,(S153-Q153)/Q153,"0")</f>
        <v>0</v>
      </c>
    </row>
    <row r="154" spans="2:20">
      <c r="B154" s="661" t="s">
        <v>299</v>
      </c>
      <c r="C154" s="679"/>
      <c r="D154" s="680"/>
      <c r="E154" s="681"/>
      <c r="F154" s="681"/>
      <c r="G154" s="681"/>
      <c r="H154" s="682"/>
      <c r="I154" s="681"/>
      <c r="J154" s="681"/>
      <c r="K154" s="681"/>
      <c r="L154" s="681"/>
      <c r="M154" s="682"/>
      <c r="N154" s="599"/>
      <c r="O154" s="683"/>
      <c r="P154" s="681"/>
      <c r="Q154" s="682"/>
      <c r="R154" s="599"/>
      <c r="S154" s="680"/>
      <c r="T154" s="682"/>
    </row>
    <row r="155" spans="2:20">
      <c r="B155" s="669" t="s">
        <v>269</v>
      </c>
      <c r="C155" s="670" t="s">
        <v>14</v>
      </c>
      <c r="D155" s="770"/>
      <c r="E155" s="771"/>
      <c r="F155" s="771"/>
      <c r="G155" s="771"/>
      <c r="H155" s="772"/>
      <c r="I155" s="647"/>
      <c r="J155" s="649"/>
      <c r="K155" s="649"/>
      <c r="L155" s="649"/>
      <c r="M155" s="648"/>
      <c r="N155" s="599"/>
      <c r="O155" s="643"/>
      <c r="P155" s="644"/>
      <c r="Q155" s="645"/>
      <c r="R155" s="599"/>
      <c r="S155" s="643"/>
      <c r="T155" s="646"/>
    </row>
    <row r="156" spans="2:20">
      <c r="B156" s="669" t="s">
        <v>300</v>
      </c>
      <c r="C156" s="670" t="s">
        <v>295</v>
      </c>
      <c r="D156" s="773"/>
      <c r="E156" s="774"/>
      <c r="F156" s="774"/>
      <c r="G156" s="774"/>
      <c r="H156" s="775"/>
      <c r="I156" s="776"/>
      <c r="J156" s="777"/>
      <c r="K156" s="777"/>
      <c r="L156" s="777"/>
      <c r="M156" s="778"/>
      <c r="N156" s="599"/>
      <c r="O156" s="643"/>
      <c r="P156" s="644"/>
      <c r="Q156" s="645"/>
      <c r="R156" s="599"/>
      <c r="S156" s="643"/>
      <c r="T156" s="646"/>
    </row>
    <row r="157" spans="2:20">
      <c r="B157" s="669" t="s">
        <v>301</v>
      </c>
      <c r="C157" s="670" t="s">
        <v>295</v>
      </c>
      <c r="D157" s="773"/>
      <c r="E157" s="774"/>
      <c r="F157" s="774"/>
      <c r="G157" s="774"/>
      <c r="H157" s="775"/>
      <c r="I157" s="779">
        <f>1-I156</f>
        <v>1</v>
      </c>
      <c r="J157" s="780">
        <f>1-J156</f>
        <v>1</v>
      </c>
      <c r="K157" s="780">
        <f>1-K156</f>
        <v>1</v>
      </c>
      <c r="L157" s="780">
        <f>1-L156</f>
        <v>1</v>
      </c>
      <c r="M157" s="781">
        <f>1-M156</f>
        <v>1</v>
      </c>
      <c r="N157" s="599"/>
      <c r="O157" s="643"/>
      <c r="P157" s="644"/>
      <c r="Q157" s="645"/>
      <c r="R157" s="599"/>
      <c r="S157" s="643"/>
      <c r="T157" s="646"/>
    </row>
    <row r="158" spans="2:20">
      <c r="B158" s="669" t="s">
        <v>270</v>
      </c>
      <c r="C158" s="670" t="s">
        <v>14</v>
      </c>
      <c r="D158" s="770"/>
      <c r="E158" s="771"/>
      <c r="F158" s="771"/>
      <c r="G158" s="771"/>
      <c r="H158" s="772"/>
      <c r="I158" s="647"/>
      <c r="J158" s="649"/>
      <c r="K158" s="649"/>
      <c r="L158" s="649"/>
      <c r="M158" s="648"/>
      <c r="N158" s="599"/>
      <c r="O158" s="643"/>
      <c r="P158" s="644"/>
      <c r="Q158" s="645"/>
      <c r="R158" s="599"/>
      <c r="S158" s="643"/>
      <c r="T158" s="646"/>
    </row>
    <row r="159" spans="2:20">
      <c r="B159" s="669" t="s">
        <v>302</v>
      </c>
      <c r="C159" s="670" t="s">
        <v>295</v>
      </c>
      <c r="D159" s="770"/>
      <c r="E159" s="771"/>
      <c r="F159" s="771"/>
      <c r="G159" s="771"/>
      <c r="H159" s="772"/>
      <c r="I159" s="647"/>
      <c r="J159" s="649"/>
      <c r="K159" s="649"/>
      <c r="L159" s="649"/>
      <c r="M159" s="648"/>
      <c r="N159" s="599"/>
      <c r="O159" s="643"/>
      <c r="P159" s="644"/>
      <c r="Q159" s="645"/>
      <c r="R159" s="599"/>
      <c r="S159" s="643"/>
      <c r="T159" s="646"/>
    </row>
    <row r="160" spans="2:20">
      <c r="B160" s="669" t="s">
        <v>303</v>
      </c>
      <c r="C160" s="670" t="s">
        <v>295</v>
      </c>
      <c r="D160" s="773"/>
      <c r="E160" s="774"/>
      <c r="F160" s="774"/>
      <c r="G160" s="774"/>
      <c r="H160" s="775"/>
      <c r="I160" s="779">
        <f>1-I159</f>
        <v>1</v>
      </c>
      <c r="J160" s="780">
        <f>1-J159</f>
        <v>1</v>
      </c>
      <c r="K160" s="780">
        <f>1-K159</f>
        <v>1</v>
      </c>
      <c r="L160" s="780">
        <f>1-L159</f>
        <v>1</v>
      </c>
      <c r="M160" s="781">
        <f>1-M159</f>
        <v>1</v>
      </c>
      <c r="N160" s="599"/>
      <c r="O160" s="643"/>
      <c r="P160" s="644"/>
      <c r="Q160" s="645"/>
      <c r="R160" s="599"/>
      <c r="S160" s="643"/>
      <c r="T160" s="646"/>
    </row>
    <row r="161" spans="2:20">
      <c r="B161" s="677" t="s">
        <v>866</v>
      </c>
      <c r="C161" s="670" t="s">
        <v>14</v>
      </c>
      <c r="D161" s="632"/>
      <c r="E161" s="647"/>
      <c r="F161" s="647"/>
      <c r="G161" s="647"/>
      <c r="H161" s="648"/>
      <c r="I161" s="678">
        <f>SUM(I155,I158)</f>
        <v>0</v>
      </c>
      <c r="J161" s="623">
        <f>SUM(J155,J158)</f>
        <v>0</v>
      </c>
      <c r="K161" s="623">
        <f>SUM(K155,K158)</f>
        <v>0</v>
      </c>
      <c r="L161" s="623">
        <f>SUM(L155,L158)</f>
        <v>0</v>
      </c>
      <c r="M161" s="624">
        <f>SUM(M155,M158)</f>
        <v>0</v>
      </c>
      <c r="N161" s="599"/>
      <c r="O161" s="622">
        <f>SUM(D161:G161)</f>
        <v>0</v>
      </c>
      <c r="P161" s="623">
        <f>SUM(H161)</f>
        <v>0</v>
      </c>
      <c r="Q161" s="624">
        <f>SUM(D161:H161)</f>
        <v>0</v>
      </c>
      <c r="R161" s="599"/>
      <c r="S161" s="622">
        <f>SUM(I161:M161)</f>
        <v>0</v>
      </c>
      <c r="T161" s="625" t="str">
        <f>IF(Q161&lt;&gt;0,(S161-Q161)/Q161,"0")</f>
        <v>0</v>
      </c>
    </row>
    <row r="162" spans="2:20">
      <c r="B162" s="661" t="s">
        <v>304</v>
      </c>
      <c r="C162" s="679"/>
      <c r="D162" s="680"/>
      <c r="E162" s="681"/>
      <c r="F162" s="681"/>
      <c r="G162" s="681"/>
      <c r="H162" s="682"/>
      <c r="I162" s="681"/>
      <c r="J162" s="681"/>
      <c r="K162" s="681"/>
      <c r="L162" s="681"/>
      <c r="M162" s="682"/>
      <c r="N162" s="599"/>
      <c r="O162" s="680"/>
      <c r="P162" s="681"/>
      <c r="Q162" s="682"/>
      <c r="R162" s="599"/>
      <c r="S162" s="680"/>
      <c r="T162" s="682"/>
    </row>
    <row r="163" spans="2:20">
      <c r="B163" s="669" t="s">
        <v>271</v>
      </c>
      <c r="C163" s="670" t="s">
        <v>14</v>
      </c>
      <c r="D163" s="770"/>
      <c r="E163" s="771"/>
      <c r="F163" s="771"/>
      <c r="G163" s="771"/>
      <c r="H163" s="772"/>
      <c r="I163" s="647"/>
      <c r="J163" s="649"/>
      <c r="K163" s="649"/>
      <c r="L163" s="649"/>
      <c r="M163" s="648"/>
      <c r="N163" s="599"/>
      <c r="O163" s="643"/>
      <c r="P163" s="644"/>
      <c r="Q163" s="645"/>
      <c r="R163" s="599"/>
      <c r="S163" s="643"/>
      <c r="T163" s="646"/>
    </row>
    <row r="164" spans="2:20">
      <c r="B164" s="669" t="s">
        <v>305</v>
      </c>
      <c r="C164" s="670" t="s">
        <v>295</v>
      </c>
      <c r="D164" s="773"/>
      <c r="E164" s="774"/>
      <c r="F164" s="774"/>
      <c r="G164" s="774"/>
      <c r="H164" s="775"/>
      <c r="I164" s="776"/>
      <c r="J164" s="777"/>
      <c r="K164" s="777"/>
      <c r="L164" s="777"/>
      <c r="M164" s="778"/>
      <c r="N164" s="599"/>
      <c r="O164" s="643"/>
      <c r="P164" s="644"/>
      <c r="Q164" s="645"/>
      <c r="R164" s="599"/>
      <c r="S164" s="643"/>
      <c r="T164" s="646"/>
    </row>
    <row r="165" spans="2:20">
      <c r="B165" s="669" t="s">
        <v>306</v>
      </c>
      <c r="C165" s="670" t="s">
        <v>295</v>
      </c>
      <c r="D165" s="773"/>
      <c r="E165" s="774"/>
      <c r="F165" s="774"/>
      <c r="G165" s="774"/>
      <c r="H165" s="775"/>
      <c r="I165" s="779">
        <f>1-I164</f>
        <v>1</v>
      </c>
      <c r="J165" s="780">
        <f>1-J164</f>
        <v>1</v>
      </c>
      <c r="K165" s="780">
        <f>1-K164</f>
        <v>1</v>
      </c>
      <c r="L165" s="780">
        <f>1-L164</f>
        <v>1</v>
      </c>
      <c r="M165" s="781">
        <f>1-M164</f>
        <v>1</v>
      </c>
      <c r="N165" s="599"/>
      <c r="O165" s="643"/>
      <c r="P165" s="644"/>
      <c r="Q165" s="645"/>
      <c r="R165" s="599"/>
      <c r="S165" s="643"/>
      <c r="T165" s="646"/>
    </row>
    <row r="166" spans="2:20">
      <c r="B166" s="669" t="s">
        <v>272</v>
      </c>
      <c r="C166" s="670" t="s">
        <v>14</v>
      </c>
      <c r="D166" s="770"/>
      <c r="E166" s="771"/>
      <c r="F166" s="771"/>
      <c r="G166" s="771"/>
      <c r="H166" s="772"/>
      <c r="I166" s="647"/>
      <c r="J166" s="649"/>
      <c r="K166" s="649"/>
      <c r="L166" s="649"/>
      <c r="M166" s="648"/>
      <c r="N166" s="599"/>
      <c r="O166" s="643"/>
      <c r="P166" s="644"/>
      <c r="Q166" s="645"/>
      <c r="R166" s="599"/>
      <c r="S166" s="643"/>
      <c r="T166" s="646"/>
    </row>
    <row r="167" spans="2:20">
      <c r="B167" s="669" t="s">
        <v>307</v>
      </c>
      <c r="C167" s="670" t="s">
        <v>295</v>
      </c>
      <c r="D167" s="782"/>
      <c r="E167" s="783"/>
      <c r="F167" s="783"/>
      <c r="G167" s="783"/>
      <c r="H167" s="784"/>
      <c r="I167" s="785"/>
      <c r="J167" s="786"/>
      <c r="K167" s="786"/>
      <c r="L167" s="786"/>
      <c r="M167" s="787"/>
      <c r="N167" s="599"/>
      <c r="O167" s="643"/>
      <c r="P167" s="644"/>
      <c r="Q167" s="645"/>
      <c r="R167" s="599"/>
      <c r="S167" s="643"/>
      <c r="T167" s="646"/>
    </row>
    <row r="168" spans="2:20">
      <c r="B168" s="669" t="s">
        <v>308</v>
      </c>
      <c r="C168" s="670" t="s">
        <v>295</v>
      </c>
      <c r="D168" s="773"/>
      <c r="E168" s="774"/>
      <c r="F168" s="774"/>
      <c r="G168" s="774"/>
      <c r="H168" s="775"/>
      <c r="I168" s="779">
        <f>1-I167</f>
        <v>1</v>
      </c>
      <c r="J168" s="780">
        <f>1-J167</f>
        <v>1</v>
      </c>
      <c r="K168" s="780">
        <f>1-K167</f>
        <v>1</v>
      </c>
      <c r="L168" s="780">
        <f>1-L167</f>
        <v>1</v>
      </c>
      <c r="M168" s="781">
        <f>1-M167</f>
        <v>1</v>
      </c>
      <c r="N168" s="599"/>
      <c r="O168" s="643"/>
      <c r="P168" s="644"/>
      <c r="Q168" s="645"/>
      <c r="R168" s="599"/>
      <c r="S168" s="643"/>
      <c r="T168" s="646"/>
    </row>
    <row r="169" spans="2:20">
      <c r="B169" s="677" t="s">
        <v>867</v>
      </c>
      <c r="C169" s="670" t="s">
        <v>14</v>
      </c>
      <c r="D169" s="632"/>
      <c r="E169" s="647"/>
      <c r="F169" s="647"/>
      <c r="G169" s="647"/>
      <c r="H169" s="648"/>
      <c r="I169" s="678">
        <f>SUM(I163,I166)</f>
        <v>0</v>
      </c>
      <c r="J169" s="623">
        <f>SUM(J163,J166)</f>
        <v>0</v>
      </c>
      <c r="K169" s="623">
        <f>SUM(K163,K166)</f>
        <v>0</v>
      </c>
      <c r="L169" s="623">
        <f>SUM(L163,L166)</f>
        <v>0</v>
      </c>
      <c r="M169" s="624">
        <f>SUM(M163,M166)</f>
        <v>0</v>
      </c>
      <c r="N169" s="599"/>
      <c r="O169" s="622">
        <f>SUM(D169:G169)</f>
        <v>0</v>
      </c>
      <c r="P169" s="623">
        <f>SUM(H169)</f>
        <v>0</v>
      </c>
      <c r="Q169" s="624">
        <f>SUM(D169:H169)</f>
        <v>0</v>
      </c>
      <c r="R169" s="599"/>
      <c r="S169" s="622">
        <f>SUM(I169:M169)</f>
        <v>0</v>
      </c>
      <c r="T169" s="625" t="str">
        <f>IF(Q169&lt;&gt;0,(S169-Q169)/Q169,"0")</f>
        <v>0</v>
      </c>
    </row>
    <row r="170" spans="2:20">
      <c r="B170" s="661" t="s">
        <v>309</v>
      </c>
      <c r="C170" s="679"/>
      <c r="D170" s="680"/>
      <c r="E170" s="681"/>
      <c r="F170" s="681"/>
      <c r="G170" s="681"/>
      <c r="H170" s="682"/>
      <c r="I170" s="681"/>
      <c r="J170" s="681"/>
      <c r="K170" s="681"/>
      <c r="L170" s="681"/>
      <c r="M170" s="682"/>
      <c r="N170" s="599"/>
      <c r="O170" s="680"/>
      <c r="P170" s="681"/>
      <c r="Q170" s="682"/>
      <c r="R170" s="599"/>
      <c r="S170" s="680"/>
      <c r="T170" s="682"/>
    </row>
    <row r="171" spans="2:20">
      <c r="B171" s="669" t="s">
        <v>273</v>
      </c>
      <c r="C171" s="670" t="s">
        <v>14</v>
      </c>
      <c r="D171" s="770"/>
      <c r="E171" s="771"/>
      <c r="F171" s="771"/>
      <c r="G171" s="771"/>
      <c r="H171" s="772"/>
      <c r="I171" s="647"/>
      <c r="J171" s="649"/>
      <c r="K171" s="649"/>
      <c r="L171" s="649"/>
      <c r="M171" s="648"/>
      <c r="N171" s="599"/>
      <c r="O171" s="643"/>
      <c r="P171" s="644"/>
      <c r="Q171" s="645"/>
      <c r="R171" s="599"/>
      <c r="S171" s="643"/>
      <c r="T171" s="646"/>
    </row>
    <row r="172" spans="2:20">
      <c r="B172" s="669" t="s">
        <v>310</v>
      </c>
      <c r="C172" s="670" t="s">
        <v>295</v>
      </c>
      <c r="D172" s="773"/>
      <c r="E172" s="774"/>
      <c r="F172" s="774"/>
      <c r="G172" s="774"/>
      <c r="H172" s="775"/>
      <c r="I172" s="776"/>
      <c r="J172" s="777"/>
      <c r="K172" s="777"/>
      <c r="L172" s="777"/>
      <c r="M172" s="778"/>
      <c r="N172" s="599"/>
      <c r="O172" s="643"/>
      <c r="P172" s="644"/>
      <c r="Q172" s="645"/>
      <c r="R172" s="599"/>
      <c r="S172" s="643"/>
      <c r="T172" s="646"/>
    </row>
    <row r="173" spans="2:20">
      <c r="B173" s="669" t="s">
        <v>311</v>
      </c>
      <c r="C173" s="670" t="s">
        <v>295</v>
      </c>
      <c r="D173" s="773"/>
      <c r="E173" s="774"/>
      <c r="F173" s="774"/>
      <c r="G173" s="774"/>
      <c r="H173" s="775"/>
      <c r="I173" s="779">
        <f>1-I172</f>
        <v>1</v>
      </c>
      <c r="J173" s="780">
        <f>1-J172</f>
        <v>1</v>
      </c>
      <c r="K173" s="780">
        <f>1-K172</f>
        <v>1</v>
      </c>
      <c r="L173" s="780">
        <f>1-L172</f>
        <v>1</v>
      </c>
      <c r="M173" s="781">
        <f>1-M172</f>
        <v>1</v>
      </c>
      <c r="N173" s="599"/>
      <c r="O173" s="643"/>
      <c r="P173" s="644"/>
      <c r="Q173" s="645"/>
      <c r="R173" s="599"/>
      <c r="S173" s="643"/>
      <c r="T173" s="646"/>
    </row>
    <row r="174" spans="2:20">
      <c r="B174" s="669" t="s">
        <v>274</v>
      </c>
      <c r="C174" s="670" t="s">
        <v>14</v>
      </c>
      <c r="D174" s="770"/>
      <c r="E174" s="771"/>
      <c r="F174" s="771"/>
      <c r="G174" s="771"/>
      <c r="H174" s="772"/>
      <c r="I174" s="647"/>
      <c r="J174" s="649"/>
      <c r="K174" s="649"/>
      <c r="L174" s="649"/>
      <c r="M174" s="648"/>
      <c r="N174" s="599"/>
      <c r="O174" s="643"/>
      <c r="P174" s="644"/>
      <c r="Q174" s="645"/>
      <c r="R174" s="599"/>
      <c r="S174" s="643"/>
      <c r="T174" s="646"/>
    </row>
    <row r="175" spans="2:20">
      <c r="B175" s="669" t="s">
        <v>312</v>
      </c>
      <c r="C175" s="670" t="s">
        <v>295</v>
      </c>
      <c r="D175" s="782"/>
      <c r="E175" s="783"/>
      <c r="F175" s="783"/>
      <c r="G175" s="783"/>
      <c r="H175" s="784"/>
      <c r="I175" s="785"/>
      <c r="J175" s="786"/>
      <c r="K175" s="786"/>
      <c r="L175" s="786"/>
      <c r="M175" s="787"/>
      <c r="N175" s="599"/>
      <c r="O175" s="643"/>
      <c r="P175" s="644"/>
      <c r="Q175" s="645"/>
      <c r="R175" s="599"/>
      <c r="S175" s="643"/>
      <c r="T175" s="646"/>
    </row>
    <row r="176" spans="2:20">
      <c r="B176" s="669" t="s">
        <v>313</v>
      </c>
      <c r="C176" s="670" t="s">
        <v>295</v>
      </c>
      <c r="D176" s="773"/>
      <c r="E176" s="774"/>
      <c r="F176" s="774"/>
      <c r="G176" s="774"/>
      <c r="H176" s="775"/>
      <c r="I176" s="779">
        <f>1-I175</f>
        <v>1</v>
      </c>
      <c r="J176" s="780">
        <f>1-J175</f>
        <v>1</v>
      </c>
      <c r="K176" s="780">
        <f>1-K175</f>
        <v>1</v>
      </c>
      <c r="L176" s="780">
        <f>1-L175</f>
        <v>1</v>
      </c>
      <c r="M176" s="781">
        <f>1-M175</f>
        <v>1</v>
      </c>
      <c r="N176" s="599"/>
      <c r="O176" s="643"/>
      <c r="P176" s="644"/>
      <c r="Q176" s="645"/>
      <c r="R176" s="599"/>
      <c r="S176" s="643"/>
      <c r="T176" s="646"/>
    </row>
    <row r="177" spans="2:20">
      <c r="B177" s="788" t="s">
        <v>700</v>
      </c>
      <c r="C177" s="670" t="s">
        <v>14</v>
      </c>
      <c r="D177" s="789"/>
      <c r="E177" s="790"/>
      <c r="F177" s="790"/>
      <c r="G177" s="790"/>
      <c r="H177" s="791"/>
      <c r="I177" s="792">
        <f>SUM(I171,I174)</f>
        <v>0</v>
      </c>
      <c r="J177" s="793">
        <f>SUM(J171,J174)</f>
        <v>0</v>
      </c>
      <c r="K177" s="793">
        <f>SUM(K171,K174)</f>
        <v>0</v>
      </c>
      <c r="L177" s="793">
        <f>SUM(L171,L174)</f>
        <v>0</v>
      </c>
      <c r="M177" s="794">
        <f>SUM(M171,M174)</f>
        <v>0</v>
      </c>
      <c r="N177" s="599"/>
      <c r="O177" s="622">
        <f>SUM(D177:G177)</f>
        <v>0</v>
      </c>
      <c r="P177" s="623">
        <f>SUM(H177)</f>
        <v>0</v>
      </c>
      <c r="Q177" s="624">
        <f>SUM(D177:H177)</f>
        <v>0</v>
      </c>
      <c r="R177" s="599"/>
      <c r="S177" s="622">
        <f>SUM(I177:M177)</f>
        <v>0</v>
      </c>
      <c r="T177" s="625" t="str">
        <f>IF(Q177&lt;&gt;0,(S177-Q177)/Q177,"0")</f>
        <v>0</v>
      </c>
    </row>
    <row r="178" spans="2:20" ht="13.5" thickBot="1">
      <c r="B178" s="795" t="s">
        <v>314</v>
      </c>
      <c r="C178" s="796"/>
      <c r="D178" s="797">
        <f t="shared" ref="D178:M178" si="31">SUM(D153,D161,D169,D177)</f>
        <v>0</v>
      </c>
      <c r="E178" s="797">
        <f t="shared" si="31"/>
        <v>0</v>
      </c>
      <c r="F178" s="797">
        <f t="shared" si="31"/>
        <v>0</v>
      </c>
      <c r="G178" s="797">
        <f t="shared" si="31"/>
        <v>0</v>
      </c>
      <c r="H178" s="797">
        <f t="shared" si="31"/>
        <v>0</v>
      </c>
      <c r="I178" s="798">
        <f t="shared" si="31"/>
        <v>0</v>
      </c>
      <c r="J178" s="798">
        <f t="shared" si="31"/>
        <v>0</v>
      </c>
      <c r="K178" s="798">
        <f t="shared" si="31"/>
        <v>0</v>
      </c>
      <c r="L178" s="798">
        <f t="shared" si="31"/>
        <v>0</v>
      </c>
      <c r="M178" s="799">
        <f t="shared" si="31"/>
        <v>0</v>
      </c>
      <c r="N178" s="599"/>
      <c r="O178" s="654">
        <f>SUM(O153,O161,O169,O177)</f>
        <v>0</v>
      </c>
      <c r="P178" s="655">
        <f>SUM(P153,P161,P169,P177)</f>
        <v>0</v>
      </c>
      <c r="Q178" s="656">
        <f>SUM(Q153,Q161,Q169,Q177)</f>
        <v>0</v>
      </c>
      <c r="R178" s="599"/>
      <c r="S178" s="654">
        <f>SUM(S153,S161,S169,S177)</f>
        <v>0</v>
      </c>
      <c r="T178" s="657" t="str">
        <f>IF(Q178&lt;&gt;0,(S178-Q178)/Q178,"0")</f>
        <v>0</v>
      </c>
    </row>
    <row r="179" spans="2:20">
      <c r="C179" s="596"/>
      <c r="D179" s="596"/>
      <c r="E179" s="596"/>
      <c r="F179" s="596"/>
      <c r="G179" s="596"/>
      <c r="H179" s="596"/>
      <c r="I179" s="596"/>
      <c r="J179" s="596"/>
      <c r="K179" s="596"/>
      <c r="L179" s="596"/>
      <c r="M179" s="596"/>
      <c r="N179" s="596"/>
      <c r="O179" s="596"/>
      <c r="P179" s="596"/>
      <c r="Q179" s="596"/>
      <c r="R179" s="596"/>
      <c r="S179" s="596"/>
      <c r="T179" s="596"/>
    </row>
    <row r="180" spans="2:20">
      <c r="B180" s="658" t="s">
        <v>315</v>
      </c>
      <c r="C180" s="659"/>
      <c r="D180" s="660"/>
      <c r="E180" s="660"/>
      <c r="F180" s="660"/>
      <c r="G180" s="660"/>
      <c r="H180" s="660"/>
      <c r="I180" s="660"/>
      <c r="J180" s="660"/>
      <c r="K180" s="660"/>
      <c r="L180" s="660"/>
      <c r="M180" s="660"/>
      <c r="N180" s="599"/>
      <c r="O180" s="660"/>
      <c r="P180" s="660"/>
      <c r="Q180" s="660"/>
      <c r="R180" s="599"/>
      <c r="S180" s="660"/>
      <c r="T180" s="660"/>
    </row>
    <row r="181" spans="2:20" ht="13.5" thickBot="1">
      <c r="B181" s="658"/>
      <c r="C181" s="659"/>
      <c r="D181" s="660"/>
      <c r="E181" s="660"/>
      <c r="F181" s="660"/>
      <c r="G181" s="660"/>
      <c r="H181" s="660"/>
      <c r="I181" s="660"/>
      <c r="J181" s="660"/>
      <c r="K181" s="660"/>
      <c r="L181" s="660"/>
      <c r="M181" s="660"/>
      <c r="N181" s="599"/>
      <c r="O181" s="660"/>
      <c r="P181" s="660"/>
      <c r="Q181" s="660"/>
      <c r="R181" s="599"/>
      <c r="S181" s="660"/>
      <c r="T181" s="660"/>
    </row>
    <row r="182" spans="2:20">
      <c r="B182" s="1917" t="s">
        <v>857</v>
      </c>
      <c r="C182" s="1919" t="s">
        <v>31</v>
      </c>
      <c r="D182" s="602" t="s">
        <v>116</v>
      </c>
      <c r="E182" s="603"/>
      <c r="F182" s="603"/>
      <c r="G182" s="603"/>
      <c r="H182" s="604"/>
      <c r="I182" s="603" t="s">
        <v>117</v>
      </c>
      <c r="J182" s="605"/>
      <c r="K182" s="605"/>
      <c r="L182" s="605"/>
      <c r="M182" s="604"/>
      <c r="N182" s="599"/>
      <c r="O182" s="606" t="s">
        <v>116</v>
      </c>
      <c r="P182" s="607"/>
      <c r="Q182" s="608"/>
      <c r="R182" s="599"/>
      <c r="S182" s="606" t="s">
        <v>117</v>
      </c>
      <c r="T182" s="608"/>
    </row>
    <row r="183" spans="2:20">
      <c r="B183" s="1918"/>
      <c r="C183" s="1920"/>
      <c r="D183" s="610" t="s">
        <v>32</v>
      </c>
      <c r="E183" s="611" t="s">
        <v>33</v>
      </c>
      <c r="F183" s="611" t="s">
        <v>29</v>
      </c>
      <c r="G183" s="611" t="s">
        <v>34</v>
      </c>
      <c r="H183" s="612" t="s">
        <v>35</v>
      </c>
      <c r="I183" s="613" t="s">
        <v>118</v>
      </c>
      <c r="J183" s="611" t="s">
        <v>136</v>
      </c>
      <c r="K183" s="611" t="s">
        <v>137</v>
      </c>
      <c r="L183" s="611" t="s">
        <v>138</v>
      </c>
      <c r="M183" s="612" t="s">
        <v>139</v>
      </c>
      <c r="N183" s="599"/>
      <c r="O183" s="614" t="s">
        <v>126</v>
      </c>
      <c r="P183" s="615" t="s">
        <v>127</v>
      </c>
      <c r="Q183" s="616" t="s">
        <v>246</v>
      </c>
      <c r="R183" s="599"/>
      <c r="S183" s="614" t="s">
        <v>127</v>
      </c>
      <c r="T183" s="616" t="s">
        <v>128</v>
      </c>
    </row>
    <row r="184" spans="2:20">
      <c r="B184" s="768" t="s">
        <v>862</v>
      </c>
      <c r="C184" s="769"/>
      <c r="D184" s="689"/>
      <c r="E184" s="690"/>
      <c r="F184" s="690"/>
      <c r="G184" s="690"/>
      <c r="H184" s="691"/>
      <c r="I184" s="693"/>
      <c r="J184" s="693"/>
      <c r="K184" s="693"/>
      <c r="L184" s="693"/>
      <c r="M184" s="694"/>
      <c r="N184" s="599"/>
      <c r="O184" s="692"/>
      <c r="P184" s="693"/>
      <c r="Q184" s="694"/>
      <c r="R184" s="599"/>
      <c r="S184" s="692"/>
      <c r="T184" s="694"/>
    </row>
    <row r="185" spans="2:20">
      <c r="B185" s="661" t="s">
        <v>671</v>
      </c>
      <c r="C185" s="662"/>
      <c r="D185" s="663"/>
      <c r="E185" s="664"/>
      <c r="F185" s="664"/>
      <c r="G185" s="664"/>
      <c r="H185" s="665"/>
      <c r="I185" s="664"/>
      <c r="J185" s="664"/>
      <c r="K185" s="664"/>
      <c r="L185" s="664"/>
      <c r="M185" s="665"/>
      <c r="N185" s="599"/>
      <c r="O185" s="666"/>
      <c r="P185" s="667"/>
      <c r="Q185" s="668"/>
      <c r="R185" s="599"/>
      <c r="S185" s="663"/>
      <c r="T185" s="665"/>
    </row>
    <row r="186" spans="2:20">
      <c r="B186" s="669" t="s">
        <v>267</v>
      </c>
      <c r="C186" s="670" t="s">
        <v>14</v>
      </c>
      <c r="D186" s="770"/>
      <c r="E186" s="771"/>
      <c r="F186" s="771"/>
      <c r="G186" s="771"/>
      <c r="H186" s="772"/>
      <c r="I186" s="647"/>
      <c r="J186" s="649"/>
      <c r="K186" s="649"/>
      <c r="L186" s="649"/>
      <c r="M186" s="648"/>
      <c r="N186" s="599"/>
      <c r="O186" s="643"/>
      <c r="P186" s="644"/>
      <c r="Q186" s="645"/>
      <c r="R186" s="599"/>
      <c r="S186" s="643"/>
      <c r="T186" s="646"/>
    </row>
    <row r="187" spans="2:20">
      <c r="B187" s="669" t="s">
        <v>294</v>
      </c>
      <c r="C187" s="670" t="s">
        <v>295</v>
      </c>
      <c r="D187" s="773"/>
      <c r="E187" s="774"/>
      <c r="F187" s="774"/>
      <c r="G187" s="774"/>
      <c r="H187" s="775"/>
      <c r="I187" s="776"/>
      <c r="J187" s="777"/>
      <c r="K187" s="777"/>
      <c r="L187" s="777"/>
      <c r="M187" s="778"/>
      <c r="N187" s="599"/>
      <c r="O187" s="643"/>
      <c r="P187" s="644"/>
      <c r="Q187" s="645"/>
      <c r="R187" s="599"/>
      <c r="S187" s="643"/>
      <c r="T187" s="646"/>
    </row>
    <row r="188" spans="2:20">
      <c r="B188" s="669" t="s">
        <v>296</v>
      </c>
      <c r="C188" s="670" t="s">
        <v>295</v>
      </c>
      <c r="D188" s="773"/>
      <c r="E188" s="774"/>
      <c r="F188" s="774"/>
      <c r="G188" s="774"/>
      <c r="H188" s="775"/>
      <c r="I188" s="779">
        <f>1-I187</f>
        <v>1</v>
      </c>
      <c r="J188" s="780">
        <f>1-J187</f>
        <v>1</v>
      </c>
      <c r="K188" s="780">
        <f>1-K187</f>
        <v>1</v>
      </c>
      <c r="L188" s="780">
        <f>1-L187</f>
        <v>1</v>
      </c>
      <c r="M188" s="781">
        <f>1-M187</f>
        <v>1</v>
      </c>
      <c r="N188" s="599"/>
      <c r="O188" s="643"/>
      <c r="P188" s="644"/>
      <c r="Q188" s="645"/>
      <c r="R188" s="599"/>
      <c r="S188" s="643"/>
      <c r="T188" s="646"/>
    </row>
    <row r="189" spans="2:20">
      <c r="B189" s="669" t="s">
        <v>268</v>
      </c>
      <c r="C189" s="670" t="s">
        <v>14</v>
      </c>
      <c r="D189" s="770"/>
      <c r="E189" s="771"/>
      <c r="F189" s="771"/>
      <c r="G189" s="771"/>
      <c r="H189" s="772"/>
      <c r="I189" s="647"/>
      <c r="J189" s="649"/>
      <c r="K189" s="649"/>
      <c r="L189" s="649"/>
      <c r="M189" s="648"/>
      <c r="N189" s="599"/>
      <c r="O189" s="643"/>
      <c r="P189" s="644"/>
      <c r="Q189" s="645"/>
      <c r="R189" s="599"/>
      <c r="S189" s="643"/>
      <c r="T189" s="646"/>
    </row>
    <row r="190" spans="2:20">
      <c r="B190" s="669" t="s">
        <v>297</v>
      </c>
      <c r="C190" s="670" t="s">
        <v>295</v>
      </c>
      <c r="D190" s="770"/>
      <c r="E190" s="771"/>
      <c r="F190" s="771"/>
      <c r="G190" s="771"/>
      <c r="H190" s="772"/>
      <c r="I190" s="647"/>
      <c r="J190" s="649"/>
      <c r="K190" s="649"/>
      <c r="L190" s="649"/>
      <c r="M190" s="648"/>
      <c r="N190" s="599"/>
      <c r="O190" s="643"/>
      <c r="P190" s="644"/>
      <c r="Q190" s="645"/>
      <c r="R190" s="599"/>
      <c r="S190" s="643"/>
      <c r="T190" s="646"/>
    </row>
    <row r="191" spans="2:20">
      <c r="B191" s="669" t="s">
        <v>298</v>
      </c>
      <c r="C191" s="670" t="s">
        <v>295</v>
      </c>
      <c r="D191" s="773"/>
      <c r="E191" s="774"/>
      <c r="F191" s="774"/>
      <c r="G191" s="774"/>
      <c r="H191" s="775"/>
      <c r="I191" s="779">
        <f>1-I190</f>
        <v>1</v>
      </c>
      <c r="J191" s="780">
        <f>1-J190</f>
        <v>1</v>
      </c>
      <c r="K191" s="780">
        <f>1-K190</f>
        <v>1</v>
      </c>
      <c r="L191" s="780">
        <f>1-L190</f>
        <v>1</v>
      </c>
      <c r="M191" s="781">
        <f>1-M190</f>
        <v>1</v>
      </c>
      <c r="N191" s="599"/>
      <c r="O191" s="643"/>
      <c r="P191" s="644"/>
      <c r="Q191" s="645"/>
      <c r="R191" s="599"/>
      <c r="S191" s="643"/>
      <c r="T191" s="646"/>
    </row>
    <row r="192" spans="2:20">
      <c r="B192" s="677" t="s">
        <v>865</v>
      </c>
      <c r="C192" s="670" t="s">
        <v>14</v>
      </c>
      <c r="D192" s="632"/>
      <c r="E192" s="647"/>
      <c r="F192" s="647"/>
      <c r="G192" s="647"/>
      <c r="H192" s="648"/>
      <c r="I192" s="678">
        <f>SUM(I186,I189)</f>
        <v>0</v>
      </c>
      <c r="J192" s="623">
        <f>SUM(J186,J189)</f>
        <v>0</v>
      </c>
      <c r="K192" s="623">
        <f>SUM(K186,K189)</f>
        <v>0</v>
      </c>
      <c r="L192" s="623">
        <f>SUM(L186,L189)</f>
        <v>0</v>
      </c>
      <c r="M192" s="624">
        <f>SUM(M186,M189)</f>
        <v>0</v>
      </c>
      <c r="N192" s="599"/>
      <c r="O192" s="622">
        <f>SUM(D192:G192)</f>
        <v>0</v>
      </c>
      <c r="P192" s="623">
        <f>SUM(H192)</f>
        <v>0</v>
      </c>
      <c r="Q192" s="624">
        <f>SUM(D192:H192)</f>
        <v>0</v>
      </c>
      <c r="R192" s="599"/>
      <c r="S192" s="622">
        <f>SUM(I192:M192)</f>
        <v>0</v>
      </c>
      <c r="T192" s="625" t="str">
        <f>IF(Q192&lt;&gt;0,(S192-Q192)/Q192,"0")</f>
        <v>0</v>
      </c>
    </row>
    <row r="193" spans="2:20">
      <c r="B193" s="661" t="s">
        <v>299</v>
      </c>
      <c r="C193" s="679"/>
      <c r="D193" s="680"/>
      <c r="E193" s="681"/>
      <c r="F193" s="681"/>
      <c r="G193" s="681"/>
      <c r="H193" s="682"/>
      <c r="I193" s="681"/>
      <c r="J193" s="681"/>
      <c r="K193" s="681"/>
      <c r="L193" s="681"/>
      <c r="M193" s="682"/>
      <c r="N193" s="599"/>
      <c r="O193" s="683"/>
      <c r="P193" s="681"/>
      <c r="Q193" s="682"/>
      <c r="R193" s="599"/>
      <c r="S193" s="680"/>
      <c r="T193" s="682"/>
    </row>
    <row r="194" spans="2:20">
      <c r="B194" s="669" t="s">
        <v>269</v>
      </c>
      <c r="C194" s="670" t="s">
        <v>14</v>
      </c>
      <c r="D194" s="770"/>
      <c r="E194" s="771"/>
      <c r="F194" s="771"/>
      <c r="G194" s="771"/>
      <c r="H194" s="772"/>
      <c r="I194" s="647"/>
      <c r="J194" s="649"/>
      <c r="K194" s="649"/>
      <c r="L194" s="649"/>
      <c r="M194" s="648"/>
      <c r="N194" s="599"/>
      <c r="O194" s="643"/>
      <c r="P194" s="644"/>
      <c r="Q194" s="645"/>
      <c r="R194" s="599"/>
      <c r="S194" s="643"/>
      <c r="T194" s="646"/>
    </row>
    <row r="195" spans="2:20">
      <c r="B195" s="669" t="s">
        <v>300</v>
      </c>
      <c r="C195" s="670" t="s">
        <v>295</v>
      </c>
      <c r="D195" s="773"/>
      <c r="E195" s="774"/>
      <c r="F195" s="774"/>
      <c r="G195" s="774"/>
      <c r="H195" s="775"/>
      <c r="I195" s="776"/>
      <c r="J195" s="777"/>
      <c r="K195" s="777"/>
      <c r="L195" s="777"/>
      <c r="M195" s="778"/>
      <c r="N195" s="599"/>
      <c r="O195" s="643"/>
      <c r="P195" s="644"/>
      <c r="Q195" s="645"/>
      <c r="R195" s="599"/>
      <c r="S195" s="643"/>
      <c r="T195" s="646"/>
    </row>
    <row r="196" spans="2:20">
      <c r="B196" s="669" t="s">
        <v>301</v>
      </c>
      <c r="C196" s="670" t="s">
        <v>295</v>
      </c>
      <c r="D196" s="773"/>
      <c r="E196" s="774"/>
      <c r="F196" s="774"/>
      <c r="G196" s="774"/>
      <c r="H196" s="775"/>
      <c r="I196" s="779">
        <f>1-I195</f>
        <v>1</v>
      </c>
      <c r="J196" s="780">
        <f>1-J195</f>
        <v>1</v>
      </c>
      <c r="K196" s="780">
        <f>1-K195</f>
        <v>1</v>
      </c>
      <c r="L196" s="780">
        <f>1-L195</f>
        <v>1</v>
      </c>
      <c r="M196" s="781">
        <f>1-M195</f>
        <v>1</v>
      </c>
      <c r="N196" s="599"/>
      <c r="O196" s="643"/>
      <c r="P196" s="644"/>
      <c r="Q196" s="645"/>
      <c r="R196" s="599"/>
      <c r="S196" s="643"/>
      <c r="T196" s="646"/>
    </row>
    <row r="197" spans="2:20">
      <c r="B197" s="669" t="s">
        <v>270</v>
      </c>
      <c r="C197" s="670" t="s">
        <v>14</v>
      </c>
      <c r="D197" s="770"/>
      <c r="E197" s="771"/>
      <c r="F197" s="771"/>
      <c r="G197" s="771"/>
      <c r="H197" s="772"/>
      <c r="I197" s="647"/>
      <c r="J197" s="649"/>
      <c r="K197" s="649"/>
      <c r="L197" s="649"/>
      <c r="M197" s="648"/>
      <c r="N197" s="599"/>
      <c r="O197" s="643"/>
      <c r="P197" s="644"/>
      <c r="Q197" s="645"/>
      <c r="R197" s="599"/>
      <c r="S197" s="643"/>
      <c r="T197" s="646"/>
    </row>
    <row r="198" spans="2:20">
      <c r="B198" s="669" t="s">
        <v>302</v>
      </c>
      <c r="C198" s="670" t="s">
        <v>295</v>
      </c>
      <c r="D198" s="770"/>
      <c r="E198" s="771"/>
      <c r="F198" s="771"/>
      <c r="G198" s="771"/>
      <c r="H198" s="772"/>
      <c r="I198" s="647"/>
      <c r="J198" s="649"/>
      <c r="K198" s="649"/>
      <c r="L198" s="649"/>
      <c r="M198" s="648"/>
      <c r="N198" s="599"/>
      <c r="O198" s="643"/>
      <c r="P198" s="644"/>
      <c r="Q198" s="645"/>
      <c r="R198" s="599"/>
      <c r="S198" s="643"/>
      <c r="T198" s="646"/>
    </row>
    <row r="199" spans="2:20">
      <c r="B199" s="669" t="s">
        <v>303</v>
      </c>
      <c r="C199" s="670" t="s">
        <v>295</v>
      </c>
      <c r="D199" s="773"/>
      <c r="E199" s="774"/>
      <c r="F199" s="774"/>
      <c r="G199" s="774"/>
      <c r="H199" s="775"/>
      <c r="I199" s="779">
        <f>1-I198</f>
        <v>1</v>
      </c>
      <c r="J199" s="780">
        <f>1-J198</f>
        <v>1</v>
      </c>
      <c r="K199" s="780">
        <f>1-K198</f>
        <v>1</v>
      </c>
      <c r="L199" s="780">
        <f>1-L198</f>
        <v>1</v>
      </c>
      <c r="M199" s="781">
        <f>1-M198</f>
        <v>1</v>
      </c>
      <c r="N199" s="599"/>
      <c r="O199" s="643"/>
      <c r="P199" s="644"/>
      <c r="Q199" s="645"/>
      <c r="R199" s="599"/>
      <c r="S199" s="643"/>
      <c r="T199" s="646"/>
    </row>
    <row r="200" spans="2:20">
      <c r="B200" s="677" t="s">
        <v>866</v>
      </c>
      <c r="C200" s="670" t="s">
        <v>14</v>
      </c>
      <c r="D200" s="632"/>
      <c r="E200" s="647"/>
      <c r="F200" s="647"/>
      <c r="G200" s="647"/>
      <c r="H200" s="648"/>
      <c r="I200" s="678">
        <f>SUM(I194,I197)</f>
        <v>0</v>
      </c>
      <c r="J200" s="623">
        <f>SUM(J194,J197)</f>
        <v>0</v>
      </c>
      <c r="K200" s="623">
        <f>SUM(K194,K197)</f>
        <v>0</v>
      </c>
      <c r="L200" s="623">
        <f>SUM(L194,L197)</f>
        <v>0</v>
      </c>
      <c r="M200" s="624">
        <f>SUM(M194,M197)</f>
        <v>0</v>
      </c>
      <c r="N200" s="599"/>
      <c r="O200" s="622">
        <f>SUM(D200:G200)</f>
        <v>0</v>
      </c>
      <c r="P200" s="623">
        <f>SUM(H200)</f>
        <v>0</v>
      </c>
      <c r="Q200" s="624">
        <f>SUM(D200:H200)</f>
        <v>0</v>
      </c>
      <c r="R200" s="599"/>
      <c r="S200" s="622">
        <f>SUM(I200:M200)</f>
        <v>0</v>
      </c>
      <c r="T200" s="625" t="str">
        <f>IF(Q200&lt;&gt;0,(S200-Q200)/Q200,"0")</f>
        <v>0</v>
      </c>
    </row>
    <row r="201" spans="2:20">
      <c r="B201" s="661" t="s">
        <v>304</v>
      </c>
      <c r="C201" s="679"/>
      <c r="D201" s="680"/>
      <c r="E201" s="681"/>
      <c r="F201" s="681"/>
      <c r="G201" s="681"/>
      <c r="H201" s="682"/>
      <c r="I201" s="681"/>
      <c r="J201" s="681"/>
      <c r="K201" s="681"/>
      <c r="L201" s="681"/>
      <c r="M201" s="682"/>
      <c r="N201" s="599"/>
      <c r="O201" s="680"/>
      <c r="P201" s="681"/>
      <c r="Q201" s="682"/>
      <c r="R201" s="599"/>
      <c r="S201" s="680"/>
      <c r="T201" s="682"/>
    </row>
    <row r="202" spans="2:20">
      <c r="B202" s="669" t="s">
        <v>271</v>
      </c>
      <c r="C202" s="670" t="s">
        <v>14</v>
      </c>
      <c r="D202" s="770"/>
      <c r="E202" s="771"/>
      <c r="F202" s="771"/>
      <c r="G202" s="771"/>
      <c r="H202" s="772"/>
      <c r="I202" s="647"/>
      <c r="J202" s="649"/>
      <c r="K202" s="649"/>
      <c r="L202" s="649"/>
      <c r="M202" s="648"/>
      <c r="N202" s="599"/>
      <c r="O202" s="643"/>
      <c r="P202" s="644"/>
      <c r="Q202" s="645"/>
      <c r="R202" s="599"/>
      <c r="S202" s="643"/>
      <c r="T202" s="646"/>
    </row>
    <row r="203" spans="2:20">
      <c r="B203" s="669" t="s">
        <v>305</v>
      </c>
      <c r="C203" s="670" t="s">
        <v>295</v>
      </c>
      <c r="D203" s="773"/>
      <c r="E203" s="774"/>
      <c r="F203" s="774"/>
      <c r="G203" s="774"/>
      <c r="H203" s="775"/>
      <c r="I203" s="776"/>
      <c r="J203" s="777"/>
      <c r="K203" s="777"/>
      <c r="L203" s="777"/>
      <c r="M203" s="778"/>
      <c r="N203" s="599"/>
      <c r="O203" s="643"/>
      <c r="P203" s="644"/>
      <c r="Q203" s="645"/>
      <c r="R203" s="599"/>
      <c r="S203" s="643"/>
      <c r="T203" s="646"/>
    </row>
    <row r="204" spans="2:20">
      <c r="B204" s="669" t="s">
        <v>306</v>
      </c>
      <c r="C204" s="670" t="s">
        <v>295</v>
      </c>
      <c r="D204" s="773"/>
      <c r="E204" s="774"/>
      <c r="F204" s="774"/>
      <c r="G204" s="774"/>
      <c r="H204" s="775"/>
      <c r="I204" s="779">
        <f>1-I203</f>
        <v>1</v>
      </c>
      <c r="J204" s="780">
        <f>1-J203</f>
        <v>1</v>
      </c>
      <c r="K204" s="780">
        <f>1-K203</f>
        <v>1</v>
      </c>
      <c r="L204" s="780">
        <f>1-L203</f>
        <v>1</v>
      </c>
      <c r="M204" s="781">
        <f>1-M203</f>
        <v>1</v>
      </c>
      <c r="N204" s="599"/>
      <c r="O204" s="643"/>
      <c r="P204" s="644"/>
      <c r="Q204" s="645"/>
      <c r="R204" s="599"/>
      <c r="S204" s="643"/>
      <c r="T204" s="646"/>
    </row>
    <row r="205" spans="2:20">
      <c r="B205" s="669" t="s">
        <v>272</v>
      </c>
      <c r="C205" s="670" t="s">
        <v>14</v>
      </c>
      <c r="D205" s="770"/>
      <c r="E205" s="771"/>
      <c r="F205" s="771"/>
      <c r="G205" s="771"/>
      <c r="H205" s="772"/>
      <c r="I205" s="647"/>
      <c r="J205" s="649"/>
      <c r="K205" s="649"/>
      <c r="L205" s="649"/>
      <c r="M205" s="648"/>
      <c r="N205" s="599"/>
      <c r="O205" s="643"/>
      <c r="P205" s="644"/>
      <c r="Q205" s="645"/>
      <c r="R205" s="599"/>
      <c r="S205" s="643"/>
      <c r="T205" s="646"/>
    </row>
    <row r="206" spans="2:20">
      <c r="B206" s="669" t="s">
        <v>307</v>
      </c>
      <c r="C206" s="670" t="s">
        <v>295</v>
      </c>
      <c r="D206" s="782"/>
      <c r="E206" s="783"/>
      <c r="F206" s="783"/>
      <c r="G206" s="783"/>
      <c r="H206" s="784"/>
      <c r="I206" s="785"/>
      <c r="J206" s="786"/>
      <c r="K206" s="786"/>
      <c r="L206" s="786"/>
      <c r="M206" s="787"/>
      <c r="N206" s="599"/>
      <c r="O206" s="643"/>
      <c r="P206" s="644"/>
      <c r="Q206" s="645"/>
      <c r="R206" s="599"/>
      <c r="S206" s="643"/>
      <c r="T206" s="646"/>
    </row>
    <row r="207" spans="2:20">
      <c r="B207" s="669" t="s">
        <v>308</v>
      </c>
      <c r="C207" s="670" t="s">
        <v>295</v>
      </c>
      <c r="D207" s="773"/>
      <c r="E207" s="774"/>
      <c r="F207" s="774"/>
      <c r="G207" s="774"/>
      <c r="H207" s="775"/>
      <c r="I207" s="779">
        <f>1-I206</f>
        <v>1</v>
      </c>
      <c r="J207" s="780">
        <f>1-J206</f>
        <v>1</v>
      </c>
      <c r="K207" s="780">
        <f>1-K206</f>
        <v>1</v>
      </c>
      <c r="L207" s="780">
        <f>1-L206</f>
        <v>1</v>
      </c>
      <c r="M207" s="781">
        <f>1-M206</f>
        <v>1</v>
      </c>
      <c r="N207" s="599"/>
      <c r="O207" s="643"/>
      <c r="P207" s="644"/>
      <c r="Q207" s="645"/>
      <c r="R207" s="599"/>
      <c r="S207" s="643"/>
      <c r="T207" s="646"/>
    </row>
    <row r="208" spans="2:20">
      <c r="B208" s="677" t="s">
        <v>867</v>
      </c>
      <c r="C208" s="670" t="s">
        <v>14</v>
      </c>
      <c r="D208" s="632"/>
      <c r="E208" s="647"/>
      <c r="F208" s="647"/>
      <c r="G208" s="647"/>
      <c r="H208" s="648"/>
      <c r="I208" s="678">
        <f>SUM(I202,I205)</f>
        <v>0</v>
      </c>
      <c r="J208" s="623">
        <f>SUM(J202,J205)</f>
        <v>0</v>
      </c>
      <c r="K208" s="623">
        <f>SUM(K202,K205)</f>
        <v>0</v>
      </c>
      <c r="L208" s="623">
        <f>SUM(L202,L205)</f>
        <v>0</v>
      </c>
      <c r="M208" s="624">
        <f>SUM(M202,M205)</f>
        <v>0</v>
      </c>
      <c r="N208" s="599"/>
      <c r="O208" s="622">
        <f>SUM(D208:G208)</f>
        <v>0</v>
      </c>
      <c r="P208" s="623">
        <f>SUM(H208)</f>
        <v>0</v>
      </c>
      <c r="Q208" s="624">
        <f>SUM(D208:H208)</f>
        <v>0</v>
      </c>
      <c r="R208" s="599"/>
      <c r="S208" s="622">
        <f>SUM(I208:M208)</f>
        <v>0</v>
      </c>
      <c r="T208" s="625" t="str">
        <f>IF(Q208&lt;&gt;0,(S208-Q208)/Q208,"0")</f>
        <v>0</v>
      </c>
    </row>
    <row r="209" spans="2:20">
      <c r="B209" s="661" t="s">
        <v>309</v>
      </c>
      <c r="C209" s="679"/>
      <c r="D209" s="680"/>
      <c r="E209" s="681"/>
      <c r="F209" s="681"/>
      <c r="G209" s="681"/>
      <c r="H209" s="682"/>
      <c r="I209" s="681"/>
      <c r="J209" s="681"/>
      <c r="K209" s="681"/>
      <c r="L209" s="681"/>
      <c r="M209" s="682"/>
      <c r="N209" s="599"/>
      <c r="O209" s="680"/>
      <c r="P209" s="681"/>
      <c r="Q209" s="682"/>
      <c r="R209" s="599"/>
      <c r="S209" s="680"/>
      <c r="T209" s="682"/>
    </row>
    <row r="210" spans="2:20">
      <c r="B210" s="669" t="s">
        <v>273</v>
      </c>
      <c r="C210" s="670" t="s">
        <v>14</v>
      </c>
      <c r="D210" s="770"/>
      <c r="E210" s="771"/>
      <c r="F210" s="771"/>
      <c r="G210" s="771"/>
      <c r="H210" s="772"/>
      <c r="I210" s="647"/>
      <c r="J210" s="649"/>
      <c r="K210" s="649"/>
      <c r="L210" s="649"/>
      <c r="M210" s="648"/>
      <c r="N210" s="599"/>
      <c r="O210" s="643"/>
      <c r="P210" s="644"/>
      <c r="Q210" s="645"/>
      <c r="R210" s="599"/>
      <c r="S210" s="643"/>
      <c r="T210" s="646"/>
    </row>
    <row r="211" spans="2:20">
      <c r="B211" s="669" t="s">
        <v>310</v>
      </c>
      <c r="C211" s="670" t="s">
        <v>295</v>
      </c>
      <c r="D211" s="773"/>
      <c r="E211" s="774"/>
      <c r="F211" s="774"/>
      <c r="G211" s="774"/>
      <c r="H211" s="775"/>
      <c r="I211" s="776"/>
      <c r="J211" s="777"/>
      <c r="K211" s="777"/>
      <c r="L211" s="777"/>
      <c r="M211" s="778"/>
      <c r="N211" s="599"/>
      <c r="O211" s="643"/>
      <c r="P211" s="644"/>
      <c r="Q211" s="645"/>
      <c r="R211" s="599"/>
      <c r="S211" s="643"/>
      <c r="T211" s="646"/>
    </row>
    <row r="212" spans="2:20">
      <c r="B212" s="669" t="s">
        <v>311</v>
      </c>
      <c r="C212" s="670" t="s">
        <v>295</v>
      </c>
      <c r="D212" s="773"/>
      <c r="E212" s="774"/>
      <c r="F212" s="774"/>
      <c r="G212" s="774"/>
      <c r="H212" s="775"/>
      <c r="I212" s="779">
        <f>1-I211</f>
        <v>1</v>
      </c>
      <c r="J212" s="780">
        <f>1-J211</f>
        <v>1</v>
      </c>
      <c r="K212" s="780">
        <f>1-K211</f>
        <v>1</v>
      </c>
      <c r="L212" s="780">
        <f>1-L211</f>
        <v>1</v>
      </c>
      <c r="M212" s="781">
        <f>1-M211</f>
        <v>1</v>
      </c>
      <c r="N212" s="599"/>
      <c r="O212" s="643"/>
      <c r="P212" s="644"/>
      <c r="Q212" s="645"/>
      <c r="R212" s="599"/>
      <c r="S212" s="643"/>
      <c r="T212" s="646"/>
    </row>
    <row r="213" spans="2:20">
      <c r="B213" s="669" t="s">
        <v>274</v>
      </c>
      <c r="C213" s="670" t="s">
        <v>14</v>
      </c>
      <c r="D213" s="770"/>
      <c r="E213" s="771"/>
      <c r="F213" s="771"/>
      <c r="G213" s="771"/>
      <c r="H213" s="772"/>
      <c r="I213" s="647"/>
      <c r="J213" s="649"/>
      <c r="K213" s="649"/>
      <c r="L213" s="649"/>
      <c r="M213" s="648"/>
      <c r="N213" s="599"/>
      <c r="O213" s="643"/>
      <c r="P213" s="644"/>
      <c r="Q213" s="645"/>
      <c r="R213" s="599"/>
      <c r="S213" s="643"/>
      <c r="T213" s="646"/>
    </row>
    <row r="214" spans="2:20">
      <c r="B214" s="669" t="s">
        <v>312</v>
      </c>
      <c r="C214" s="670" t="s">
        <v>295</v>
      </c>
      <c r="D214" s="782"/>
      <c r="E214" s="783"/>
      <c r="F214" s="783"/>
      <c r="G214" s="783"/>
      <c r="H214" s="784"/>
      <c r="I214" s="785"/>
      <c r="J214" s="786"/>
      <c r="K214" s="786"/>
      <c r="L214" s="786"/>
      <c r="M214" s="787"/>
      <c r="N214" s="599"/>
      <c r="O214" s="643"/>
      <c r="P214" s="644"/>
      <c r="Q214" s="645"/>
      <c r="R214" s="599"/>
      <c r="S214" s="643"/>
      <c r="T214" s="646"/>
    </row>
    <row r="215" spans="2:20">
      <c r="B215" s="669" t="s">
        <v>313</v>
      </c>
      <c r="C215" s="670" t="s">
        <v>295</v>
      </c>
      <c r="D215" s="773"/>
      <c r="E215" s="774"/>
      <c r="F215" s="774"/>
      <c r="G215" s="774"/>
      <c r="H215" s="775"/>
      <c r="I215" s="779">
        <f>1-I214</f>
        <v>1</v>
      </c>
      <c r="J215" s="780">
        <f>1-J214</f>
        <v>1</v>
      </c>
      <c r="K215" s="780">
        <f>1-K214</f>
        <v>1</v>
      </c>
      <c r="L215" s="780">
        <f>1-L214</f>
        <v>1</v>
      </c>
      <c r="M215" s="781">
        <f>1-M214</f>
        <v>1</v>
      </c>
      <c r="N215" s="599"/>
      <c r="O215" s="643"/>
      <c r="P215" s="644"/>
      <c r="Q215" s="645"/>
      <c r="R215" s="599"/>
      <c r="S215" s="643"/>
      <c r="T215" s="646"/>
    </row>
    <row r="216" spans="2:20">
      <c r="B216" s="788" t="s">
        <v>700</v>
      </c>
      <c r="C216" s="670" t="s">
        <v>14</v>
      </c>
      <c r="D216" s="789"/>
      <c r="E216" s="790"/>
      <c r="F216" s="790"/>
      <c r="G216" s="790"/>
      <c r="H216" s="791"/>
      <c r="I216" s="792">
        <f>SUM(I210,I213)</f>
        <v>0</v>
      </c>
      <c r="J216" s="793">
        <f>SUM(J210,J213)</f>
        <v>0</v>
      </c>
      <c r="K216" s="793">
        <f>SUM(K210,K213)</f>
        <v>0</v>
      </c>
      <c r="L216" s="793">
        <f>SUM(L210,L213)</f>
        <v>0</v>
      </c>
      <c r="M216" s="794">
        <f>SUM(M210,M213)</f>
        <v>0</v>
      </c>
      <c r="N216" s="599"/>
      <c r="O216" s="622">
        <f>SUM(D216:G216)</f>
        <v>0</v>
      </c>
      <c r="P216" s="623">
        <f>SUM(H216)</f>
        <v>0</v>
      </c>
      <c r="Q216" s="624">
        <f>SUM(D216:H216)</f>
        <v>0</v>
      </c>
      <c r="R216" s="599"/>
      <c r="S216" s="622">
        <f>SUM(I216:M216)</f>
        <v>0</v>
      </c>
      <c r="T216" s="625" t="str">
        <f>IF(Q216&lt;&gt;0,(S216-Q216)/Q216,"0")</f>
        <v>0</v>
      </c>
    </row>
    <row r="217" spans="2:20" ht="13.5" thickBot="1">
      <c r="B217" s="795" t="s">
        <v>316</v>
      </c>
      <c r="C217" s="796"/>
      <c r="D217" s="797">
        <f t="shared" ref="D217:M217" si="32">SUM(D192,D200,D208,D216)</f>
        <v>0</v>
      </c>
      <c r="E217" s="797">
        <f t="shared" si="32"/>
        <v>0</v>
      </c>
      <c r="F217" s="797">
        <f t="shared" si="32"/>
        <v>0</v>
      </c>
      <c r="G217" s="797">
        <f t="shared" si="32"/>
        <v>0</v>
      </c>
      <c r="H217" s="797">
        <f t="shared" si="32"/>
        <v>0</v>
      </c>
      <c r="I217" s="800">
        <f t="shared" si="32"/>
        <v>0</v>
      </c>
      <c r="J217" s="800">
        <f t="shared" si="32"/>
        <v>0</v>
      </c>
      <c r="K217" s="800">
        <f t="shared" si="32"/>
        <v>0</v>
      </c>
      <c r="L217" s="800">
        <f t="shared" si="32"/>
        <v>0</v>
      </c>
      <c r="M217" s="801">
        <f t="shared" si="32"/>
        <v>0</v>
      </c>
      <c r="N217" s="599"/>
      <c r="O217" s="654">
        <f>SUM(O192,O200,O208,O216)</f>
        <v>0</v>
      </c>
      <c r="P217" s="655">
        <f>SUM(P192,P200,P208,P216)</f>
        <v>0</v>
      </c>
      <c r="Q217" s="656">
        <f>SUM(Q192,Q200,Q208,Q216)</f>
        <v>0</v>
      </c>
      <c r="R217" s="599"/>
      <c r="S217" s="802">
        <f>SUM(S192,S200,S208,S216)</f>
        <v>0</v>
      </c>
      <c r="T217" s="657" t="str">
        <f>IF(Q217&lt;&gt;0,(S217-Q217)/Q217,"0")</f>
        <v>0</v>
      </c>
    </row>
    <row r="218" spans="2:20">
      <c r="C218" s="596"/>
      <c r="D218" s="596"/>
      <c r="E218" s="596"/>
      <c r="F218" s="596"/>
      <c r="G218" s="596"/>
      <c r="H218" s="596"/>
      <c r="I218" s="596"/>
      <c r="J218" s="596"/>
      <c r="K218" s="596"/>
      <c r="L218" s="596"/>
      <c r="M218" s="596"/>
      <c r="N218" s="596"/>
      <c r="O218" s="596"/>
      <c r="P218" s="596"/>
      <c r="Q218" s="596"/>
      <c r="R218" s="596"/>
      <c r="S218" s="596"/>
      <c r="T218" s="596"/>
    </row>
    <row r="219" spans="2:20">
      <c r="B219" s="658" t="s">
        <v>317</v>
      </c>
      <c r="C219" s="659"/>
      <c r="D219" s="660"/>
      <c r="E219" s="660"/>
      <c r="F219" s="660"/>
      <c r="G219" s="660"/>
      <c r="H219" s="660"/>
      <c r="I219" s="660"/>
      <c r="J219" s="660"/>
      <c r="K219" s="660"/>
      <c r="L219" s="660"/>
      <c r="M219" s="660"/>
      <c r="N219" s="599"/>
      <c r="O219" s="660"/>
      <c r="P219" s="660"/>
      <c r="Q219" s="660"/>
      <c r="R219" s="599"/>
      <c r="S219" s="660"/>
      <c r="T219" s="660"/>
    </row>
    <row r="220" spans="2:20" ht="13.5" thickBot="1">
      <c r="B220" s="658"/>
      <c r="C220" s="659"/>
      <c r="D220" s="660"/>
      <c r="E220" s="660"/>
      <c r="F220" s="660"/>
      <c r="G220" s="660"/>
      <c r="H220" s="660"/>
      <c r="I220" s="660"/>
      <c r="J220" s="660"/>
      <c r="K220" s="660"/>
      <c r="L220" s="660"/>
      <c r="M220" s="660"/>
      <c r="N220" s="599"/>
      <c r="O220" s="660"/>
      <c r="P220" s="660"/>
      <c r="Q220" s="660"/>
      <c r="R220" s="599"/>
      <c r="S220" s="660"/>
      <c r="T220" s="660"/>
    </row>
    <row r="221" spans="2:20">
      <c r="B221" s="1917" t="s">
        <v>857</v>
      </c>
      <c r="C221" s="1919" t="s">
        <v>31</v>
      </c>
      <c r="D221" s="602" t="s">
        <v>116</v>
      </c>
      <c r="E221" s="603"/>
      <c r="F221" s="603"/>
      <c r="G221" s="603"/>
      <c r="H221" s="604"/>
      <c r="I221" s="603" t="s">
        <v>117</v>
      </c>
      <c r="J221" s="605"/>
      <c r="K221" s="605"/>
      <c r="L221" s="605"/>
      <c r="M221" s="604"/>
      <c r="N221" s="599"/>
      <c r="O221" s="606" t="s">
        <v>116</v>
      </c>
      <c r="P221" s="607"/>
      <c r="Q221" s="608"/>
      <c r="R221" s="599"/>
      <c r="S221" s="606" t="s">
        <v>117</v>
      </c>
      <c r="T221" s="608"/>
    </row>
    <row r="222" spans="2:20">
      <c r="B222" s="1918"/>
      <c r="C222" s="1920"/>
      <c r="D222" s="610" t="s">
        <v>32</v>
      </c>
      <c r="E222" s="611" t="s">
        <v>33</v>
      </c>
      <c r="F222" s="611" t="s">
        <v>29</v>
      </c>
      <c r="G222" s="611" t="s">
        <v>34</v>
      </c>
      <c r="H222" s="612" t="s">
        <v>35</v>
      </c>
      <c r="I222" s="613" t="s">
        <v>118</v>
      </c>
      <c r="J222" s="611" t="s">
        <v>136</v>
      </c>
      <c r="K222" s="611" t="s">
        <v>137</v>
      </c>
      <c r="L222" s="611" t="s">
        <v>138</v>
      </c>
      <c r="M222" s="612" t="s">
        <v>139</v>
      </c>
      <c r="N222" s="599"/>
      <c r="O222" s="614" t="s">
        <v>126</v>
      </c>
      <c r="P222" s="615" t="s">
        <v>127</v>
      </c>
      <c r="Q222" s="616" t="s">
        <v>246</v>
      </c>
      <c r="R222" s="599"/>
      <c r="S222" s="614" t="s">
        <v>127</v>
      </c>
      <c r="T222" s="616" t="s">
        <v>128</v>
      </c>
    </row>
    <row r="223" spans="2:20">
      <c r="B223" s="768" t="s">
        <v>862</v>
      </c>
      <c r="C223" s="769"/>
      <c r="D223" s="689"/>
      <c r="E223" s="690"/>
      <c r="F223" s="690"/>
      <c r="G223" s="690"/>
      <c r="H223" s="691"/>
      <c r="I223" s="693"/>
      <c r="J223" s="693"/>
      <c r="K223" s="693"/>
      <c r="L223" s="693"/>
      <c r="M223" s="694"/>
      <c r="N223" s="599"/>
      <c r="O223" s="692"/>
      <c r="P223" s="693"/>
      <c r="Q223" s="694"/>
      <c r="R223" s="599"/>
      <c r="S223" s="692"/>
      <c r="T223" s="694"/>
    </row>
    <row r="224" spans="2:20">
      <c r="B224" s="661" t="s">
        <v>671</v>
      </c>
      <c r="C224" s="662"/>
      <c r="D224" s="663"/>
      <c r="E224" s="664"/>
      <c r="F224" s="664"/>
      <c r="G224" s="664"/>
      <c r="H224" s="665"/>
      <c r="I224" s="664"/>
      <c r="J224" s="664"/>
      <c r="K224" s="664"/>
      <c r="L224" s="664"/>
      <c r="M224" s="665"/>
      <c r="N224" s="599"/>
      <c r="O224" s="666"/>
      <c r="P224" s="667"/>
      <c r="Q224" s="668"/>
      <c r="R224" s="599"/>
      <c r="S224" s="663"/>
      <c r="T224" s="665"/>
    </row>
    <row r="225" spans="2:20">
      <c r="B225" s="669" t="s">
        <v>267</v>
      </c>
      <c r="C225" s="670" t="s">
        <v>14</v>
      </c>
      <c r="D225" s="770"/>
      <c r="E225" s="771"/>
      <c r="F225" s="771"/>
      <c r="G225" s="771"/>
      <c r="H225" s="772"/>
      <c r="I225" s="647"/>
      <c r="J225" s="649"/>
      <c r="K225" s="649"/>
      <c r="L225" s="649"/>
      <c r="M225" s="648"/>
      <c r="N225" s="599"/>
      <c r="O225" s="643"/>
      <c r="P225" s="644"/>
      <c r="Q225" s="645"/>
      <c r="R225" s="599"/>
      <c r="S225" s="643"/>
      <c r="T225" s="646"/>
    </row>
    <row r="226" spans="2:20">
      <c r="B226" s="669" t="s">
        <v>268</v>
      </c>
      <c r="C226" s="670" t="s">
        <v>14</v>
      </c>
      <c r="D226" s="770"/>
      <c r="E226" s="771"/>
      <c r="F226" s="771"/>
      <c r="G226" s="771"/>
      <c r="H226" s="772"/>
      <c r="I226" s="647"/>
      <c r="J226" s="649"/>
      <c r="K226" s="649"/>
      <c r="L226" s="649"/>
      <c r="M226" s="648"/>
      <c r="N226" s="599"/>
      <c r="O226" s="643"/>
      <c r="P226" s="644"/>
      <c r="Q226" s="645"/>
      <c r="R226" s="599"/>
      <c r="S226" s="643"/>
      <c r="T226" s="646"/>
    </row>
    <row r="227" spans="2:20">
      <c r="B227" s="677" t="s">
        <v>865</v>
      </c>
      <c r="C227" s="670" t="s">
        <v>14</v>
      </c>
      <c r="D227" s="632"/>
      <c r="E227" s="647"/>
      <c r="F227" s="647"/>
      <c r="G227" s="647"/>
      <c r="H227" s="648"/>
      <c r="I227" s="678">
        <f>SUM(I225,I226)</f>
        <v>0</v>
      </c>
      <c r="J227" s="623">
        <f>SUM(J225,J226)</f>
        <v>0</v>
      </c>
      <c r="K227" s="623">
        <f>SUM(K225,K226)</f>
        <v>0</v>
      </c>
      <c r="L227" s="623">
        <f>SUM(L225,L226)</f>
        <v>0</v>
      </c>
      <c r="M227" s="624">
        <f>SUM(M225,M226)</f>
        <v>0</v>
      </c>
      <c r="N227" s="599"/>
      <c r="O227" s="622">
        <f>SUM(D227:G227)</f>
        <v>0</v>
      </c>
      <c r="P227" s="623">
        <f>SUM(H227)</f>
        <v>0</v>
      </c>
      <c r="Q227" s="624">
        <f>SUM(D227:H227)</f>
        <v>0</v>
      </c>
      <c r="R227" s="599"/>
      <c r="S227" s="622">
        <f>SUM(I227:M227)</f>
        <v>0</v>
      </c>
      <c r="T227" s="625" t="str">
        <f>IF(Q227&lt;&gt;0,(S227-Q227)/Q227,"0")</f>
        <v>0</v>
      </c>
    </row>
    <row r="228" spans="2:20">
      <c r="B228" s="661" t="s">
        <v>299</v>
      </c>
      <c r="C228" s="679"/>
      <c r="D228" s="680"/>
      <c r="E228" s="681"/>
      <c r="F228" s="681"/>
      <c r="G228" s="681"/>
      <c r="H228" s="682"/>
      <c r="I228" s="681"/>
      <c r="J228" s="681"/>
      <c r="K228" s="681"/>
      <c r="L228" s="681"/>
      <c r="M228" s="682"/>
      <c r="N228" s="599"/>
      <c r="O228" s="683"/>
      <c r="P228" s="681"/>
      <c r="Q228" s="682"/>
      <c r="R228" s="599"/>
      <c r="S228" s="680"/>
      <c r="T228" s="682"/>
    </row>
    <row r="229" spans="2:20">
      <c r="B229" s="669" t="s">
        <v>269</v>
      </c>
      <c r="C229" s="670" t="s">
        <v>14</v>
      </c>
      <c r="D229" s="770"/>
      <c r="E229" s="771"/>
      <c r="F229" s="771"/>
      <c r="G229" s="771"/>
      <c r="H229" s="772"/>
      <c r="I229" s="647"/>
      <c r="J229" s="649"/>
      <c r="K229" s="649"/>
      <c r="L229" s="649"/>
      <c r="M229" s="648"/>
      <c r="N229" s="599"/>
      <c r="O229" s="643"/>
      <c r="P229" s="644"/>
      <c r="Q229" s="645"/>
      <c r="R229" s="599"/>
      <c r="S229" s="643"/>
      <c r="T229" s="646"/>
    </row>
    <row r="230" spans="2:20">
      <c r="B230" s="669" t="s">
        <v>270</v>
      </c>
      <c r="C230" s="670" t="s">
        <v>14</v>
      </c>
      <c r="D230" s="770"/>
      <c r="E230" s="771"/>
      <c r="F230" s="771"/>
      <c r="G230" s="771"/>
      <c r="H230" s="772"/>
      <c r="I230" s="647"/>
      <c r="J230" s="649"/>
      <c r="K230" s="649"/>
      <c r="L230" s="649"/>
      <c r="M230" s="648"/>
      <c r="N230" s="599"/>
      <c r="O230" s="643"/>
      <c r="P230" s="644"/>
      <c r="Q230" s="645"/>
      <c r="R230" s="599"/>
      <c r="S230" s="643"/>
      <c r="T230" s="646"/>
    </row>
    <row r="231" spans="2:20">
      <c r="B231" s="677" t="s">
        <v>866</v>
      </c>
      <c r="C231" s="670" t="s">
        <v>14</v>
      </c>
      <c r="D231" s="632"/>
      <c r="E231" s="647"/>
      <c r="F231" s="647"/>
      <c r="G231" s="647"/>
      <c r="H231" s="648"/>
      <c r="I231" s="678">
        <f>SUM(I229,I230)</f>
        <v>0</v>
      </c>
      <c r="J231" s="623">
        <f>SUM(J229,J230)</f>
        <v>0</v>
      </c>
      <c r="K231" s="623">
        <f>SUM(K229,K230)</f>
        <v>0</v>
      </c>
      <c r="L231" s="623">
        <f>SUM(L229,L230)</f>
        <v>0</v>
      </c>
      <c r="M231" s="624">
        <f>SUM(M229,M230)</f>
        <v>0</v>
      </c>
      <c r="N231" s="599"/>
      <c r="O231" s="622">
        <f>SUM(D231:G231)</f>
        <v>0</v>
      </c>
      <c r="P231" s="623">
        <f>SUM(H231)</f>
        <v>0</v>
      </c>
      <c r="Q231" s="624">
        <f>SUM(D231:H231)</f>
        <v>0</v>
      </c>
      <c r="R231" s="599"/>
      <c r="S231" s="622">
        <f>SUM(I231:M231)</f>
        <v>0</v>
      </c>
      <c r="T231" s="625" t="str">
        <f>IF(Q231&lt;&gt;0,(S231-Q231)/Q231,"0")</f>
        <v>0</v>
      </c>
    </row>
    <row r="232" spans="2:20">
      <c r="B232" s="661" t="s">
        <v>304</v>
      </c>
      <c r="C232" s="679"/>
      <c r="D232" s="680"/>
      <c r="E232" s="681"/>
      <c r="F232" s="681"/>
      <c r="G232" s="681"/>
      <c r="H232" s="682"/>
      <c r="I232" s="681"/>
      <c r="J232" s="681"/>
      <c r="K232" s="681"/>
      <c r="L232" s="681"/>
      <c r="M232" s="682"/>
      <c r="N232" s="599"/>
      <c r="O232" s="680"/>
      <c r="P232" s="681"/>
      <c r="Q232" s="682"/>
      <c r="R232" s="599"/>
      <c r="S232" s="680"/>
      <c r="T232" s="682"/>
    </row>
    <row r="233" spans="2:20">
      <c r="B233" s="669" t="s">
        <v>271</v>
      </c>
      <c r="C233" s="670" t="s">
        <v>14</v>
      </c>
      <c r="D233" s="770"/>
      <c r="E233" s="771"/>
      <c r="F233" s="771"/>
      <c r="G233" s="771"/>
      <c r="H233" s="772"/>
      <c r="I233" s="647"/>
      <c r="J233" s="649"/>
      <c r="K233" s="649"/>
      <c r="L233" s="649"/>
      <c r="M233" s="648"/>
      <c r="N233" s="599"/>
      <c r="O233" s="643"/>
      <c r="P233" s="644"/>
      <c r="Q233" s="645"/>
      <c r="R233" s="599"/>
      <c r="S233" s="643"/>
      <c r="T233" s="646"/>
    </row>
    <row r="234" spans="2:20">
      <c r="B234" s="669" t="s">
        <v>272</v>
      </c>
      <c r="C234" s="670" t="s">
        <v>14</v>
      </c>
      <c r="D234" s="770"/>
      <c r="E234" s="771"/>
      <c r="F234" s="771"/>
      <c r="G234" s="771"/>
      <c r="H234" s="772"/>
      <c r="I234" s="647"/>
      <c r="J234" s="649"/>
      <c r="K234" s="649"/>
      <c r="L234" s="649"/>
      <c r="M234" s="648"/>
      <c r="N234" s="599"/>
      <c r="O234" s="643"/>
      <c r="P234" s="644"/>
      <c r="Q234" s="645"/>
      <c r="R234" s="599"/>
      <c r="S234" s="643"/>
      <c r="T234" s="646"/>
    </row>
    <row r="235" spans="2:20">
      <c r="B235" s="677" t="s">
        <v>867</v>
      </c>
      <c r="C235" s="670" t="s">
        <v>14</v>
      </c>
      <c r="D235" s="632"/>
      <c r="E235" s="647"/>
      <c r="F235" s="647"/>
      <c r="G235" s="647"/>
      <c r="H235" s="648"/>
      <c r="I235" s="678">
        <f>SUM(I233,I234)</f>
        <v>0</v>
      </c>
      <c r="J235" s="623">
        <f>SUM(J233,J234)</f>
        <v>0</v>
      </c>
      <c r="K235" s="623">
        <f>SUM(K233,K234)</f>
        <v>0</v>
      </c>
      <c r="L235" s="623">
        <f>SUM(L233,L234)</f>
        <v>0</v>
      </c>
      <c r="M235" s="624">
        <f>SUM(M233,M234)</f>
        <v>0</v>
      </c>
      <c r="N235" s="599"/>
      <c r="O235" s="622">
        <f>SUM(D235:G235)</f>
        <v>0</v>
      </c>
      <c r="P235" s="623">
        <f>SUM(H235)</f>
        <v>0</v>
      </c>
      <c r="Q235" s="624">
        <f>SUM(D235:H235)</f>
        <v>0</v>
      </c>
      <c r="R235" s="599"/>
      <c r="S235" s="622">
        <f>SUM(I235:M235)</f>
        <v>0</v>
      </c>
      <c r="T235" s="625" t="str">
        <f>IF(Q235&lt;&gt;0,(S235-Q235)/Q235,"0")</f>
        <v>0</v>
      </c>
    </row>
    <row r="236" spans="2:20">
      <c r="B236" s="661" t="s">
        <v>309</v>
      </c>
      <c r="C236" s="679"/>
      <c r="D236" s="680"/>
      <c r="E236" s="681"/>
      <c r="F236" s="681"/>
      <c r="G236" s="681"/>
      <c r="H236" s="682"/>
      <c r="I236" s="681"/>
      <c r="J236" s="681"/>
      <c r="K236" s="681"/>
      <c r="L236" s="681"/>
      <c r="M236" s="682"/>
      <c r="N236" s="599"/>
      <c r="O236" s="680"/>
      <c r="P236" s="681"/>
      <c r="Q236" s="682"/>
      <c r="R236" s="599"/>
      <c r="S236" s="680"/>
      <c r="T236" s="682"/>
    </row>
    <row r="237" spans="2:20">
      <c r="B237" s="669" t="s">
        <v>273</v>
      </c>
      <c r="C237" s="670" t="s">
        <v>14</v>
      </c>
      <c r="D237" s="770"/>
      <c r="E237" s="771"/>
      <c r="F237" s="771"/>
      <c r="G237" s="771"/>
      <c r="H237" s="772"/>
      <c r="I237" s="647"/>
      <c r="J237" s="649"/>
      <c r="K237" s="649"/>
      <c r="L237" s="649"/>
      <c r="M237" s="648"/>
      <c r="N237" s="599"/>
      <c r="O237" s="643"/>
      <c r="P237" s="644"/>
      <c r="Q237" s="645"/>
      <c r="R237" s="599"/>
      <c r="S237" s="643"/>
      <c r="T237" s="646"/>
    </row>
    <row r="238" spans="2:20">
      <c r="B238" s="669" t="s">
        <v>274</v>
      </c>
      <c r="C238" s="670" t="s">
        <v>14</v>
      </c>
      <c r="D238" s="770"/>
      <c r="E238" s="771"/>
      <c r="F238" s="771"/>
      <c r="G238" s="771"/>
      <c r="H238" s="772"/>
      <c r="I238" s="647"/>
      <c r="J238" s="649"/>
      <c r="K238" s="649"/>
      <c r="L238" s="649"/>
      <c r="M238" s="648"/>
      <c r="N238" s="599"/>
      <c r="O238" s="643"/>
      <c r="P238" s="644"/>
      <c r="Q238" s="645"/>
      <c r="R238" s="599"/>
      <c r="S238" s="643"/>
      <c r="T238" s="646"/>
    </row>
    <row r="239" spans="2:20">
      <c r="B239" s="788" t="s">
        <v>700</v>
      </c>
      <c r="C239" s="670" t="s">
        <v>14</v>
      </c>
      <c r="D239" s="789"/>
      <c r="E239" s="790"/>
      <c r="F239" s="790"/>
      <c r="G239" s="790"/>
      <c r="H239" s="791"/>
      <c r="I239" s="792">
        <f>SUM(I237,I238)</f>
        <v>0</v>
      </c>
      <c r="J239" s="793">
        <f>SUM(J237,J238)</f>
        <v>0</v>
      </c>
      <c r="K239" s="793">
        <f>SUM(K237,K238)</f>
        <v>0</v>
      </c>
      <c r="L239" s="793">
        <f>SUM(L237,L238)</f>
        <v>0</v>
      </c>
      <c r="M239" s="794">
        <f>SUM(M237,M238)</f>
        <v>0</v>
      </c>
      <c r="N239" s="599"/>
      <c r="O239" s="622">
        <f>SUM(D239:G239)</f>
        <v>0</v>
      </c>
      <c r="P239" s="623">
        <f>SUM(H239)</f>
        <v>0</v>
      </c>
      <c r="Q239" s="624">
        <f>SUM(D239:H239)</f>
        <v>0</v>
      </c>
      <c r="R239" s="599"/>
      <c r="S239" s="622">
        <f>SUM(I239:M239)</f>
        <v>0</v>
      </c>
      <c r="T239" s="625" t="str">
        <f>IF(Q239&lt;&gt;0,(S239-Q239)/Q239,"0")</f>
        <v>0</v>
      </c>
    </row>
    <row r="240" spans="2:20" ht="13.5" thickBot="1">
      <c r="B240" s="795" t="s">
        <v>318</v>
      </c>
      <c r="C240" s="796"/>
      <c r="D240" s="797">
        <f t="shared" ref="D240:M240" si="33">SUM(D227,D231,D235,D239)</f>
        <v>0</v>
      </c>
      <c r="E240" s="797">
        <f t="shared" si="33"/>
        <v>0</v>
      </c>
      <c r="F240" s="797">
        <f t="shared" si="33"/>
        <v>0</v>
      </c>
      <c r="G240" s="797">
        <f t="shared" si="33"/>
        <v>0</v>
      </c>
      <c r="H240" s="797">
        <f t="shared" si="33"/>
        <v>0</v>
      </c>
      <c r="I240" s="800">
        <f t="shared" si="33"/>
        <v>0</v>
      </c>
      <c r="J240" s="800">
        <f t="shared" si="33"/>
        <v>0</v>
      </c>
      <c r="K240" s="800">
        <f t="shared" si="33"/>
        <v>0</v>
      </c>
      <c r="L240" s="800">
        <f t="shared" si="33"/>
        <v>0</v>
      </c>
      <c r="M240" s="801">
        <f t="shared" si="33"/>
        <v>0</v>
      </c>
      <c r="N240" s="599"/>
      <c r="O240" s="654">
        <f>SUM(O227,O231,O235,O239)</f>
        <v>0</v>
      </c>
      <c r="P240" s="655">
        <f>SUM(P227,P231,P235,P239)</f>
        <v>0</v>
      </c>
      <c r="Q240" s="656">
        <f>SUM(Q227,Q231,Q235,Q239)</f>
        <v>0</v>
      </c>
      <c r="R240" s="599"/>
      <c r="S240" s="654">
        <f>SUM(S227,S231,S235,S239)</f>
        <v>0</v>
      </c>
      <c r="T240" s="657" t="str">
        <f>IF(Q240&lt;&gt;0,(S240-Q240)/Q240,"0")</f>
        <v>0</v>
      </c>
    </row>
    <row r="241" spans="2:20">
      <c r="N241" s="599"/>
      <c r="R241" s="599"/>
    </row>
    <row r="243" spans="2:20">
      <c r="B243" s="658" t="s">
        <v>319</v>
      </c>
      <c r="C243" s="659"/>
      <c r="D243" s="660"/>
      <c r="E243" s="660"/>
      <c r="F243" s="660"/>
      <c r="G243" s="660"/>
      <c r="H243" s="660"/>
      <c r="I243" s="660"/>
      <c r="J243" s="660"/>
      <c r="K243" s="660"/>
      <c r="L243" s="660"/>
      <c r="M243" s="660"/>
      <c r="N243" s="599"/>
      <c r="O243" s="660"/>
      <c r="P243" s="660"/>
      <c r="Q243" s="660"/>
      <c r="R243" s="599"/>
      <c r="S243" s="660"/>
      <c r="T243" s="660"/>
    </row>
    <row r="244" spans="2:20" ht="13.5" thickBot="1">
      <c r="B244" s="658"/>
      <c r="C244" s="659"/>
      <c r="D244" s="660"/>
      <c r="E244" s="660"/>
      <c r="F244" s="660"/>
      <c r="G244" s="660"/>
      <c r="H244" s="660"/>
      <c r="I244" s="660"/>
      <c r="J244" s="660"/>
      <c r="K244" s="660"/>
      <c r="L244" s="660"/>
      <c r="M244" s="660"/>
      <c r="N244" s="599"/>
      <c r="O244" s="660"/>
      <c r="P244" s="660"/>
      <c r="Q244" s="660"/>
      <c r="R244" s="599"/>
      <c r="S244" s="660"/>
      <c r="T244" s="660"/>
    </row>
    <row r="245" spans="2:20">
      <c r="B245" s="1917" t="s">
        <v>140</v>
      </c>
      <c r="C245" s="1919" t="s">
        <v>31</v>
      </c>
      <c r="D245" s="602" t="s">
        <v>116</v>
      </c>
      <c r="E245" s="603"/>
      <c r="F245" s="603"/>
      <c r="G245" s="603"/>
      <c r="H245" s="604"/>
      <c r="I245" s="603" t="s">
        <v>117</v>
      </c>
      <c r="J245" s="605"/>
      <c r="K245" s="605"/>
      <c r="L245" s="605"/>
      <c r="M245" s="604"/>
      <c r="N245" s="599"/>
      <c r="O245" s="606" t="s">
        <v>116</v>
      </c>
      <c r="P245" s="607"/>
      <c r="Q245" s="608"/>
      <c r="R245" s="599"/>
      <c r="S245" s="606" t="s">
        <v>117</v>
      </c>
      <c r="T245" s="608"/>
    </row>
    <row r="246" spans="2:20">
      <c r="B246" s="1918"/>
      <c r="C246" s="1920"/>
      <c r="D246" s="610" t="s">
        <v>32</v>
      </c>
      <c r="E246" s="611" t="s">
        <v>33</v>
      </c>
      <c r="F246" s="611" t="s">
        <v>29</v>
      </c>
      <c r="G246" s="611" t="s">
        <v>34</v>
      </c>
      <c r="H246" s="612" t="s">
        <v>35</v>
      </c>
      <c r="I246" s="613" t="s">
        <v>118</v>
      </c>
      <c r="J246" s="611" t="s">
        <v>136</v>
      </c>
      <c r="K246" s="611" t="s">
        <v>137</v>
      </c>
      <c r="L246" s="611" t="s">
        <v>138</v>
      </c>
      <c r="M246" s="612" t="s">
        <v>139</v>
      </c>
      <c r="N246" s="599"/>
      <c r="O246" s="614" t="s">
        <v>126</v>
      </c>
      <c r="P246" s="615" t="s">
        <v>127</v>
      </c>
      <c r="Q246" s="616" t="s">
        <v>246</v>
      </c>
      <c r="R246" s="599"/>
      <c r="S246" s="614" t="s">
        <v>127</v>
      </c>
      <c r="T246" s="616" t="s">
        <v>128</v>
      </c>
    </row>
    <row r="247" spans="2:20">
      <c r="B247" s="661" t="s">
        <v>141</v>
      </c>
      <c r="C247" s="662"/>
      <c r="D247" s="663"/>
      <c r="E247" s="664"/>
      <c r="F247" s="664"/>
      <c r="G247" s="664"/>
      <c r="H247" s="665"/>
      <c r="I247" s="664"/>
      <c r="J247" s="664"/>
      <c r="K247" s="664"/>
      <c r="L247" s="664"/>
      <c r="M247" s="665"/>
      <c r="N247" s="599"/>
      <c r="O247" s="803"/>
      <c r="P247" s="804"/>
      <c r="Q247" s="805"/>
      <c r="R247" s="599"/>
      <c r="S247" s="806"/>
      <c r="T247" s="807"/>
    </row>
    <row r="248" spans="2:20">
      <c r="B248" s="669" t="s">
        <v>267</v>
      </c>
      <c r="C248" s="670" t="s">
        <v>14</v>
      </c>
      <c r="D248" s="770"/>
      <c r="E248" s="771"/>
      <c r="F248" s="771"/>
      <c r="G248" s="771"/>
      <c r="H248" s="772"/>
      <c r="I248" s="647"/>
      <c r="J248" s="649"/>
      <c r="K248" s="649"/>
      <c r="L248" s="649"/>
      <c r="M248" s="648"/>
      <c r="N248" s="599"/>
      <c r="O248" s="643"/>
      <c r="P248" s="644"/>
      <c r="Q248" s="645"/>
      <c r="R248" s="599"/>
      <c r="S248" s="643"/>
      <c r="T248" s="646"/>
    </row>
    <row r="249" spans="2:20">
      <c r="B249" s="669" t="s">
        <v>268</v>
      </c>
      <c r="C249" s="670"/>
      <c r="D249" s="770"/>
      <c r="E249" s="771"/>
      <c r="F249" s="771"/>
      <c r="G249" s="771"/>
      <c r="H249" s="772"/>
      <c r="I249" s="647"/>
      <c r="J249" s="649"/>
      <c r="K249" s="649"/>
      <c r="L249" s="649"/>
      <c r="M249" s="648"/>
      <c r="N249" s="599"/>
      <c r="O249" s="643"/>
      <c r="P249" s="644"/>
      <c r="Q249" s="645"/>
      <c r="R249" s="599"/>
      <c r="S249" s="643"/>
      <c r="T249" s="646"/>
    </row>
    <row r="250" spans="2:20">
      <c r="B250" s="677" t="s">
        <v>865</v>
      </c>
      <c r="C250" s="670" t="s">
        <v>14</v>
      </c>
      <c r="D250" s="632"/>
      <c r="E250" s="647"/>
      <c r="F250" s="647"/>
      <c r="G250" s="647"/>
      <c r="H250" s="648"/>
      <c r="I250" s="678">
        <f>SUM(I248:I249)</f>
        <v>0</v>
      </c>
      <c r="J250" s="623">
        <f>SUM(J248:J249)</f>
        <v>0</v>
      </c>
      <c r="K250" s="623">
        <f>SUM(K248:K249)</f>
        <v>0</v>
      </c>
      <c r="L250" s="623">
        <f>SUM(L248:L249)</f>
        <v>0</v>
      </c>
      <c r="M250" s="624">
        <f>SUM(M248:M249)</f>
        <v>0</v>
      </c>
      <c r="N250" s="599"/>
      <c r="O250" s="622">
        <f>SUM(D250:G250)</f>
        <v>0</v>
      </c>
      <c r="P250" s="623">
        <f>SUM(H250)</f>
        <v>0</v>
      </c>
      <c r="Q250" s="624">
        <f>SUM(D250:H250)</f>
        <v>0</v>
      </c>
      <c r="R250" s="599"/>
      <c r="S250" s="622">
        <f>SUM(I250:M250)</f>
        <v>0</v>
      </c>
      <c r="T250" s="625" t="str">
        <f>IF(Q250&lt;&gt;0,(S250-Q250)/Q250,"0")</f>
        <v>0</v>
      </c>
    </row>
    <row r="251" spans="2:20">
      <c r="B251" s="661" t="s">
        <v>320</v>
      </c>
      <c r="C251" s="679"/>
      <c r="D251" s="680"/>
      <c r="E251" s="681"/>
      <c r="F251" s="681"/>
      <c r="G251" s="681"/>
      <c r="H251" s="682"/>
      <c r="I251" s="681"/>
      <c r="J251" s="681"/>
      <c r="K251" s="681"/>
      <c r="L251" s="681"/>
      <c r="M251" s="682"/>
      <c r="N251" s="599"/>
      <c r="O251" s="806"/>
      <c r="P251" s="804"/>
      <c r="Q251" s="805"/>
      <c r="R251" s="599"/>
      <c r="S251" s="803"/>
      <c r="T251" s="805"/>
    </row>
    <row r="252" spans="2:20">
      <c r="B252" s="669" t="s">
        <v>269</v>
      </c>
      <c r="C252" s="670" t="s">
        <v>14</v>
      </c>
      <c r="D252" s="770"/>
      <c r="E252" s="771"/>
      <c r="F252" s="771"/>
      <c r="G252" s="771"/>
      <c r="H252" s="772"/>
      <c r="I252" s="647"/>
      <c r="J252" s="649"/>
      <c r="K252" s="649"/>
      <c r="L252" s="649"/>
      <c r="M252" s="648"/>
      <c r="N252" s="599"/>
      <c r="O252" s="643"/>
      <c r="P252" s="644"/>
      <c r="Q252" s="645"/>
      <c r="R252" s="599"/>
      <c r="S252" s="643"/>
      <c r="T252" s="646"/>
    </row>
    <row r="253" spans="2:20">
      <c r="B253" s="669" t="s">
        <v>270</v>
      </c>
      <c r="C253" s="670" t="s">
        <v>14</v>
      </c>
      <c r="D253" s="770"/>
      <c r="E253" s="771"/>
      <c r="F253" s="771"/>
      <c r="G253" s="771"/>
      <c r="H253" s="772"/>
      <c r="I253" s="647"/>
      <c r="J253" s="649"/>
      <c r="K253" s="649"/>
      <c r="L253" s="649"/>
      <c r="M253" s="648"/>
      <c r="N253" s="599"/>
      <c r="O253" s="643"/>
      <c r="P253" s="644"/>
      <c r="Q253" s="645"/>
      <c r="R253" s="599"/>
      <c r="S253" s="643"/>
      <c r="T253" s="646"/>
    </row>
    <row r="254" spans="2:20">
      <c r="B254" s="677" t="s">
        <v>866</v>
      </c>
      <c r="C254" s="670" t="s">
        <v>14</v>
      </c>
      <c r="D254" s="632"/>
      <c r="E254" s="647"/>
      <c r="F254" s="647"/>
      <c r="G254" s="647"/>
      <c r="H254" s="648"/>
      <c r="I254" s="678">
        <f>SUM(I252:I253)</f>
        <v>0</v>
      </c>
      <c r="J254" s="623">
        <f>SUM(J252:J253)</f>
        <v>0</v>
      </c>
      <c r="K254" s="623">
        <f>SUM(K252:K253)</f>
        <v>0</v>
      </c>
      <c r="L254" s="623">
        <f>SUM(L252:L253)</f>
        <v>0</v>
      </c>
      <c r="M254" s="624">
        <f>SUM(M252:M253)</f>
        <v>0</v>
      </c>
      <c r="N254" s="599"/>
      <c r="O254" s="622">
        <f>SUM(D254:G254)</f>
        <v>0</v>
      </c>
      <c r="P254" s="623">
        <f>SUM(H254)</f>
        <v>0</v>
      </c>
      <c r="Q254" s="624">
        <f>SUM(D254:H254)</f>
        <v>0</v>
      </c>
      <c r="R254" s="599"/>
      <c r="S254" s="622">
        <f>SUM(I254:M254)</f>
        <v>0</v>
      </c>
      <c r="T254" s="625" t="str">
        <f>IF(Q254&lt;&gt;0,(S254-Q254)/Q254,"0")</f>
        <v>0</v>
      </c>
    </row>
    <row r="255" spans="2:20">
      <c r="B255" s="661" t="s">
        <v>321</v>
      </c>
      <c r="C255" s="679"/>
      <c r="D255" s="680"/>
      <c r="E255" s="681"/>
      <c r="F255" s="681"/>
      <c r="G255" s="681"/>
      <c r="H255" s="682"/>
      <c r="I255" s="681"/>
      <c r="J255" s="681"/>
      <c r="K255" s="681"/>
      <c r="L255" s="681"/>
      <c r="M255" s="682"/>
      <c r="N255" s="599"/>
      <c r="O255" s="803"/>
      <c r="P255" s="804"/>
      <c r="Q255" s="805"/>
      <c r="R255" s="599"/>
      <c r="S255" s="803"/>
      <c r="T255" s="805"/>
    </row>
    <row r="256" spans="2:20">
      <c r="B256" s="669" t="s">
        <v>271</v>
      </c>
      <c r="C256" s="670" t="s">
        <v>14</v>
      </c>
      <c r="D256" s="770"/>
      <c r="E256" s="771"/>
      <c r="F256" s="771"/>
      <c r="G256" s="771"/>
      <c r="H256" s="772"/>
      <c r="I256" s="647"/>
      <c r="J256" s="649"/>
      <c r="K256" s="649"/>
      <c r="L256" s="649"/>
      <c r="M256" s="648"/>
      <c r="N256" s="599"/>
      <c r="O256" s="643"/>
      <c r="P256" s="644"/>
      <c r="Q256" s="645"/>
      <c r="R256" s="599"/>
      <c r="S256" s="643"/>
      <c r="T256" s="646"/>
    </row>
    <row r="257" spans="1:20">
      <c r="B257" s="669" t="s">
        <v>272</v>
      </c>
      <c r="C257" s="670" t="s">
        <v>14</v>
      </c>
      <c r="D257" s="770"/>
      <c r="E257" s="771"/>
      <c r="F257" s="771"/>
      <c r="G257" s="771"/>
      <c r="H257" s="772"/>
      <c r="I257" s="647"/>
      <c r="J257" s="649"/>
      <c r="K257" s="649"/>
      <c r="L257" s="649"/>
      <c r="M257" s="648"/>
      <c r="N257" s="599"/>
      <c r="O257" s="643"/>
      <c r="P257" s="644"/>
      <c r="Q257" s="645"/>
      <c r="R257" s="599"/>
      <c r="S257" s="643"/>
      <c r="T257" s="646"/>
    </row>
    <row r="258" spans="1:20">
      <c r="B258" s="677" t="s">
        <v>867</v>
      </c>
      <c r="C258" s="670" t="s">
        <v>14</v>
      </c>
      <c r="D258" s="632"/>
      <c r="E258" s="647"/>
      <c r="F258" s="647"/>
      <c r="G258" s="647"/>
      <c r="H258" s="648"/>
      <c r="I258" s="678">
        <f>SUM(I256:I257)</f>
        <v>0</v>
      </c>
      <c r="J258" s="623">
        <f>SUM(J256:J257)</f>
        <v>0</v>
      </c>
      <c r="K258" s="623">
        <f>SUM(K256:K257)</f>
        <v>0</v>
      </c>
      <c r="L258" s="623">
        <f>SUM(L256:L257)</f>
        <v>0</v>
      </c>
      <c r="M258" s="624">
        <f>SUM(M256:M257)</f>
        <v>0</v>
      </c>
      <c r="N258" s="599"/>
      <c r="O258" s="622">
        <f>SUM(D258:G258)</f>
        <v>0</v>
      </c>
      <c r="P258" s="623">
        <f>SUM(H258)</f>
        <v>0</v>
      </c>
      <c r="Q258" s="624">
        <f>SUM(D258:H258)</f>
        <v>0</v>
      </c>
      <c r="R258" s="599"/>
      <c r="S258" s="622">
        <f>SUM(I258:M258)</f>
        <v>0</v>
      </c>
      <c r="T258" s="625" t="str">
        <f>IF(Q258&lt;&gt;0,(S258-Q258)/Q258,"0")</f>
        <v>0</v>
      </c>
    </row>
    <row r="259" spans="1:20">
      <c r="B259" s="661" t="s">
        <v>322</v>
      </c>
      <c r="C259" s="679"/>
      <c r="D259" s="680"/>
      <c r="E259" s="681"/>
      <c r="F259" s="681"/>
      <c r="G259" s="681"/>
      <c r="H259" s="682"/>
      <c r="I259" s="681"/>
      <c r="J259" s="681"/>
      <c r="K259" s="681"/>
      <c r="L259" s="681"/>
      <c r="M259" s="682"/>
      <c r="N259" s="599"/>
      <c r="O259" s="803"/>
      <c r="P259" s="804"/>
      <c r="Q259" s="805"/>
      <c r="R259" s="599"/>
      <c r="S259" s="803"/>
      <c r="T259" s="805"/>
    </row>
    <row r="260" spans="1:20">
      <c r="B260" s="669" t="s">
        <v>273</v>
      </c>
      <c r="C260" s="670" t="s">
        <v>14</v>
      </c>
      <c r="D260" s="770"/>
      <c r="E260" s="771"/>
      <c r="F260" s="771"/>
      <c r="G260" s="771"/>
      <c r="H260" s="772"/>
      <c r="I260" s="647"/>
      <c r="J260" s="649"/>
      <c r="K260" s="649"/>
      <c r="L260" s="649"/>
      <c r="M260" s="648"/>
      <c r="N260" s="599"/>
      <c r="O260" s="643"/>
      <c r="P260" s="644"/>
      <c r="Q260" s="645"/>
      <c r="R260" s="599"/>
      <c r="S260" s="643"/>
      <c r="T260" s="646"/>
    </row>
    <row r="261" spans="1:20">
      <c r="B261" s="669" t="s">
        <v>274</v>
      </c>
      <c r="C261" s="670" t="s">
        <v>14</v>
      </c>
      <c r="D261" s="770"/>
      <c r="E261" s="771"/>
      <c r="F261" s="771"/>
      <c r="G261" s="771"/>
      <c r="H261" s="772"/>
      <c r="I261" s="647"/>
      <c r="J261" s="649"/>
      <c r="K261" s="649"/>
      <c r="L261" s="649"/>
      <c r="M261" s="648"/>
      <c r="N261" s="599"/>
      <c r="O261" s="643"/>
      <c r="P261" s="644"/>
      <c r="Q261" s="645"/>
      <c r="R261" s="599"/>
      <c r="S261" s="643"/>
      <c r="T261" s="646"/>
    </row>
    <row r="262" spans="1:20">
      <c r="B262" s="788" t="s">
        <v>700</v>
      </c>
      <c r="C262" s="670" t="s">
        <v>14</v>
      </c>
      <c r="D262" s="789"/>
      <c r="E262" s="790"/>
      <c r="F262" s="790"/>
      <c r="G262" s="790"/>
      <c r="H262" s="791"/>
      <c r="I262" s="792">
        <f>SUM(I260:I261)</f>
        <v>0</v>
      </c>
      <c r="J262" s="793">
        <f>SUM(J260:J261)</f>
        <v>0</v>
      </c>
      <c r="K262" s="793">
        <f>SUM(K260:K261)</f>
        <v>0</v>
      </c>
      <c r="L262" s="793">
        <f>SUM(L260:L261)</f>
        <v>0</v>
      </c>
      <c r="M262" s="794">
        <f>SUM(M260:M261)</f>
        <v>0</v>
      </c>
      <c r="N262" s="599"/>
      <c r="O262" s="622">
        <f>SUM(D262:G262)</f>
        <v>0</v>
      </c>
      <c r="P262" s="623">
        <f>SUM(H262)</f>
        <v>0</v>
      </c>
      <c r="Q262" s="624">
        <f>SUM(D262:H262)</f>
        <v>0</v>
      </c>
      <c r="R262" s="599"/>
      <c r="S262" s="622">
        <f>SUM(I262:M262)</f>
        <v>0</v>
      </c>
      <c r="T262" s="625" t="str">
        <f>IF(Q262&lt;&gt;0,(S262-Q262)/Q262,"0")</f>
        <v>0</v>
      </c>
    </row>
    <row r="263" spans="1:20" ht="13.5" thickBot="1">
      <c r="B263" s="808" t="s">
        <v>323</v>
      </c>
      <c r="C263" s="796"/>
      <c r="D263" s="797">
        <f t="shared" ref="D263:M263" si="34">SUM(D250,D254,D258,D262)</f>
        <v>0</v>
      </c>
      <c r="E263" s="797">
        <f t="shared" si="34"/>
        <v>0</v>
      </c>
      <c r="F263" s="797">
        <f t="shared" si="34"/>
        <v>0</v>
      </c>
      <c r="G263" s="797">
        <f t="shared" si="34"/>
        <v>0</v>
      </c>
      <c r="H263" s="797">
        <f t="shared" si="34"/>
        <v>0</v>
      </c>
      <c r="I263" s="798">
        <f t="shared" si="34"/>
        <v>0</v>
      </c>
      <c r="J263" s="798">
        <f t="shared" si="34"/>
        <v>0</v>
      </c>
      <c r="K263" s="798">
        <f t="shared" si="34"/>
        <v>0</v>
      </c>
      <c r="L263" s="798">
        <f t="shared" si="34"/>
        <v>0</v>
      </c>
      <c r="M263" s="799">
        <f t="shared" si="34"/>
        <v>0</v>
      </c>
      <c r="N263" s="599"/>
      <c r="O263" s="654">
        <f>SUM(O250,O254,O258,O262)</f>
        <v>0</v>
      </c>
      <c r="P263" s="655">
        <f>SUM(P250,P254,P258,P262)</f>
        <v>0</v>
      </c>
      <c r="Q263" s="656">
        <f>SUM(Q250,Q254,Q258,Q262)</f>
        <v>0</v>
      </c>
      <c r="R263" s="599"/>
      <c r="S263" s="654">
        <f>SUM(S250,S254,S258,S262)</f>
        <v>0</v>
      </c>
      <c r="T263" s="657" t="str">
        <f>IF(Q263&lt;&gt;0,(S263-Q263)/Q263,"0")</f>
        <v>0</v>
      </c>
    </row>
    <row r="266" spans="1:20">
      <c r="D266" s="812">
        <f>SUM(D240:M240) - SUM(D263:M263)</f>
        <v>0</v>
      </c>
    </row>
    <row r="267" spans="1:20">
      <c r="A267" s="809"/>
      <c r="B267" s="810"/>
      <c r="C267" s="811"/>
      <c r="D267" s="701"/>
      <c r="E267" s="701"/>
      <c r="F267" s="701"/>
      <c r="G267" s="701"/>
      <c r="H267" s="701"/>
      <c r="I267" s="701"/>
      <c r="J267" s="701"/>
      <c r="K267" s="701"/>
      <c r="L267" s="701"/>
      <c r="M267" s="701"/>
      <c r="N267" s="701"/>
    </row>
  </sheetData>
  <mergeCells count="18">
    <mergeCell ref="B26:B27"/>
    <mergeCell ref="C26:C27"/>
    <mergeCell ref="C18:C19"/>
    <mergeCell ref="C8:C9"/>
    <mergeCell ref="B48:B49"/>
    <mergeCell ref="C48:C49"/>
    <mergeCell ref="C79:C80"/>
    <mergeCell ref="B79:B80"/>
    <mergeCell ref="B110:B111"/>
    <mergeCell ref="C110:C111"/>
    <mergeCell ref="B143:B144"/>
    <mergeCell ref="C143:C144"/>
    <mergeCell ref="B182:B183"/>
    <mergeCell ref="C182:C183"/>
    <mergeCell ref="B221:B222"/>
    <mergeCell ref="C221:C222"/>
    <mergeCell ref="B245:B246"/>
    <mergeCell ref="C245:C246"/>
  </mergeCells>
  <phoneticPr fontId="47"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Q131"/>
  <sheetViews>
    <sheetView zoomScale="85" zoomScaleNormal="85" zoomScalePageLayoutView="85" workbookViewId="0">
      <selection sqref="A1:XFD1048576"/>
    </sheetView>
  </sheetViews>
  <sheetFormatPr defaultRowHeight="12.75"/>
  <cols>
    <col min="1" max="1" width="9.5703125" style="254" customWidth="1"/>
    <col min="2" max="2" width="4.7109375" style="254" customWidth="1"/>
    <col min="3" max="3" width="39" style="254" customWidth="1"/>
    <col min="4" max="13" width="11" style="254" customWidth="1"/>
    <col min="14" max="36" width="15.42578125" style="254" customWidth="1"/>
    <col min="37" max="37" width="109.28515625" style="254" customWidth="1"/>
    <col min="38" max="16384" width="9.140625" style="254"/>
  </cols>
  <sheetData>
    <row r="1" spans="1:36" s="871" customFormat="1" ht="26.25">
      <c r="A1" s="813" t="s">
        <v>167</v>
      </c>
      <c r="D1" s="813"/>
      <c r="E1" s="872"/>
      <c r="F1" s="873"/>
      <c r="G1" s="873"/>
      <c r="I1" s="874"/>
      <c r="J1" s="874"/>
      <c r="L1" s="874"/>
    </row>
    <row r="2" spans="1:36" s="871" customFormat="1" ht="18">
      <c r="A2" s="875" t="s">
        <v>168</v>
      </c>
      <c r="E2" s="876"/>
    </row>
    <row r="3" spans="1:36" s="878" customFormat="1" ht="18.75" thickBot="1">
      <c r="A3" s="877" t="s">
        <v>741</v>
      </c>
      <c r="D3" s="877"/>
      <c r="E3" s="879"/>
    </row>
    <row r="5" spans="1:36" s="1130" customFormat="1" ht="15.75" customHeight="1">
      <c r="B5" s="1460" t="s">
        <v>742</v>
      </c>
      <c r="C5" s="1460"/>
    </row>
    <row r="6" spans="1:36" ht="13.5" thickBot="1">
      <c r="B6" s="1490"/>
      <c r="C6" s="1490"/>
    </row>
    <row r="7" spans="1:36" ht="15.75" customHeight="1">
      <c r="B7" s="1490"/>
      <c r="C7" s="1937"/>
      <c r="D7" s="1461" t="s">
        <v>116</v>
      </c>
      <c r="E7" s="1462"/>
      <c r="F7" s="1462"/>
      <c r="G7" s="1462"/>
      <c r="H7" s="317"/>
      <c r="I7" s="1462" t="s">
        <v>117</v>
      </c>
      <c r="J7" s="318"/>
      <c r="K7" s="318"/>
      <c r="L7" s="318"/>
      <c r="M7" s="317"/>
      <c r="N7" s="258"/>
      <c r="O7" s="1927" t="s">
        <v>116</v>
      </c>
      <c r="P7" s="1942"/>
      <c r="Q7" s="1928"/>
      <c r="R7" s="320"/>
      <c r="S7" s="1927" t="s">
        <v>117</v>
      </c>
      <c r="T7" s="1928"/>
      <c r="U7" s="1557"/>
      <c r="W7" s="1558"/>
      <c r="X7" s="1558"/>
      <c r="Y7" s="1558"/>
      <c r="Z7" s="1558"/>
      <c r="AA7" s="1558"/>
      <c r="AB7" s="1558"/>
      <c r="AC7" s="1558"/>
      <c r="AD7" s="1558"/>
      <c r="AE7" s="1558"/>
      <c r="AF7" s="1558"/>
      <c r="AG7" s="1558"/>
      <c r="AH7" s="1558"/>
      <c r="AI7" s="1558"/>
      <c r="AJ7" s="1558"/>
    </row>
    <row r="8" spans="1:36" ht="15.75" customHeight="1">
      <c r="C8" s="1938"/>
      <c r="D8" s="1470" t="s">
        <v>32</v>
      </c>
      <c r="E8" s="1471" t="s">
        <v>33</v>
      </c>
      <c r="F8" s="1471" t="s">
        <v>29</v>
      </c>
      <c r="G8" s="1471" t="s">
        <v>34</v>
      </c>
      <c r="H8" s="1472" t="s">
        <v>35</v>
      </c>
      <c r="I8" s="1559" t="s">
        <v>118</v>
      </c>
      <c r="J8" s="1471" t="s">
        <v>136</v>
      </c>
      <c r="K8" s="1471" t="s">
        <v>137</v>
      </c>
      <c r="L8" s="1471" t="s">
        <v>138</v>
      </c>
      <c r="M8" s="1472" t="s">
        <v>139</v>
      </c>
      <c r="N8" s="258"/>
      <c r="O8" s="1560" t="s">
        <v>126</v>
      </c>
      <c r="P8" s="1561" t="s">
        <v>127</v>
      </c>
      <c r="Q8" s="1562" t="s">
        <v>246</v>
      </c>
      <c r="R8" s="320"/>
      <c r="S8" s="1560" t="s">
        <v>127</v>
      </c>
      <c r="T8" s="1562" t="s">
        <v>128</v>
      </c>
      <c r="U8" s="1557"/>
      <c r="W8" s="1563"/>
      <c r="X8" s="1563"/>
      <c r="Y8" s="1563"/>
      <c r="Z8" s="1563"/>
      <c r="AA8" s="1563"/>
      <c r="AB8" s="1563"/>
      <c r="AC8" s="1563"/>
      <c r="AD8" s="1563"/>
      <c r="AE8" s="1563"/>
      <c r="AF8" s="1563"/>
      <c r="AG8" s="1563"/>
      <c r="AH8" s="1563"/>
      <c r="AI8" s="1563"/>
      <c r="AJ8" s="1563"/>
    </row>
    <row r="9" spans="1:36" ht="15.75" customHeight="1">
      <c r="C9" s="1939"/>
      <c r="D9" s="1564" t="s">
        <v>735</v>
      </c>
      <c r="E9" s="1565" t="s">
        <v>735</v>
      </c>
      <c r="F9" s="1565" t="s">
        <v>735</v>
      </c>
      <c r="G9" s="1565" t="s">
        <v>735</v>
      </c>
      <c r="H9" s="1566" t="s">
        <v>735</v>
      </c>
      <c r="I9" s="1567" t="s">
        <v>735</v>
      </c>
      <c r="J9" s="1565" t="s">
        <v>735</v>
      </c>
      <c r="K9" s="1565" t="s">
        <v>735</v>
      </c>
      <c r="L9" s="1565" t="s">
        <v>735</v>
      </c>
      <c r="M9" s="1566" t="s">
        <v>735</v>
      </c>
      <c r="N9" s="326"/>
      <c r="O9" s="1564" t="s">
        <v>735</v>
      </c>
      <c r="P9" s="1565" t="s">
        <v>735</v>
      </c>
      <c r="Q9" s="1566" t="s">
        <v>735</v>
      </c>
      <c r="R9" s="320"/>
      <c r="S9" s="1564" t="s">
        <v>735</v>
      </c>
      <c r="T9" s="1566" t="s">
        <v>735</v>
      </c>
      <c r="U9" s="1568"/>
      <c r="W9" s="1568"/>
      <c r="X9" s="1568"/>
      <c r="Y9" s="1568"/>
      <c r="Z9" s="1568"/>
      <c r="AA9" s="1568"/>
      <c r="AB9" s="1568"/>
      <c r="AC9" s="1568"/>
      <c r="AD9" s="1568"/>
      <c r="AE9" s="1568"/>
      <c r="AF9" s="1568"/>
      <c r="AG9" s="1568"/>
      <c r="AH9" s="1568"/>
      <c r="AI9" s="1568"/>
      <c r="AJ9" s="1568"/>
    </row>
    <row r="10" spans="1:36" ht="15.75" customHeight="1">
      <c r="C10" s="1532" t="s">
        <v>743</v>
      </c>
      <c r="D10" s="337"/>
      <c r="E10" s="338"/>
      <c r="F10" s="338"/>
      <c r="G10" s="338"/>
      <c r="H10" s="339"/>
      <c r="I10" s="338"/>
      <c r="J10" s="338"/>
      <c r="K10" s="338"/>
      <c r="L10" s="338"/>
      <c r="M10" s="339"/>
      <c r="N10" s="326"/>
      <c r="O10" s="337"/>
      <c r="P10" s="323"/>
      <c r="Q10" s="324"/>
      <c r="R10" s="320"/>
      <c r="S10" s="337"/>
      <c r="T10" s="530"/>
      <c r="U10" s="1569"/>
      <c r="W10" s="1569"/>
      <c r="X10" s="1569"/>
      <c r="Y10" s="1569"/>
      <c r="Z10" s="1569"/>
      <c r="AA10" s="1569"/>
      <c r="AB10" s="1569"/>
      <c r="AC10" s="1569"/>
      <c r="AD10" s="1569"/>
      <c r="AE10" s="1569"/>
      <c r="AF10" s="1569"/>
      <c r="AG10" s="1569"/>
      <c r="AH10" s="1569"/>
      <c r="AI10" s="1569"/>
      <c r="AJ10" s="1569"/>
    </row>
    <row r="11" spans="1:36" ht="15.75" customHeight="1">
      <c r="C11" s="1570" t="s">
        <v>848</v>
      </c>
      <c r="D11" s="305">
        <v>1.1284494913874921</v>
      </c>
      <c r="E11" s="306">
        <v>1.3414500463147323</v>
      </c>
      <c r="F11" s="306">
        <v>0.79348913117546849</v>
      </c>
      <c r="G11" s="306">
        <v>1.0013579221453288</v>
      </c>
      <c r="H11" s="307">
        <v>1.1085926989968014</v>
      </c>
      <c r="I11" s="306">
        <v>1.0537833919966832</v>
      </c>
      <c r="J11" s="308">
        <v>1.0312306586243754</v>
      </c>
      <c r="K11" s="308">
        <v>1.0289736351869729</v>
      </c>
      <c r="L11" s="308">
        <v>1.129259125021439</v>
      </c>
      <c r="M11" s="307">
        <v>1.1401863611956096</v>
      </c>
      <c r="N11" s="340"/>
      <c r="O11" s="255">
        <f t="shared" ref="O11:O16" si="0">SUM(D11:G11)</f>
        <v>4.2647465910230213</v>
      </c>
      <c r="P11" s="256">
        <f t="shared" ref="P11:P16" si="1">H11</f>
        <v>1.1085926989968014</v>
      </c>
      <c r="Q11" s="257">
        <f t="shared" ref="Q11:Q19" si="2">SUM(D11:H11)</f>
        <v>5.3733392900198229</v>
      </c>
      <c r="R11" s="320"/>
      <c r="S11" s="255">
        <f t="shared" ref="S11:S16" si="3">SUM(I11:M11)</f>
        <v>5.3834331720250796</v>
      </c>
      <c r="T11" s="1477">
        <f t="shared" ref="T11:T16" si="4">IF(Q11&lt;&gt;0,(S11-Q11)/Q11,"0")</f>
        <v>1.8785119383778017E-3</v>
      </c>
      <c r="U11" s="1571"/>
      <c r="W11" s="1571"/>
      <c r="X11" s="1571"/>
      <c r="Y11" s="1571"/>
      <c r="Z11" s="1571"/>
      <c r="AA11" s="1571"/>
      <c r="AB11" s="1571"/>
      <c r="AC11" s="1571"/>
      <c r="AD11" s="1571"/>
      <c r="AE11" s="1571"/>
      <c r="AF11" s="1571"/>
      <c r="AG11" s="1571"/>
      <c r="AH11" s="1571"/>
      <c r="AI11" s="1571"/>
      <c r="AJ11" s="1571"/>
    </row>
    <row r="12" spans="1:36" ht="15.75" customHeight="1">
      <c r="C12" s="1570" t="s">
        <v>843</v>
      </c>
      <c r="D12" s="305">
        <v>2.5732252698082219</v>
      </c>
      <c r="E12" s="306">
        <v>4.2307270691464636</v>
      </c>
      <c r="F12" s="306">
        <v>4.5625625042589437</v>
      </c>
      <c r="G12" s="306">
        <v>1.8914538529411764</v>
      </c>
      <c r="H12" s="307">
        <v>1.9954668581942427</v>
      </c>
      <c r="I12" s="306">
        <v>2.9505934975907131</v>
      </c>
      <c r="J12" s="308">
        <v>2.9905689100106878</v>
      </c>
      <c r="K12" s="308">
        <v>2.984023542042221</v>
      </c>
      <c r="L12" s="308">
        <v>3.0797976136948333</v>
      </c>
      <c r="M12" s="307">
        <v>3.3169057780235915</v>
      </c>
      <c r="N12" s="340"/>
      <c r="O12" s="255">
        <f t="shared" si="0"/>
        <v>13.257968696154805</v>
      </c>
      <c r="P12" s="256">
        <f t="shared" si="1"/>
        <v>1.9954668581942427</v>
      </c>
      <c r="Q12" s="257">
        <f t="shared" si="2"/>
        <v>15.253435554349048</v>
      </c>
      <c r="R12" s="320"/>
      <c r="S12" s="255">
        <f t="shared" si="3"/>
        <v>15.321889341362045</v>
      </c>
      <c r="T12" s="1477">
        <f t="shared" si="4"/>
        <v>4.4877619057746877E-3</v>
      </c>
      <c r="U12" s="1571"/>
      <c r="W12" s="1571"/>
      <c r="X12" s="1571"/>
      <c r="Y12" s="1571"/>
      <c r="Z12" s="1571"/>
      <c r="AA12" s="1571"/>
      <c r="AB12" s="1571"/>
      <c r="AC12" s="1571"/>
      <c r="AD12" s="1571"/>
      <c r="AE12" s="1571"/>
      <c r="AF12" s="1571"/>
      <c r="AG12" s="1571"/>
      <c r="AH12" s="1571"/>
      <c r="AI12" s="1571"/>
      <c r="AJ12" s="1571"/>
    </row>
    <row r="13" spans="1:36" ht="15.75" customHeight="1">
      <c r="C13" s="1570" t="s">
        <v>844</v>
      </c>
      <c r="D13" s="305">
        <v>2.7728870482237062</v>
      </c>
      <c r="E13" s="306">
        <v>8.771019533596327</v>
      </c>
      <c r="F13" s="306">
        <v>8.2324497359454867</v>
      </c>
      <c r="G13" s="306">
        <v>12.57260502249135</v>
      </c>
      <c r="H13" s="307">
        <v>11.751082609366092</v>
      </c>
      <c r="I13" s="306">
        <v>16.649777593547597</v>
      </c>
      <c r="J13" s="308">
        <v>20.830859304212382</v>
      </c>
      <c r="K13" s="308">
        <v>11.01001789650061</v>
      </c>
      <c r="L13" s="308">
        <v>10.779291647931917</v>
      </c>
      <c r="M13" s="307">
        <v>5.3899718892883355</v>
      </c>
      <c r="N13" s="340"/>
      <c r="O13" s="255">
        <f t="shared" si="0"/>
        <v>32.348961340256871</v>
      </c>
      <c r="P13" s="256">
        <f t="shared" si="1"/>
        <v>11.751082609366092</v>
      </c>
      <c r="Q13" s="257">
        <f t="shared" si="2"/>
        <v>44.100043949622965</v>
      </c>
      <c r="R13" s="320"/>
      <c r="S13" s="255">
        <f t="shared" si="3"/>
        <v>64.659918331480839</v>
      </c>
      <c r="T13" s="1477">
        <f t="shared" si="4"/>
        <v>0.46620983882338402</v>
      </c>
      <c r="U13" s="1571"/>
      <c r="W13" s="1571"/>
      <c r="X13" s="1571"/>
      <c r="Y13" s="1571"/>
      <c r="Z13" s="1571"/>
      <c r="AA13" s="1571"/>
      <c r="AB13" s="1571"/>
      <c r="AC13" s="1571"/>
      <c r="AD13" s="1571"/>
      <c r="AE13" s="1571"/>
      <c r="AF13" s="1571"/>
      <c r="AG13" s="1571"/>
      <c r="AH13" s="1571"/>
      <c r="AI13" s="1571"/>
      <c r="AJ13" s="1571"/>
    </row>
    <row r="14" spans="1:36" ht="15.75" customHeight="1">
      <c r="C14" s="1570" t="s">
        <v>787</v>
      </c>
      <c r="D14" s="305">
        <v>9.3578625829313111</v>
      </c>
      <c r="E14" s="306">
        <v>5.8817425107645951</v>
      </c>
      <c r="F14" s="306">
        <v>1.7853505451448042</v>
      </c>
      <c r="G14" s="306">
        <v>3.2265977491349478</v>
      </c>
      <c r="H14" s="307">
        <v>17.51576464414946</v>
      </c>
      <c r="I14" s="306">
        <v>6.2173220127804321</v>
      </c>
      <c r="J14" s="308">
        <v>5.0530302272594394</v>
      </c>
      <c r="K14" s="308">
        <v>14.302733529098925</v>
      </c>
      <c r="L14" s="308">
        <v>14.988348386648187</v>
      </c>
      <c r="M14" s="307">
        <v>21.145274334900392</v>
      </c>
      <c r="N14" s="340"/>
      <c r="O14" s="255">
        <f t="shared" si="0"/>
        <v>20.251553387975662</v>
      </c>
      <c r="P14" s="256">
        <f t="shared" si="1"/>
        <v>17.51576464414946</v>
      </c>
      <c r="Q14" s="257">
        <f t="shared" si="2"/>
        <v>37.767318032125118</v>
      </c>
      <c r="R14" s="320"/>
      <c r="S14" s="255">
        <f t="shared" si="3"/>
        <v>61.706708490687376</v>
      </c>
      <c r="T14" s="1477">
        <f t="shared" si="4"/>
        <v>0.6338652492665553</v>
      </c>
      <c r="U14" s="1571"/>
      <c r="W14" s="1571" t="s">
        <v>859</v>
      </c>
      <c r="X14" s="1571"/>
      <c r="Y14" s="1571"/>
      <c r="Z14" s="1571"/>
      <c r="AA14" s="1571"/>
      <c r="AB14" s="1571"/>
      <c r="AC14" s="1571"/>
      <c r="AD14" s="1571"/>
      <c r="AE14" s="1571"/>
      <c r="AF14" s="1571"/>
      <c r="AG14" s="1571"/>
      <c r="AH14" s="1571"/>
      <c r="AI14" s="1571"/>
      <c r="AJ14" s="1571"/>
    </row>
    <row r="15" spans="1:36" ht="15.75" customHeight="1">
      <c r="C15" s="1498" t="s">
        <v>633</v>
      </c>
      <c r="D15" s="309"/>
      <c r="E15" s="310"/>
      <c r="F15" s="310"/>
      <c r="G15" s="306">
        <v>0</v>
      </c>
      <c r="H15" s="307">
        <v>0</v>
      </c>
      <c r="I15" s="306">
        <v>0</v>
      </c>
      <c r="J15" s="308">
        <v>0</v>
      </c>
      <c r="K15" s="308">
        <v>0</v>
      </c>
      <c r="L15" s="308">
        <v>0</v>
      </c>
      <c r="M15" s="307">
        <v>0</v>
      </c>
      <c r="N15" s="341"/>
      <c r="O15" s="255">
        <f t="shared" si="0"/>
        <v>0</v>
      </c>
      <c r="P15" s="256">
        <f t="shared" si="1"/>
        <v>0</v>
      </c>
      <c r="Q15" s="257">
        <f>SUM(D15:H15)</f>
        <v>0</v>
      </c>
      <c r="R15" s="320"/>
      <c r="S15" s="255">
        <f t="shared" si="3"/>
        <v>0</v>
      </c>
      <c r="T15" s="1477" t="str">
        <f t="shared" si="4"/>
        <v>0</v>
      </c>
      <c r="U15" s="1571"/>
      <c r="W15" s="1571"/>
      <c r="X15" s="1571"/>
      <c r="Y15" s="1571"/>
      <c r="Z15" s="1571"/>
      <c r="AA15" s="1571"/>
      <c r="AB15" s="1571"/>
      <c r="AC15" s="1571"/>
      <c r="AD15" s="1571"/>
      <c r="AE15" s="1571"/>
      <c r="AF15" s="1571"/>
      <c r="AG15" s="1571"/>
      <c r="AH15" s="1571"/>
      <c r="AI15" s="1571"/>
      <c r="AJ15" s="1571"/>
    </row>
    <row r="16" spans="1:36" ht="15.75" customHeight="1">
      <c r="C16" s="1498" t="s">
        <v>246</v>
      </c>
      <c r="D16" s="1482">
        <v>15.832424392350731</v>
      </c>
      <c r="E16" s="1485">
        <v>20.224939159822117</v>
      </c>
      <c r="F16" s="1485">
        <v>15.373851916524703</v>
      </c>
      <c r="G16" s="1485">
        <v>18.692014546712805</v>
      </c>
      <c r="H16" s="1484">
        <v>32.3709068107066</v>
      </c>
      <c r="I16" s="1485">
        <v>26.871476495915427</v>
      </c>
      <c r="J16" s="1483">
        <v>29.905689100106883</v>
      </c>
      <c r="K16" s="1483">
        <v>29.325748602828728</v>
      </c>
      <c r="L16" s="1483">
        <v>29.976696773296375</v>
      </c>
      <c r="M16" s="1484">
        <v>30.992338363407928</v>
      </c>
      <c r="N16" s="342"/>
      <c r="O16" s="1482">
        <f t="shared" si="0"/>
        <v>70.123230015410343</v>
      </c>
      <c r="P16" s="1483">
        <f t="shared" si="1"/>
        <v>32.3709068107066</v>
      </c>
      <c r="Q16" s="1484">
        <f t="shared" si="2"/>
        <v>102.49413682611694</v>
      </c>
      <c r="R16" s="320"/>
      <c r="S16" s="1482">
        <f t="shared" si="3"/>
        <v>147.07194933555533</v>
      </c>
      <c r="T16" s="1572">
        <f t="shared" si="4"/>
        <v>0.43493036665175699</v>
      </c>
      <c r="U16" s="1573"/>
      <c r="W16" s="1573"/>
      <c r="X16" s="1573"/>
      <c r="Y16" s="1573"/>
      <c r="Z16" s="1573"/>
      <c r="AA16" s="1573"/>
      <c r="AB16" s="1573"/>
      <c r="AC16" s="1573"/>
      <c r="AD16" s="1573"/>
      <c r="AE16" s="1573"/>
      <c r="AF16" s="1573"/>
      <c r="AG16" s="1573"/>
      <c r="AH16" s="1573"/>
      <c r="AI16" s="1573"/>
      <c r="AJ16" s="1573"/>
    </row>
    <row r="17" spans="1:36" ht="15.75" customHeight="1">
      <c r="C17" s="1498"/>
      <c r="D17" s="1574"/>
      <c r="E17" s="1575"/>
      <c r="F17" s="1575"/>
      <c r="G17" s="1575"/>
      <c r="H17" s="1576"/>
      <c r="I17" s="1575"/>
      <c r="J17" s="1575"/>
      <c r="K17" s="1575"/>
      <c r="L17" s="1575"/>
      <c r="M17" s="1576"/>
      <c r="N17" s="340"/>
      <c r="O17" s="343"/>
      <c r="P17" s="344"/>
      <c r="Q17" s="345"/>
      <c r="R17" s="320"/>
      <c r="S17" s="343"/>
      <c r="T17" s="1577"/>
      <c r="U17" s="1571"/>
      <c r="W17" s="1571"/>
      <c r="X17" s="1571"/>
      <c r="Y17" s="1571"/>
      <c r="Z17" s="1571"/>
      <c r="AA17" s="1571"/>
      <c r="AB17" s="1571"/>
      <c r="AC17" s="1571"/>
      <c r="AD17" s="1571"/>
      <c r="AE17" s="1571"/>
      <c r="AF17" s="1571"/>
      <c r="AG17" s="1571"/>
      <c r="AH17" s="1571"/>
      <c r="AI17" s="1571"/>
      <c r="AJ17" s="1571"/>
    </row>
    <row r="18" spans="1:36" ht="15.75" customHeight="1">
      <c r="C18" s="1498" t="s">
        <v>751</v>
      </c>
      <c r="D18" s="309"/>
      <c r="E18" s="310"/>
      <c r="F18" s="310"/>
      <c r="G18" s="306">
        <v>0</v>
      </c>
      <c r="H18" s="307">
        <v>0</v>
      </c>
      <c r="I18" s="306">
        <v>0</v>
      </c>
      <c r="J18" s="308">
        <v>0</v>
      </c>
      <c r="K18" s="308">
        <v>0</v>
      </c>
      <c r="L18" s="308">
        <v>0</v>
      </c>
      <c r="M18" s="307">
        <v>0</v>
      </c>
      <c r="N18" s="341"/>
      <c r="O18" s="255">
        <f>SUM(D18:G18)</f>
        <v>0</v>
      </c>
      <c r="P18" s="256">
        <f>H18</f>
        <v>0</v>
      </c>
      <c r="Q18" s="257">
        <f t="shared" si="2"/>
        <v>0</v>
      </c>
      <c r="R18" s="320"/>
      <c r="S18" s="255">
        <f>SUM(I18:M18)</f>
        <v>0</v>
      </c>
      <c r="T18" s="1477" t="str">
        <f>IF(Q18&lt;&gt;0,(S18-Q18)/Q18,"0")</f>
        <v>0</v>
      </c>
      <c r="U18" s="1571"/>
      <c r="W18" s="1571"/>
      <c r="X18" s="1571"/>
      <c r="Y18" s="1571"/>
      <c r="Z18" s="1571"/>
      <c r="AA18" s="1571"/>
      <c r="AB18" s="1571"/>
      <c r="AC18" s="1571"/>
      <c r="AD18" s="1571"/>
      <c r="AE18" s="1571"/>
      <c r="AF18" s="1571"/>
      <c r="AG18" s="1571"/>
      <c r="AH18" s="1571"/>
      <c r="AI18" s="1571"/>
      <c r="AJ18" s="1571"/>
    </row>
    <row r="19" spans="1:36" ht="15.75" customHeight="1" thickBot="1">
      <c r="C19" s="1503" t="s">
        <v>752</v>
      </c>
      <c r="D19" s="311"/>
      <c r="E19" s="312"/>
      <c r="F19" s="312"/>
      <c r="G19" s="313">
        <v>0</v>
      </c>
      <c r="H19" s="314">
        <v>0</v>
      </c>
      <c r="I19" s="313">
        <v>0</v>
      </c>
      <c r="J19" s="315">
        <v>0</v>
      </c>
      <c r="K19" s="315">
        <v>0</v>
      </c>
      <c r="L19" s="315">
        <v>0</v>
      </c>
      <c r="M19" s="314">
        <v>0</v>
      </c>
      <c r="N19" s="341"/>
      <c r="O19" s="259">
        <f>SUM(D19:G19)</f>
        <v>0</v>
      </c>
      <c r="P19" s="260">
        <f>H19</f>
        <v>0</v>
      </c>
      <c r="Q19" s="261">
        <f t="shared" si="2"/>
        <v>0</v>
      </c>
      <c r="R19" s="320"/>
      <c r="S19" s="259">
        <f>SUM(I19:M19)</f>
        <v>0</v>
      </c>
      <c r="T19" s="1489" t="str">
        <f>IF(Q19&lt;&gt;0,(S19-Q19)/Q19,"0")</f>
        <v>0</v>
      </c>
      <c r="U19" s="1571"/>
      <c r="W19" s="1571"/>
      <c r="X19" s="1571"/>
      <c r="Y19" s="1571"/>
      <c r="Z19" s="1571"/>
      <c r="AA19" s="1571"/>
      <c r="AB19" s="1571"/>
      <c r="AC19" s="1571"/>
      <c r="AD19" s="1571"/>
      <c r="AE19" s="1571"/>
      <c r="AF19" s="1571"/>
      <c r="AG19" s="1571"/>
      <c r="AH19" s="1571"/>
      <c r="AI19" s="1571"/>
      <c r="AJ19" s="1571"/>
    </row>
    <row r="20" spans="1:36">
      <c r="U20" s="880"/>
    </row>
    <row r="21" spans="1:36" s="531" customFormat="1"/>
    <row r="22" spans="1:36" s="531" customFormat="1">
      <c r="B22" s="1490" t="s">
        <v>549</v>
      </c>
    </row>
    <row r="23" spans="1:36" s="531" customFormat="1" ht="13.5" thickBot="1">
      <c r="A23" s="1490"/>
      <c r="B23" s="1490"/>
    </row>
    <row r="24" spans="1:36" s="531" customFormat="1" ht="27" customHeight="1">
      <c r="A24" s="1490"/>
      <c r="B24" s="1490"/>
      <c r="C24" s="1923" t="s">
        <v>550</v>
      </c>
      <c r="D24" s="1461" t="s">
        <v>551</v>
      </c>
      <c r="E24" s="1462"/>
      <c r="F24" s="1462"/>
      <c r="G24" s="1578"/>
      <c r="H24" s="1461" t="s">
        <v>552</v>
      </c>
      <c r="I24" s="1462"/>
      <c r="J24" s="1462"/>
      <c r="K24" s="1578"/>
      <c r="L24" s="1579" t="s">
        <v>551</v>
      </c>
      <c r="M24" s="1580" t="s">
        <v>552</v>
      </c>
    </row>
    <row r="25" spans="1:36" s="531" customFormat="1">
      <c r="A25" s="1490"/>
      <c r="B25" s="1490"/>
      <c r="C25" s="1924"/>
      <c r="D25" s="1581" t="s">
        <v>553</v>
      </c>
      <c r="E25" s="1582" t="s">
        <v>554</v>
      </c>
      <c r="F25" s="1582" t="s">
        <v>555</v>
      </c>
      <c r="G25" s="1583" t="s">
        <v>556</v>
      </c>
      <c r="H25" s="1581" t="s">
        <v>553</v>
      </c>
      <c r="I25" s="1582" t="s">
        <v>554</v>
      </c>
      <c r="J25" s="1582" t="s">
        <v>555</v>
      </c>
      <c r="K25" s="1583" t="s">
        <v>556</v>
      </c>
      <c r="L25" s="1584" t="s">
        <v>246</v>
      </c>
      <c r="M25" s="1585" t="s">
        <v>246</v>
      </c>
    </row>
    <row r="26" spans="1:36" s="531" customFormat="1" ht="15.75" customHeight="1">
      <c r="A26" s="1490"/>
      <c r="B26" s="1490"/>
      <c r="C26" s="1586" t="s">
        <v>557</v>
      </c>
      <c r="D26" s="820"/>
      <c r="E26" s="821"/>
      <c r="F26" s="821"/>
      <c r="G26" s="822"/>
      <c r="H26" s="820"/>
      <c r="I26" s="821"/>
      <c r="J26" s="821"/>
      <c r="K26" s="822"/>
      <c r="L26" s="1587">
        <f>SUM(D26:G26)</f>
        <v>0</v>
      </c>
      <c r="M26" s="1588">
        <f>SUM(H26:K26)</f>
        <v>0</v>
      </c>
    </row>
    <row r="27" spans="1:36" s="531" customFormat="1" ht="15.75" customHeight="1">
      <c r="A27" s="1490"/>
      <c r="B27" s="1490"/>
      <c r="C27" s="1589" t="s">
        <v>558</v>
      </c>
      <c r="D27" s="820"/>
      <c r="E27" s="821"/>
      <c r="F27" s="821"/>
      <c r="G27" s="822"/>
      <c r="H27" s="820"/>
      <c r="I27" s="821"/>
      <c r="J27" s="821"/>
      <c r="K27" s="822"/>
      <c r="L27" s="1587">
        <f>SUM(D27:G27)</f>
        <v>0</v>
      </c>
      <c r="M27" s="1588">
        <f>SUM(H27:K27)</f>
        <v>0</v>
      </c>
    </row>
    <row r="28" spans="1:36" s="531" customFormat="1" ht="15.75" customHeight="1">
      <c r="A28" s="1490"/>
      <c r="B28" s="1490"/>
      <c r="C28" s="1589" t="s">
        <v>559</v>
      </c>
      <c r="D28" s="820"/>
      <c r="E28" s="821"/>
      <c r="F28" s="821"/>
      <c r="G28" s="822"/>
      <c r="H28" s="820"/>
      <c r="I28" s="821"/>
      <c r="J28" s="821"/>
      <c r="K28" s="822"/>
      <c r="L28" s="1587">
        <f>SUM(D28:G28)</f>
        <v>0</v>
      </c>
      <c r="M28" s="1588">
        <f>SUM(H28:K28)</f>
        <v>0</v>
      </c>
    </row>
    <row r="29" spans="1:36" s="531" customFormat="1" ht="15.75" customHeight="1" thickBot="1">
      <c r="A29" s="1490"/>
      <c r="B29" s="1490"/>
      <c r="C29" s="1590" t="s">
        <v>560</v>
      </c>
      <c r="D29" s="1591" t="str">
        <f>IF(D27,D27/D28,"-")</f>
        <v>-</v>
      </c>
      <c r="E29" s="1592" t="str">
        <f t="shared" ref="E29:M29" si="5">IF(E27,E27/E28,"-")</f>
        <v>-</v>
      </c>
      <c r="F29" s="1592" t="str">
        <f t="shared" si="5"/>
        <v>-</v>
      </c>
      <c r="G29" s="1593" t="str">
        <f t="shared" si="5"/>
        <v>-</v>
      </c>
      <c r="H29" s="1591" t="str">
        <f t="shared" si="5"/>
        <v>-</v>
      </c>
      <c r="I29" s="1592" t="str">
        <f t="shared" si="5"/>
        <v>-</v>
      </c>
      <c r="J29" s="1592" t="str">
        <f t="shared" si="5"/>
        <v>-</v>
      </c>
      <c r="K29" s="1593" t="str">
        <f t="shared" si="5"/>
        <v>-</v>
      </c>
      <c r="L29" s="1594" t="str">
        <f t="shared" si="5"/>
        <v>-</v>
      </c>
      <c r="M29" s="1595" t="str">
        <f t="shared" si="5"/>
        <v>-</v>
      </c>
    </row>
    <row r="30" spans="1:36" s="531" customFormat="1">
      <c r="A30" s="1490"/>
      <c r="B30" s="1490"/>
      <c r="C30" s="1596"/>
      <c r="D30" s="1597"/>
      <c r="E30" s="1597"/>
      <c r="F30" s="1597"/>
      <c r="G30" s="1597"/>
    </row>
    <row r="31" spans="1:36" s="531" customFormat="1" ht="13.5" thickBot="1">
      <c r="A31" s="1490"/>
      <c r="B31" s="1490"/>
      <c r="C31" s="1596"/>
      <c r="D31" s="1597"/>
      <c r="E31" s="1597"/>
      <c r="F31" s="1597"/>
      <c r="G31" s="1597"/>
    </row>
    <row r="32" spans="1:36" s="531" customFormat="1" ht="39" customHeight="1">
      <c r="A32" s="1490"/>
      <c r="B32" s="1490"/>
      <c r="C32" s="1940" t="s">
        <v>561</v>
      </c>
      <c r="D32" s="1461" t="s">
        <v>551</v>
      </c>
      <c r="E32" s="1462"/>
      <c r="F32" s="1462"/>
      <c r="G32" s="1578"/>
      <c r="H32" s="1461" t="s">
        <v>552</v>
      </c>
      <c r="I32" s="1462"/>
      <c r="J32" s="1462"/>
      <c r="K32" s="1578"/>
      <c r="L32" s="1579" t="s">
        <v>551</v>
      </c>
      <c r="M32" s="1580" t="s">
        <v>552</v>
      </c>
    </row>
    <row r="33" spans="1:43" s="531" customFormat="1" ht="15.75" customHeight="1">
      <c r="A33" s="1490"/>
      <c r="B33" s="1490"/>
      <c r="C33" s="1941"/>
      <c r="D33" s="1581" t="s">
        <v>553</v>
      </c>
      <c r="E33" s="1582" t="s">
        <v>554</v>
      </c>
      <c r="F33" s="1582" t="s">
        <v>555</v>
      </c>
      <c r="G33" s="1583" t="s">
        <v>556</v>
      </c>
      <c r="H33" s="1581" t="s">
        <v>553</v>
      </c>
      <c r="I33" s="1582" t="s">
        <v>554</v>
      </c>
      <c r="J33" s="1582" t="s">
        <v>555</v>
      </c>
      <c r="K33" s="1583" t="s">
        <v>556</v>
      </c>
      <c r="L33" s="1584" t="s">
        <v>246</v>
      </c>
      <c r="M33" s="1585" t="s">
        <v>246</v>
      </c>
    </row>
    <row r="34" spans="1:43" s="531" customFormat="1" ht="25.5">
      <c r="A34" s="1490"/>
      <c r="B34" s="1490"/>
      <c r="C34" s="1598" t="s">
        <v>562</v>
      </c>
      <c r="D34" s="820"/>
      <c r="E34" s="821"/>
      <c r="F34" s="821"/>
      <c r="G34" s="822"/>
      <c r="H34" s="820"/>
      <c r="I34" s="821"/>
      <c r="J34" s="821"/>
      <c r="K34" s="822"/>
      <c r="L34" s="1587">
        <f t="shared" ref="L34:L39" si="6">SUM(D34:G34)</f>
        <v>0</v>
      </c>
      <c r="M34" s="1588">
        <f t="shared" ref="M34:M39" si="7">SUM(H34:K34)</f>
        <v>0</v>
      </c>
    </row>
    <row r="35" spans="1:43" s="531" customFormat="1" ht="25.5">
      <c r="A35" s="1490"/>
      <c r="B35" s="1490"/>
      <c r="C35" s="1598" t="s">
        <v>563</v>
      </c>
      <c r="D35" s="820"/>
      <c r="E35" s="821"/>
      <c r="F35" s="821"/>
      <c r="G35" s="822"/>
      <c r="H35" s="820"/>
      <c r="I35" s="821"/>
      <c r="J35" s="821"/>
      <c r="K35" s="822"/>
      <c r="L35" s="1587">
        <f t="shared" si="6"/>
        <v>0</v>
      </c>
      <c r="M35" s="1588">
        <f t="shared" si="7"/>
        <v>0</v>
      </c>
    </row>
    <row r="36" spans="1:43" s="531" customFormat="1" ht="25.5">
      <c r="A36" s="1490"/>
      <c r="B36" s="1490"/>
      <c r="C36" s="1598" t="s">
        <v>564</v>
      </c>
      <c r="D36" s="820"/>
      <c r="E36" s="821"/>
      <c r="F36" s="821"/>
      <c r="G36" s="822"/>
      <c r="H36" s="820"/>
      <c r="I36" s="821"/>
      <c r="J36" s="821"/>
      <c r="K36" s="822"/>
      <c r="L36" s="1587">
        <f t="shared" si="6"/>
        <v>0</v>
      </c>
      <c r="M36" s="1588">
        <f t="shared" si="7"/>
        <v>0</v>
      </c>
    </row>
    <row r="37" spans="1:43" s="531" customFormat="1" ht="38.25">
      <c r="A37" s="1490"/>
      <c r="B37" s="1490"/>
      <c r="C37" s="1598" t="s">
        <v>565</v>
      </c>
      <c r="D37" s="1599"/>
      <c r="E37" s="1600"/>
      <c r="F37" s="1600"/>
      <c r="G37" s="1601"/>
      <c r="H37" s="1599"/>
      <c r="I37" s="1600"/>
      <c r="J37" s="1600"/>
      <c r="K37" s="1601"/>
      <c r="L37" s="1602" t="str">
        <f t="shared" ref="L37:M37" si="8">IF(L35,L35/L36,"-")</f>
        <v>-</v>
      </c>
      <c r="M37" s="1603" t="str">
        <f t="shared" si="8"/>
        <v>-</v>
      </c>
    </row>
    <row r="38" spans="1:43" s="531" customFormat="1" ht="25.5">
      <c r="A38" s="1490"/>
      <c r="B38" s="1490"/>
      <c r="C38" s="1598" t="s">
        <v>566</v>
      </c>
      <c r="D38" s="820"/>
      <c r="E38" s="821"/>
      <c r="F38" s="821"/>
      <c r="G38" s="822"/>
      <c r="H38" s="820"/>
      <c r="I38" s="821"/>
      <c r="J38" s="821"/>
      <c r="K38" s="822"/>
      <c r="L38" s="1587">
        <f t="shared" si="6"/>
        <v>0</v>
      </c>
      <c r="M38" s="1588">
        <f t="shared" si="7"/>
        <v>0</v>
      </c>
    </row>
    <row r="39" spans="1:43" s="531" customFormat="1" ht="26.25" thickBot="1">
      <c r="A39" s="1490"/>
      <c r="B39" s="1490"/>
      <c r="C39" s="1604" t="s">
        <v>567</v>
      </c>
      <c r="D39" s="824"/>
      <c r="E39" s="825"/>
      <c r="F39" s="825"/>
      <c r="G39" s="1146"/>
      <c r="H39" s="824"/>
      <c r="I39" s="825"/>
      <c r="J39" s="825"/>
      <c r="K39" s="1146"/>
      <c r="L39" s="1605">
        <f t="shared" si="6"/>
        <v>0</v>
      </c>
      <c r="M39" s="1606">
        <f t="shared" si="7"/>
        <v>0</v>
      </c>
    </row>
    <row r="41" spans="1:43" ht="15.75" customHeight="1">
      <c r="B41" s="1490" t="s">
        <v>754</v>
      </c>
    </row>
    <row r="42" spans="1:43" ht="13.5" thickBot="1"/>
    <row r="43" spans="1:43" ht="13.5" thickBot="1">
      <c r="B43" s="328"/>
      <c r="C43" s="1929" t="s">
        <v>755</v>
      </c>
      <c r="D43" s="1930"/>
      <c r="E43" s="1930"/>
      <c r="F43" s="1930"/>
      <c r="G43" s="1930"/>
      <c r="H43" s="1930"/>
      <c r="I43" s="1930"/>
      <c r="J43" s="1930"/>
      <c r="K43" s="1931"/>
      <c r="L43" s="1927" t="s">
        <v>568</v>
      </c>
      <c r="M43" s="1932"/>
      <c r="N43" s="1932"/>
      <c r="O43" s="1932"/>
      <c r="P43" s="1933"/>
      <c r="Q43" s="1927" t="s">
        <v>569</v>
      </c>
      <c r="R43" s="1932"/>
      <c r="S43" s="1932"/>
      <c r="T43" s="1932"/>
      <c r="U43" s="1933"/>
      <c r="V43" s="1934" t="s">
        <v>570</v>
      </c>
      <c r="W43" s="1935"/>
      <c r="X43" s="1935"/>
      <c r="Y43" s="1935"/>
      <c r="Z43" s="1935"/>
      <c r="AA43" s="1935"/>
      <c r="AB43" s="1935"/>
      <c r="AC43" s="1935"/>
      <c r="AD43" s="1935"/>
      <c r="AE43" s="1935"/>
      <c r="AF43" s="1935"/>
      <c r="AG43" s="1935"/>
      <c r="AH43" s="1935"/>
      <c r="AI43" s="1936"/>
      <c r="AJ43" s="1923" t="s">
        <v>571</v>
      </c>
      <c r="AK43" s="1607" t="s">
        <v>756</v>
      </c>
    </row>
    <row r="44" spans="1:43" ht="78.75" customHeight="1">
      <c r="B44" s="319"/>
      <c r="C44" s="1608" t="s">
        <v>757</v>
      </c>
      <c r="D44" s="1609" t="s">
        <v>572</v>
      </c>
      <c r="E44" s="1609" t="s">
        <v>573</v>
      </c>
      <c r="F44" s="1609" t="s">
        <v>574</v>
      </c>
      <c r="G44" s="1609" t="s">
        <v>575</v>
      </c>
      <c r="H44" s="1609" t="s">
        <v>576</v>
      </c>
      <c r="I44" s="1609" t="s">
        <v>764</v>
      </c>
      <c r="J44" s="1609" t="s">
        <v>765</v>
      </c>
      <c r="K44" s="1610" t="s">
        <v>766</v>
      </c>
      <c r="L44" s="1559" t="s">
        <v>32</v>
      </c>
      <c r="M44" s="1471" t="s">
        <v>33</v>
      </c>
      <c r="N44" s="1471" t="s">
        <v>29</v>
      </c>
      <c r="O44" s="1471" t="s">
        <v>34</v>
      </c>
      <c r="P44" s="1472" t="s">
        <v>35</v>
      </c>
      <c r="Q44" s="1470" t="s">
        <v>118</v>
      </c>
      <c r="R44" s="1471" t="s">
        <v>136</v>
      </c>
      <c r="S44" s="1471" t="s">
        <v>137</v>
      </c>
      <c r="T44" s="1471" t="s">
        <v>138</v>
      </c>
      <c r="U44" s="1472" t="s">
        <v>139</v>
      </c>
      <c r="V44" s="1925" t="s">
        <v>577</v>
      </c>
      <c r="W44" s="1926"/>
      <c r="X44" s="1926"/>
      <c r="Y44" s="1926"/>
      <c r="Z44" s="1926"/>
      <c r="AA44" s="1926"/>
      <c r="AB44" s="1926"/>
      <c r="AC44" s="1926"/>
      <c r="AD44" s="1926"/>
      <c r="AE44" s="1926"/>
      <c r="AF44" s="1467" t="s">
        <v>578</v>
      </c>
      <c r="AG44" s="1467" t="s">
        <v>579</v>
      </c>
      <c r="AH44" s="1467" t="s">
        <v>580</v>
      </c>
      <c r="AI44" s="1467" t="s">
        <v>581</v>
      </c>
      <c r="AJ44" s="1924"/>
      <c r="AK44" s="1611" t="s">
        <v>74</v>
      </c>
    </row>
    <row r="45" spans="1:43" ht="15.75" customHeight="1" thickBot="1">
      <c r="B45" s="325"/>
      <c r="C45" s="1560" t="s">
        <v>75</v>
      </c>
      <c r="D45" s="1612" t="s">
        <v>76</v>
      </c>
      <c r="E45" s="1612" t="s">
        <v>76</v>
      </c>
      <c r="F45" s="1561" t="s">
        <v>77</v>
      </c>
      <c r="G45" s="1613" t="s">
        <v>78</v>
      </c>
      <c r="H45" s="1613" t="s">
        <v>78</v>
      </c>
      <c r="I45" s="1561" t="s">
        <v>79</v>
      </c>
      <c r="J45" s="1561" t="s">
        <v>735</v>
      </c>
      <c r="K45" s="1562" t="s">
        <v>735</v>
      </c>
      <c r="L45" s="1567" t="s">
        <v>735</v>
      </c>
      <c r="M45" s="1565" t="s">
        <v>735</v>
      </c>
      <c r="N45" s="1565" t="s">
        <v>735</v>
      </c>
      <c r="O45" s="1565" t="s">
        <v>735</v>
      </c>
      <c r="P45" s="1566" t="s">
        <v>735</v>
      </c>
      <c r="Q45" s="1564" t="s">
        <v>735</v>
      </c>
      <c r="R45" s="1565" t="s">
        <v>735</v>
      </c>
      <c r="S45" s="1565" t="s">
        <v>735</v>
      </c>
      <c r="T45" s="1565" t="s">
        <v>735</v>
      </c>
      <c r="U45" s="1566" t="s">
        <v>735</v>
      </c>
      <c r="V45" s="1614" t="s">
        <v>32</v>
      </c>
      <c r="W45" s="1615" t="s">
        <v>33</v>
      </c>
      <c r="X45" s="1615" t="s">
        <v>29</v>
      </c>
      <c r="Y45" s="1615" t="s">
        <v>34</v>
      </c>
      <c r="Z45" s="1615" t="s">
        <v>35</v>
      </c>
      <c r="AA45" s="1615" t="s">
        <v>118</v>
      </c>
      <c r="AB45" s="1615" t="s">
        <v>136</v>
      </c>
      <c r="AC45" s="1615" t="s">
        <v>137</v>
      </c>
      <c r="AD45" s="1615" t="s">
        <v>138</v>
      </c>
      <c r="AE45" s="1616" t="s">
        <v>139</v>
      </c>
      <c r="AF45" s="1617" t="s">
        <v>79</v>
      </c>
      <c r="AG45" s="881" t="s">
        <v>79</v>
      </c>
      <c r="AH45" s="881" t="s">
        <v>79</v>
      </c>
      <c r="AI45" s="881" t="s">
        <v>582</v>
      </c>
      <c r="AJ45" s="1618" t="s">
        <v>583</v>
      </c>
      <c r="AK45" s="1619" t="s">
        <v>65</v>
      </c>
    </row>
    <row r="46" spans="1:43" s="346" customFormat="1" ht="15.75" customHeight="1">
      <c r="B46" s="882">
        <v>1</v>
      </c>
      <c r="C46" s="1620" t="s">
        <v>1023</v>
      </c>
      <c r="D46" s="347" t="s">
        <v>243</v>
      </c>
      <c r="E46" s="347" t="s">
        <v>243</v>
      </c>
      <c r="F46" s="347" t="s">
        <v>1024</v>
      </c>
      <c r="G46" s="348">
        <v>2013</v>
      </c>
      <c r="H46" s="348"/>
      <c r="I46" s="348">
        <v>189</v>
      </c>
      <c r="J46" s="349">
        <v>0.41111456795038348</v>
      </c>
      <c r="K46" s="927">
        <v>0.41111456795038348</v>
      </c>
      <c r="L46" s="349">
        <v>0</v>
      </c>
      <c r="M46" s="350">
        <v>0</v>
      </c>
      <c r="N46" s="350">
        <v>0</v>
      </c>
      <c r="O46" s="350">
        <v>0</v>
      </c>
      <c r="P46" s="351">
        <v>0</v>
      </c>
      <c r="Q46" s="350">
        <v>0</v>
      </c>
      <c r="R46" s="352">
        <v>0</v>
      </c>
      <c r="S46" s="352">
        <v>0.2057947270373946</v>
      </c>
      <c r="T46" s="352">
        <v>0.20531984091298891</v>
      </c>
      <c r="U46" s="351">
        <v>0</v>
      </c>
      <c r="V46" s="883"/>
      <c r="W46" s="884"/>
      <c r="X46" s="884"/>
      <c r="Y46" s="884"/>
      <c r="Z46" s="885"/>
      <c r="AA46" s="883"/>
      <c r="AB46" s="884"/>
      <c r="AC46" s="884"/>
      <c r="AD46" s="884"/>
      <c r="AE46" s="885"/>
      <c r="AF46" s="350"/>
      <c r="AG46" s="352"/>
      <c r="AH46" s="352"/>
      <c r="AI46" s="886"/>
      <c r="AJ46" s="887"/>
      <c r="AK46" s="1621" t="s">
        <v>1025</v>
      </c>
      <c r="AL46" s="1622"/>
      <c r="AM46" s="1622"/>
      <c r="AN46" s="1622"/>
      <c r="AO46" s="1622"/>
      <c r="AP46" s="1622"/>
      <c r="AQ46" s="1622"/>
    </row>
    <row r="47" spans="1:43" s="346" customFormat="1" ht="15.75" customHeight="1">
      <c r="B47" s="888">
        <v>2</v>
      </c>
      <c r="C47" s="1620" t="s">
        <v>1026</v>
      </c>
      <c r="D47" s="347" t="s">
        <v>1027</v>
      </c>
      <c r="E47" s="347" t="s">
        <v>1027</v>
      </c>
      <c r="F47" s="347" t="s">
        <v>1028</v>
      </c>
      <c r="G47" s="348">
        <v>2007</v>
      </c>
      <c r="H47" s="348"/>
      <c r="I47" s="348">
        <v>6.5</v>
      </c>
      <c r="J47" s="349">
        <v>0.73313782772321678</v>
      </c>
      <c r="K47" s="927">
        <v>0.73313782772321678</v>
      </c>
      <c r="L47" s="349">
        <v>0</v>
      </c>
      <c r="M47" s="350">
        <v>0</v>
      </c>
      <c r="N47" s="350">
        <v>0</v>
      </c>
      <c r="O47" s="350">
        <v>0</v>
      </c>
      <c r="P47" s="351">
        <v>0</v>
      </c>
      <c r="Q47" s="350">
        <v>0.52689169599834162</v>
      </c>
      <c r="R47" s="352">
        <v>0.2062461317248751</v>
      </c>
      <c r="S47" s="352">
        <v>0</v>
      </c>
      <c r="T47" s="352">
        <v>0</v>
      </c>
      <c r="U47" s="351">
        <v>0</v>
      </c>
      <c r="V47" s="349"/>
      <c r="W47" s="352"/>
      <c r="X47" s="352"/>
      <c r="Y47" s="352"/>
      <c r="Z47" s="351"/>
      <c r="AA47" s="349"/>
      <c r="AB47" s="352"/>
      <c r="AC47" s="352"/>
      <c r="AD47" s="352"/>
      <c r="AE47" s="351"/>
      <c r="AF47" s="350"/>
      <c r="AG47" s="352"/>
      <c r="AH47" s="352"/>
      <c r="AI47" s="886"/>
      <c r="AJ47" s="887"/>
      <c r="AK47" s="1621" t="s">
        <v>1029</v>
      </c>
      <c r="AL47" s="1622"/>
      <c r="AM47" s="1622"/>
      <c r="AN47" s="1622"/>
      <c r="AO47" s="1622"/>
      <c r="AP47" s="1622"/>
      <c r="AQ47" s="1622"/>
    </row>
    <row r="48" spans="1:43" s="346" customFormat="1" ht="15.75" customHeight="1">
      <c r="B48" s="888">
        <v>3</v>
      </c>
      <c r="C48" s="1620" t="s">
        <v>1030</v>
      </c>
      <c r="D48" s="347" t="s">
        <v>1027</v>
      </c>
      <c r="E48" s="347" t="s">
        <v>1027</v>
      </c>
      <c r="F48" s="347" t="s">
        <v>1024</v>
      </c>
      <c r="G48" s="348">
        <v>2012</v>
      </c>
      <c r="H48" s="348"/>
      <c r="I48" s="348">
        <v>15</v>
      </c>
      <c r="J48" s="349">
        <v>0.6159595227389667</v>
      </c>
      <c r="K48" s="927">
        <v>0.6159595227389667</v>
      </c>
      <c r="L48" s="349">
        <v>0</v>
      </c>
      <c r="M48" s="350">
        <v>0</v>
      </c>
      <c r="N48" s="350">
        <v>0</v>
      </c>
      <c r="O48" s="350">
        <v>0</v>
      </c>
      <c r="P48" s="351">
        <v>0</v>
      </c>
      <c r="Q48" s="350">
        <v>0</v>
      </c>
      <c r="R48" s="352">
        <v>0</v>
      </c>
      <c r="S48" s="352">
        <v>0</v>
      </c>
      <c r="T48" s="352">
        <v>0.6159595227389667</v>
      </c>
      <c r="U48" s="351">
        <v>0</v>
      </c>
      <c r="V48" s="349"/>
      <c r="W48" s="352"/>
      <c r="X48" s="352"/>
      <c r="Y48" s="352"/>
      <c r="Z48" s="351"/>
      <c r="AA48" s="349"/>
      <c r="AB48" s="352"/>
      <c r="AC48" s="352"/>
      <c r="AD48" s="352"/>
      <c r="AE48" s="351"/>
      <c r="AF48" s="350"/>
      <c r="AG48" s="352"/>
      <c r="AH48" s="352"/>
      <c r="AI48" s="886"/>
      <c r="AJ48" s="887"/>
      <c r="AK48" s="1621" t="s">
        <v>1031</v>
      </c>
      <c r="AL48" s="1622"/>
      <c r="AM48" s="1622"/>
      <c r="AN48" s="1622"/>
      <c r="AO48" s="1622"/>
      <c r="AP48" s="1622"/>
      <c r="AQ48" s="1622"/>
    </row>
    <row r="49" spans="2:43" s="346" customFormat="1" ht="15.75" customHeight="1">
      <c r="B49" s="888">
        <v>4</v>
      </c>
      <c r="C49" s="1620" t="s">
        <v>1032</v>
      </c>
      <c r="D49" s="347" t="s">
        <v>1033</v>
      </c>
      <c r="E49" s="347" t="s">
        <v>1033</v>
      </c>
      <c r="F49" s="347" t="s">
        <v>1024</v>
      </c>
      <c r="G49" s="348">
        <v>2009</v>
      </c>
      <c r="H49" s="348"/>
      <c r="I49" s="348">
        <v>19.75</v>
      </c>
      <c r="J49" s="349">
        <v>1.085</v>
      </c>
      <c r="K49" s="927">
        <v>1.085</v>
      </c>
      <c r="L49" s="349">
        <v>0</v>
      </c>
      <c r="M49" s="350">
        <v>0</v>
      </c>
      <c r="N49" s="350">
        <v>0</v>
      </c>
      <c r="O49" s="350">
        <v>0</v>
      </c>
      <c r="P49" s="351">
        <v>0</v>
      </c>
      <c r="Q49" s="350">
        <v>1.085</v>
      </c>
      <c r="R49" s="352">
        <v>0</v>
      </c>
      <c r="S49" s="352">
        <v>0</v>
      </c>
      <c r="T49" s="352">
        <v>0</v>
      </c>
      <c r="U49" s="351">
        <v>0</v>
      </c>
      <c r="V49" s="349"/>
      <c r="W49" s="352"/>
      <c r="X49" s="352"/>
      <c r="Y49" s="352"/>
      <c r="Z49" s="351"/>
      <c r="AA49" s="349"/>
      <c r="AB49" s="352"/>
      <c r="AC49" s="352"/>
      <c r="AD49" s="352"/>
      <c r="AE49" s="351"/>
      <c r="AF49" s="350"/>
      <c r="AG49" s="352"/>
      <c r="AH49" s="352"/>
      <c r="AI49" s="886"/>
      <c r="AJ49" s="887"/>
      <c r="AK49" s="1621" t="s">
        <v>1034</v>
      </c>
      <c r="AL49" s="1622"/>
      <c r="AM49" s="1622"/>
      <c r="AN49" s="1622"/>
      <c r="AO49" s="1622"/>
      <c r="AP49" s="1622"/>
      <c r="AQ49" s="1622"/>
    </row>
    <row r="50" spans="2:43" s="346" customFormat="1" ht="15.75" customHeight="1">
      <c r="B50" s="888">
        <v>5</v>
      </c>
      <c r="C50" s="1620" t="s">
        <v>1035</v>
      </c>
      <c r="D50" s="347" t="s">
        <v>1027</v>
      </c>
      <c r="E50" s="347" t="s">
        <v>1027</v>
      </c>
      <c r="F50" s="347" t="s">
        <v>1028</v>
      </c>
      <c r="G50" s="348">
        <v>2008</v>
      </c>
      <c r="H50" s="348"/>
      <c r="I50" s="348">
        <v>24</v>
      </c>
      <c r="J50" s="349">
        <v>0.72186146103706272</v>
      </c>
      <c r="K50" s="927">
        <v>0.72186146103706272</v>
      </c>
      <c r="L50" s="349">
        <v>0</v>
      </c>
      <c r="M50" s="350">
        <v>0</v>
      </c>
      <c r="N50" s="350">
        <v>0</v>
      </c>
      <c r="O50" s="350">
        <v>0</v>
      </c>
      <c r="P50" s="351">
        <v>0</v>
      </c>
      <c r="Q50" s="350">
        <v>0</v>
      </c>
      <c r="R50" s="352">
        <v>0.72186146103706272</v>
      </c>
      <c r="S50" s="352">
        <v>0</v>
      </c>
      <c r="T50" s="352">
        <v>0</v>
      </c>
      <c r="U50" s="351">
        <v>0</v>
      </c>
      <c r="V50" s="349"/>
      <c r="W50" s="352"/>
      <c r="X50" s="352"/>
      <c r="Y50" s="352"/>
      <c r="Z50" s="351"/>
      <c r="AA50" s="349"/>
      <c r="AB50" s="352"/>
      <c r="AC50" s="352"/>
      <c r="AD50" s="352"/>
      <c r="AE50" s="351"/>
      <c r="AF50" s="350"/>
      <c r="AG50" s="352"/>
      <c r="AH50" s="352"/>
      <c r="AI50" s="886"/>
      <c r="AJ50" s="887"/>
      <c r="AK50" s="1621" t="s">
        <v>1036</v>
      </c>
      <c r="AL50" s="1622"/>
      <c r="AM50" s="1622"/>
      <c r="AN50" s="1622"/>
      <c r="AO50" s="1622"/>
      <c r="AP50" s="1622"/>
      <c r="AQ50" s="1622"/>
    </row>
    <row r="51" spans="2:43" s="346" customFormat="1" ht="15.75" customHeight="1">
      <c r="B51" s="888">
        <v>6</v>
      </c>
      <c r="C51" s="1620" t="s">
        <v>1037</v>
      </c>
      <c r="D51" s="347" t="s">
        <v>1038</v>
      </c>
      <c r="E51" s="347" t="s">
        <v>1038</v>
      </c>
      <c r="F51" s="347" t="s">
        <v>1039</v>
      </c>
      <c r="G51" s="348">
        <v>2013</v>
      </c>
      <c r="H51" s="348"/>
      <c r="I51" s="348">
        <v>24</v>
      </c>
      <c r="J51" s="349">
        <v>0.5182665278161861</v>
      </c>
      <c r="K51" s="927">
        <v>0.5182665278161861</v>
      </c>
      <c r="L51" s="349">
        <v>0</v>
      </c>
      <c r="M51" s="350">
        <v>0</v>
      </c>
      <c r="N51" s="350">
        <v>0</v>
      </c>
      <c r="O51" s="350">
        <v>0</v>
      </c>
      <c r="P51" s="351">
        <v>0</v>
      </c>
      <c r="Q51" s="350">
        <v>0</v>
      </c>
      <c r="R51" s="352">
        <v>0</v>
      </c>
      <c r="S51" s="352">
        <v>0</v>
      </c>
      <c r="T51" s="352">
        <v>0</v>
      </c>
      <c r="U51" s="351">
        <v>0.5182665278161861</v>
      </c>
      <c r="V51" s="349"/>
      <c r="W51" s="352"/>
      <c r="X51" s="352"/>
      <c r="Y51" s="352"/>
      <c r="Z51" s="351"/>
      <c r="AA51" s="349"/>
      <c r="AB51" s="352"/>
      <c r="AC51" s="352"/>
      <c r="AD51" s="352"/>
      <c r="AE51" s="351"/>
      <c r="AF51" s="350"/>
      <c r="AG51" s="352"/>
      <c r="AH51" s="352"/>
      <c r="AI51" s="886"/>
      <c r="AJ51" s="887"/>
      <c r="AK51" s="1621" t="s">
        <v>1040</v>
      </c>
      <c r="AL51" s="1622"/>
      <c r="AM51" s="1622"/>
      <c r="AN51" s="1622"/>
      <c r="AO51" s="1622"/>
      <c r="AP51" s="1622"/>
      <c r="AQ51" s="1622"/>
    </row>
    <row r="52" spans="2:43" s="346" customFormat="1" ht="15.75" customHeight="1">
      <c r="B52" s="888">
        <v>7</v>
      </c>
      <c r="C52" s="1620" t="s">
        <v>1041</v>
      </c>
      <c r="D52" s="347" t="s">
        <v>1038</v>
      </c>
      <c r="E52" s="347" t="s">
        <v>1038</v>
      </c>
      <c r="F52" s="347" t="s">
        <v>1024</v>
      </c>
      <c r="G52" s="348">
        <v>2014</v>
      </c>
      <c r="H52" s="348"/>
      <c r="I52" s="348">
        <v>13</v>
      </c>
      <c r="J52" s="349">
        <v>0.5182665278161861</v>
      </c>
      <c r="K52" s="927">
        <v>0.5182665278161861</v>
      </c>
      <c r="L52" s="349">
        <v>0</v>
      </c>
      <c r="M52" s="350">
        <v>0</v>
      </c>
      <c r="N52" s="350">
        <v>0</v>
      </c>
      <c r="O52" s="350">
        <v>0</v>
      </c>
      <c r="P52" s="351">
        <v>0</v>
      </c>
      <c r="Q52" s="350">
        <v>0</v>
      </c>
      <c r="R52" s="352">
        <v>0</v>
      </c>
      <c r="S52" s="352">
        <v>0</v>
      </c>
      <c r="T52" s="352">
        <v>0</v>
      </c>
      <c r="U52" s="351">
        <v>0.5182665278161861</v>
      </c>
      <c r="V52" s="349"/>
      <c r="W52" s="352"/>
      <c r="X52" s="352"/>
      <c r="Y52" s="352"/>
      <c r="Z52" s="351"/>
      <c r="AA52" s="349"/>
      <c r="AB52" s="352"/>
      <c r="AC52" s="352"/>
      <c r="AD52" s="352"/>
      <c r="AE52" s="351"/>
      <c r="AF52" s="350"/>
      <c r="AG52" s="352"/>
      <c r="AH52" s="352"/>
      <c r="AI52" s="886"/>
      <c r="AJ52" s="887"/>
      <c r="AK52" s="1621" t="s">
        <v>1042</v>
      </c>
      <c r="AL52" s="1622"/>
      <c r="AM52" s="1622"/>
      <c r="AN52" s="1622"/>
      <c r="AO52" s="1622"/>
      <c r="AP52" s="1622"/>
      <c r="AQ52" s="1622"/>
    </row>
    <row r="53" spans="2:43" s="346" customFormat="1" ht="15.75" customHeight="1">
      <c r="B53" s="888">
        <v>8</v>
      </c>
      <c r="C53" s="1620" t="s">
        <v>1043</v>
      </c>
      <c r="D53" s="347" t="s">
        <v>1038</v>
      </c>
      <c r="E53" s="347" t="s">
        <v>1038</v>
      </c>
      <c r="F53" s="347" t="s">
        <v>1044</v>
      </c>
      <c r="G53" s="348">
        <v>2008</v>
      </c>
      <c r="H53" s="348"/>
      <c r="I53" s="348">
        <v>13</v>
      </c>
      <c r="J53" s="349">
        <v>0.21075667839933671</v>
      </c>
      <c r="K53" s="927">
        <v>0.21075667839933671</v>
      </c>
      <c r="L53" s="349">
        <v>0</v>
      </c>
      <c r="M53" s="350">
        <v>0</v>
      </c>
      <c r="N53" s="350">
        <v>0</v>
      </c>
      <c r="O53" s="350">
        <v>0</v>
      </c>
      <c r="P53" s="351">
        <v>0</v>
      </c>
      <c r="Q53" s="350">
        <v>0.21075667839933671</v>
      </c>
      <c r="R53" s="352">
        <v>0</v>
      </c>
      <c r="S53" s="352">
        <v>0</v>
      </c>
      <c r="T53" s="352">
        <v>0</v>
      </c>
      <c r="U53" s="351">
        <v>0</v>
      </c>
      <c r="V53" s="349"/>
      <c r="W53" s="352"/>
      <c r="X53" s="352"/>
      <c r="Y53" s="352"/>
      <c r="Z53" s="351"/>
      <c r="AA53" s="349"/>
      <c r="AB53" s="352"/>
      <c r="AC53" s="352"/>
      <c r="AD53" s="352"/>
      <c r="AE53" s="351"/>
      <c r="AF53" s="350"/>
      <c r="AG53" s="352"/>
      <c r="AH53" s="352"/>
      <c r="AI53" s="886"/>
      <c r="AJ53" s="887"/>
      <c r="AK53" s="1621" t="s">
        <v>1045</v>
      </c>
      <c r="AL53" s="1622"/>
      <c r="AM53" s="1622"/>
      <c r="AN53" s="1622"/>
      <c r="AO53" s="1622"/>
      <c r="AP53" s="1622"/>
      <c r="AQ53" s="1622"/>
    </row>
    <row r="54" spans="2:43" s="346" customFormat="1" ht="15.75" customHeight="1">
      <c r="B54" s="888">
        <v>9</v>
      </c>
      <c r="C54" s="1620" t="s">
        <v>1046</v>
      </c>
      <c r="D54" s="347" t="s">
        <v>1027</v>
      </c>
      <c r="E54" s="347" t="s">
        <v>1027</v>
      </c>
      <c r="F54" s="347" t="s">
        <v>1028</v>
      </c>
      <c r="G54" s="348">
        <v>2011</v>
      </c>
      <c r="H54" s="348"/>
      <c r="I54" s="348">
        <v>14</v>
      </c>
      <c r="J54" s="349">
        <v>1.3352912951210363</v>
      </c>
      <c r="K54" s="927">
        <v>1.3352912951210363</v>
      </c>
      <c r="L54" s="349">
        <v>0</v>
      </c>
      <c r="M54" s="350">
        <v>0</v>
      </c>
      <c r="N54" s="350">
        <v>0</v>
      </c>
      <c r="O54" s="350">
        <v>0</v>
      </c>
      <c r="P54" s="351">
        <v>0</v>
      </c>
      <c r="Q54" s="350">
        <v>0</v>
      </c>
      <c r="R54" s="352">
        <v>0</v>
      </c>
      <c r="S54" s="352">
        <v>0.30869209055609192</v>
      </c>
      <c r="T54" s="352">
        <v>1.0265992045649444</v>
      </c>
      <c r="U54" s="351">
        <v>0</v>
      </c>
      <c r="V54" s="349"/>
      <c r="W54" s="352"/>
      <c r="X54" s="352"/>
      <c r="Y54" s="352"/>
      <c r="Z54" s="351"/>
      <c r="AA54" s="349"/>
      <c r="AB54" s="352"/>
      <c r="AC54" s="352"/>
      <c r="AD54" s="352"/>
      <c r="AE54" s="351"/>
      <c r="AF54" s="350"/>
      <c r="AG54" s="352"/>
      <c r="AH54" s="352"/>
      <c r="AI54" s="886"/>
      <c r="AJ54" s="887"/>
      <c r="AK54" s="1621" t="s">
        <v>1047</v>
      </c>
      <c r="AL54" s="1622"/>
      <c r="AM54" s="1622"/>
      <c r="AN54" s="1622"/>
      <c r="AO54" s="1622"/>
      <c r="AP54" s="1622"/>
      <c r="AQ54" s="1622"/>
    </row>
    <row r="55" spans="2:43" s="346" customFormat="1" ht="15.75" customHeight="1">
      <c r="B55" s="888">
        <v>10</v>
      </c>
      <c r="C55" s="1620" t="s">
        <v>1048</v>
      </c>
      <c r="D55" s="347" t="s">
        <v>1027</v>
      </c>
      <c r="E55" s="347" t="s">
        <v>1027</v>
      </c>
      <c r="F55" s="347" t="s">
        <v>1049</v>
      </c>
      <c r="G55" s="348">
        <v>2007</v>
      </c>
      <c r="H55" s="348"/>
      <c r="I55" s="348">
        <v>20</v>
      </c>
      <c r="J55" s="349">
        <v>0.31613501759900503</v>
      </c>
      <c r="K55" s="927">
        <v>0.31613501759900503</v>
      </c>
      <c r="L55" s="349">
        <v>0</v>
      </c>
      <c r="M55" s="350">
        <v>0</v>
      </c>
      <c r="N55" s="350">
        <v>0</v>
      </c>
      <c r="O55" s="350">
        <v>0</v>
      </c>
      <c r="P55" s="351">
        <v>0</v>
      </c>
      <c r="Q55" s="350">
        <v>0.31613501759900503</v>
      </c>
      <c r="R55" s="352">
        <v>0</v>
      </c>
      <c r="S55" s="352">
        <v>0</v>
      </c>
      <c r="T55" s="352">
        <v>0</v>
      </c>
      <c r="U55" s="351">
        <v>0</v>
      </c>
      <c r="V55" s="349"/>
      <c r="W55" s="352"/>
      <c r="X55" s="352"/>
      <c r="Y55" s="352"/>
      <c r="Z55" s="351"/>
      <c r="AA55" s="349"/>
      <c r="AB55" s="352"/>
      <c r="AC55" s="352"/>
      <c r="AD55" s="352"/>
      <c r="AE55" s="351"/>
      <c r="AF55" s="350"/>
      <c r="AG55" s="352"/>
      <c r="AH55" s="352"/>
      <c r="AI55" s="886"/>
      <c r="AJ55" s="887"/>
      <c r="AK55" s="1621" t="s">
        <v>1050</v>
      </c>
      <c r="AL55" s="1622"/>
      <c r="AM55" s="1622"/>
      <c r="AN55" s="1622"/>
      <c r="AO55" s="1622"/>
      <c r="AP55" s="1622"/>
      <c r="AQ55" s="1622"/>
    </row>
    <row r="56" spans="2:43" s="346" customFormat="1" ht="15.75" customHeight="1">
      <c r="B56" s="888">
        <v>11</v>
      </c>
      <c r="C56" s="1620" t="s">
        <v>1051</v>
      </c>
      <c r="D56" s="347" t="s">
        <v>1027</v>
      </c>
      <c r="E56" s="347" t="s">
        <v>1027</v>
      </c>
      <c r="F56" s="347" t="s">
        <v>1049</v>
      </c>
      <c r="G56" s="348">
        <v>2010</v>
      </c>
      <c r="H56" s="348"/>
      <c r="I56" s="348">
        <v>56</v>
      </c>
      <c r="J56" s="349">
        <v>2.2935154556831643</v>
      </c>
      <c r="K56" s="927">
        <v>2.2935154556831643</v>
      </c>
      <c r="L56" s="349">
        <v>0</v>
      </c>
      <c r="M56" s="350">
        <v>0</v>
      </c>
      <c r="N56" s="350">
        <v>0</v>
      </c>
      <c r="O56" s="350">
        <v>0</v>
      </c>
      <c r="P56" s="351">
        <v>0</v>
      </c>
      <c r="Q56" s="350">
        <v>1.1591617311963516</v>
      </c>
      <c r="R56" s="352">
        <v>1.1343537244868129</v>
      </c>
      <c r="S56" s="352">
        <v>0</v>
      </c>
      <c r="T56" s="352">
        <v>0</v>
      </c>
      <c r="U56" s="351">
        <v>0</v>
      </c>
      <c r="V56" s="349"/>
      <c r="W56" s="352"/>
      <c r="X56" s="352"/>
      <c r="Y56" s="352"/>
      <c r="Z56" s="351"/>
      <c r="AA56" s="349"/>
      <c r="AB56" s="352"/>
      <c r="AC56" s="352"/>
      <c r="AD56" s="352"/>
      <c r="AE56" s="351"/>
      <c r="AF56" s="350"/>
      <c r="AG56" s="352"/>
      <c r="AH56" s="352"/>
      <c r="AI56" s="886"/>
      <c r="AJ56" s="887"/>
      <c r="AK56" s="1621" t="s">
        <v>1052</v>
      </c>
      <c r="AL56" s="1622"/>
      <c r="AM56" s="1622"/>
      <c r="AN56" s="1622"/>
      <c r="AO56" s="1622"/>
      <c r="AP56" s="1622"/>
      <c r="AQ56" s="1622"/>
    </row>
    <row r="57" spans="2:43" s="346" customFormat="1" ht="15.75" customHeight="1">
      <c r="B57" s="888">
        <v>12</v>
      </c>
      <c r="C57" s="1620" t="s">
        <v>1053</v>
      </c>
      <c r="D57" s="347" t="s">
        <v>1027</v>
      </c>
      <c r="E57" s="347" t="s">
        <v>1027</v>
      </c>
      <c r="F57" s="347" t="s">
        <v>1028</v>
      </c>
      <c r="G57" s="348">
        <v>2006</v>
      </c>
      <c r="H57" s="348"/>
      <c r="I57" s="348">
        <v>14</v>
      </c>
      <c r="J57" s="349">
        <v>6.3127833919966836</v>
      </c>
      <c r="K57" s="927">
        <v>1.0537833919966832</v>
      </c>
      <c r="L57" s="349">
        <v>0</v>
      </c>
      <c r="M57" s="350">
        <v>0</v>
      </c>
      <c r="N57" s="350">
        <v>0</v>
      </c>
      <c r="O57" s="350">
        <v>1.4</v>
      </c>
      <c r="P57" s="351">
        <v>3.859</v>
      </c>
      <c r="Q57" s="350">
        <v>1.0537833919966832</v>
      </c>
      <c r="R57" s="352">
        <v>0</v>
      </c>
      <c r="S57" s="352">
        <v>0</v>
      </c>
      <c r="T57" s="352">
        <v>0</v>
      </c>
      <c r="U57" s="351">
        <v>0</v>
      </c>
      <c r="V57" s="349"/>
      <c r="W57" s="352"/>
      <c r="X57" s="352"/>
      <c r="Y57" s="352"/>
      <c r="Z57" s="351"/>
      <c r="AA57" s="349"/>
      <c r="AB57" s="352"/>
      <c r="AC57" s="352"/>
      <c r="AD57" s="352"/>
      <c r="AE57" s="351"/>
      <c r="AF57" s="350"/>
      <c r="AG57" s="352"/>
      <c r="AH57" s="352"/>
      <c r="AI57" s="886"/>
      <c r="AJ57" s="887"/>
      <c r="AK57" s="1621" t="s">
        <v>1054</v>
      </c>
      <c r="AL57" s="1622"/>
      <c r="AM57" s="1622"/>
      <c r="AN57" s="1622"/>
      <c r="AO57" s="1622"/>
      <c r="AP57" s="1622"/>
      <c r="AQ57" s="1622"/>
    </row>
    <row r="58" spans="2:43" s="346" customFormat="1" ht="15.75" customHeight="1">
      <c r="B58" s="888">
        <v>13</v>
      </c>
      <c r="C58" s="1620" t="s">
        <v>1055</v>
      </c>
      <c r="D58" s="347" t="s">
        <v>1027</v>
      </c>
      <c r="E58" s="347" t="s">
        <v>1027</v>
      </c>
      <c r="F58" s="347" t="s">
        <v>1028</v>
      </c>
      <c r="G58" s="348">
        <v>2010</v>
      </c>
      <c r="H58" s="348"/>
      <c r="I58" s="348">
        <v>7.5</v>
      </c>
      <c r="J58" s="349">
        <v>0.41474753678698095</v>
      </c>
      <c r="K58" s="927">
        <v>0.41474753678698095</v>
      </c>
      <c r="L58" s="349">
        <v>0</v>
      </c>
      <c r="M58" s="350">
        <v>0</v>
      </c>
      <c r="N58" s="350">
        <v>0</v>
      </c>
      <c r="O58" s="350">
        <v>0</v>
      </c>
      <c r="P58" s="351">
        <v>0</v>
      </c>
      <c r="Q58" s="350">
        <v>0.10537833919966835</v>
      </c>
      <c r="R58" s="352">
        <v>0.30936919758731257</v>
      </c>
      <c r="S58" s="352">
        <v>0</v>
      </c>
      <c r="T58" s="352">
        <v>0</v>
      </c>
      <c r="U58" s="351">
        <v>0</v>
      </c>
      <c r="V58" s="349"/>
      <c r="W58" s="352"/>
      <c r="X58" s="352"/>
      <c r="Y58" s="352"/>
      <c r="Z58" s="351"/>
      <c r="AA58" s="349"/>
      <c r="AB58" s="352"/>
      <c r="AC58" s="352"/>
      <c r="AD58" s="352"/>
      <c r="AE58" s="351"/>
      <c r="AF58" s="350"/>
      <c r="AG58" s="352"/>
      <c r="AH58" s="352"/>
      <c r="AI58" s="886"/>
      <c r="AJ58" s="887"/>
      <c r="AK58" s="1621" t="s">
        <v>1056</v>
      </c>
      <c r="AL58" s="1622"/>
      <c r="AM58" s="1622"/>
      <c r="AN58" s="1622"/>
      <c r="AO58" s="1622"/>
      <c r="AP58" s="1622"/>
      <c r="AQ58" s="1622"/>
    </row>
    <row r="59" spans="2:43" s="346" customFormat="1" ht="15.75" customHeight="1">
      <c r="B59" s="888">
        <v>14</v>
      </c>
      <c r="C59" s="1620" t="s">
        <v>1057</v>
      </c>
      <c r="D59" s="347" t="s">
        <v>1027</v>
      </c>
      <c r="E59" s="347" t="s">
        <v>1027</v>
      </c>
      <c r="F59" s="347" t="s">
        <v>1028</v>
      </c>
      <c r="G59" s="348">
        <v>2007</v>
      </c>
      <c r="H59" s="348"/>
      <c r="I59" s="348">
        <v>24</v>
      </c>
      <c r="J59" s="349">
        <v>2.0602042938113483</v>
      </c>
      <c r="K59" s="927">
        <v>2.0602042938113483</v>
      </c>
      <c r="L59" s="349">
        <v>0</v>
      </c>
      <c r="M59" s="350">
        <v>0</v>
      </c>
      <c r="N59" s="350">
        <v>0</v>
      </c>
      <c r="O59" s="350">
        <v>0</v>
      </c>
      <c r="P59" s="351">
        <v>0</v>
      </c>
      <c r="Q59" s="350">
        <v>0</v>
      </c>
      <c r="R59" s="352">
        <v>1.0312306586243754</v>
      </c>
      <c r="S59" s="352">
        <v>1.0289736351869729</v>
      </c>
      <c r="T59" s="352">
        <v>0</v>
      </c>
      <c r="U59" s="351">
        <v>0</v>
      </c>
      <c r="V59" s="349"/>
      <c r="W59" s="352"/>
      <c r="X59" s="352"/>
      <c r="Y59" s="352"/>
      <c r="Z59" s="351"/>
      <c r="AA59" s="349"/>
      <c r="AB59" s="352"/>
      <c r="AC59" s="352"/>
      <c r="AD59" s="352"/>
      <c r="AE59" s="351"/>
      <c r="AF59" s="350"/>
      <c r="AG59" s="352"/>
      <c r="AH59" s="352"/>
      <c r="AI59" s="886"/>
      <c r="AJ59" s="887"/>
      <c r="AK59" s="1621" t="s">
        <v>1058</v>
      </c>
      <c r="AL59" s="1622"/>
      <c r="AM59" s="1622"/>
      <c r="AN59" s="1622"/>
      <c r="AO59" s="1622"/>
      <c r="AP59" s="1622"/>
      <c r="AQ59" s="1622"/>
    </row>
    <row r="60" spans="2:43" s="346" customFormat="1" ht="15.75" customHeight="1">
      <c r="B60" s="888">
        <v>15</v>
      </c>
      <c r="C60" s="1620" t="s">
        <v>1059</v>
      </c>
      <c r="D60" s="347" t="s">
        <v>1027</v>
      </c>
      <c r="E60" s="347" t="s">
        <v>1027</v>
      </c>
      <c r="F60" s="347" t="s">
        <v>1028</v>
      </c>
      <c r="G60" s="348">
        <v>2008</v>
      </c>
      <c r="H60" s="348"/>
      <c r="I60" s="348">
        <v>3.25</v>
      </c>
      <c r="J60" s="349">
        <v>1.7643684863475919</v>
      </c>
      <c r="K60" s="927">
        <v>1.7643684863475919</v>
      </c>
      <c r="L60" s="349">
        <v>0</v>
      </c>
      <c r="M60" s="350">
        <v>0</v>
      </c>
      <c r="N60" s="350">
        <v>0</v>
      </c>
      <c r="O60" s="350">
        <v>0</v>
      </c>
      <c r="P60" s="351">
        <v>0</v>
      </c>
      <c r="Q60" s="350">
        <v>0.52689169599834162</v>
      </c>
      <c r="R60" s="352">
        <v>1.2374767903492503</v>
      </c>
      <c r="S60" s="352">
        <v>0</v>
      </c>
      <c r="T60" s="352">
        <v>0</v>
      </c>
      <c r="U60" s="351">
        <v>0</v>
      </c>
      <c r="V60" s="349"/>
      <c r="W60" s="352"/>
      <c r="X60" s="352"/>
      <c r="Y60" s="352"/>
      <c r="Z60" s="351"/>
      <c r="AA60" s="349"/>
      <c r="AB60" s="352"/>
      <c r="AC60" s="352"/>
      <c r="AD60" s="352"/>
      <c r="AE60" s="351"/>
      <c r="AF60" s="350"/>
      <c r="AG60" s="352"/>
      <c r="AH60" s="352"/>
      <c r="AI60" s="886"/>
      <c r="AJ60" s="887"/>
      <c r="AK60" s="1621" t="s">
        <v>1060</v>
      </c>
      <c r="AL60" s="1622"/>
      <c r="AM60" s="1622"/>
      <c r="AN60" s="1622"/>
      <c r="AO60" s="1622"/>
      <c r="AP60" s="1622"/>
      <c r="AQ60" s="1622"/>
    </row>
    <row r="61" spans="2:43" s="346" customFormat="1" ht="15.75" customHeight="1">
      <c r="B61" s="888">
        <v>16</v>
      </c>
      <c r="C61" s="1620" t="s">
        <v>1061</v>
      </c>
      <c r="D61" s="347" t="s">
        <v>1027</v>
      </c>
      <c r="E61" s="347" t="s">
        <v>1027</v>
      </c>
      <c r="F61" s="347" t="s">
        <v>1028</v>
      </c>
      <c r="G61" s="348">
        <v>2008</v>
      </c>
      <c r="H61" s="348"/>
      <c r="I61" s="348">
        <v>5.25</v>
      </c>
      <c r="J61" s="349">
        <v>1.235421987818663</v>
      </c>
      <c r="K61" s="927">
        <v>1.235421987818663</v>
      </c>
      <c r="L61" s="349">
        <v>0</v>
      </c>
      <c r="M61" s="350">
        <v>0</v>
      </c>
      <c r="N61" s="350">
        <v>0</v>
      </c>
      <c r="O61" s="350">
        <v>0</v>
      </c>
      <c r="P61" s="351">
        <v>0</v>
      </c>
      <c r="Q61" s="350">
        <v>0</v>
      </c>
      <c r="R61" s="352">
        <v>0.51561532931218768</v>
      </c>
      <c r="S61" s="352">
        <v>0.51448681759348647</v>
      </c>
      <c r="T61" s="352">
        <v>0.20531984091298891</v>
      </c>
      <c r="U61" s="351">
        <v>0</v>
      </c>
      <c r="V61" s="349"/>
      <c r="W61" s="352"/>
      <c r="X61" s="352"/>
      <c r="Y61" s="352"/>
      <c r="Z61" s="351"/>
      <c r="AA61" s="349"/>
      <c r="AB61" s="352"/>
      <c r="AC61" s="352"/>
      <c r="AD61" s="352"/>
      <c r="AE61" s="351"/>
      <c r="AF61" s="350"/>
      <c r="AG61" s="352"/>
      <c r="AH61" s="352"/>
      <c r="AI61" s="886"/>
      <c r="AJ61" s="887"/>
      <c r="AK61" s="1621" t="s">
        <v>1062</v>
      </c>
      <c r="AL61" s="1622"/>
      <c r="AM61" s="1622"/>
      <c r="AN61" s="1622"/>
      <c r="AO61" s="1622"/>
      <c r="AP61" s="1622"/>
      <c r="AQ61" s="1622"/>
    </row>
    <row r="62" spans="2:43" s="346" customFormat="1" ht="15.75" customHeight="1">
      <c r="B62" s="888">
        <v>17</v>
      </c>
      <c r="C62" s="1620" t="s">
        <v>1063</v>
      </c>
      <c r="D62" s="347" t="s">
        <v>1038</v>
      </c>
      <c r="E62" s="347" t="s">
        <v>1038</v>
      </c>
      <c r="F62" s="347" t="s">
        <v>1024</v>
      </c>
      <c r="G62" s="348">
        <v>2008</v>
      </c>
      <c r="H62" s="348"/>
      <c r="I62" s="348">
        <v>4.75</v>
      </c>
      <c r="J62" s="349">
        <v>0.51561532931218768</v>
      </c>
      <c r="K62" s="927">
        <v>0.51561532931218768</v>
      </c>
      <c r="L62" s="349">
        <v>0</v>
      </c>
      <c r="M62" s="350">
        <v>0</v>
      </c>
      <c r="N62" s="350">
        <v>0</v>
      </c>
      <c r="O62" s="350">
        <v>0</v>
      </c>
      <c r="P62" s="351">
        <v>0</v>
      </c>
      <c r="Q62" s="350">
        <v>0</v>
      </c>
      <c r="R62" s="352">
        <v>0.51561532931218768</v>
      </c>
      <c r="S62" s="352">
        <v>0</v>
      </c>
      <c r="T62" s="352">
        <v>0</v>
      </c>
      <c r="U62" s="351">
        <v>0</v>
      </c>
      <c r="V62" s="349"/>
      <c r="W62" s="352"/>
      <c r="X62" s="352"/>
      <c r="Y62" s="352"/>
      <c r="Z62" s="351"/>
      <c r="AA62" s="349"/>
      <c r="AB62" s="352"/>
      <c r="AC62" s="352"/>
      <c r="AD62" s="352"/>
      <c r="AE62" s="351"/>
      <c r="AF62" s="350"/>
      <c r="AG62" s="352"/>
      <c r="AH62" s="352"/>
      <c r="AI62" s="886"/>
      <c r="AJ62" s="887"/>
      <c r="AK62" s="1621" t="s">
        <v>1064</v>
      </c>
      <c r="AL62" s="1622"/>
      <c r="AM62" s="1622"/>
      <c r="AN62" s="1622"/>
      <c r="AO62" s="1622"/>
      <c r="AP62" s="1622"/>
      <c r="AQ62" s="1622"/>
    </row>
    <row r="63" spans="2:43" s="346" customFormat="1" ht="15.75" customHeight="1">
      <c r="B63" s="888">
        <v>18</v>
      </c>
      <c r="C63" s="1620" t="s">
        <v>1065</v>
      </c>
      <c r="D63" s="347" t="s">
        <v>243</v>
      </c>
      <c r="E63" s="347" t="s">
        <v>243</v>
      </c>
      <c r="F63" s="347" t="s">
        <v>1044</v>
      </c>
      <c r="G63" s="348">
        <v>2013</v>
      </c>
      <c r="H63" s="348"/>
      <c r="I63" s="348">
        <v>39</v>
      </c>
      <c r="J63" s="349">
        <v>0.20531984091298891</v>
      </c>
      <c r="K63" s="927">
        <v>0.20531984091298891</v>
      </c>
      <c r="L63" s="349">
        <v>0</v>
      </c>
      <c r="M63" s="350">
        <v>0</v>
      </c>
      <c r="N63" s="350">
        <v>0</v>
      </c>
      <c r="O63" s="350">
        <v>0</v>
      </c>
      <c r="P63" s="351">
        <v>0</v>
      </c>
      <c r="Q63" s="350">
        <v>0</v>
      </c>
      <c r="R63" s="352">
        <v>0</v>
      </c>
      <c r="S63" s="352">
        <v>0</v>
      </c>
      <c r="T63" s="352">
        <v>0.20531984091298891</v>
      </c>
      <c r="U63" s="351">
        <v>0</v>
      </c>
      <c r="V63" s="349"/>
      <c r="W63" s="352"/>
      <c r="X63" s="352"/>
      <c r="Y63" s="352"/>
      <c r="Z63" s="351"/>
      <c r="AA63" s="349"/>
      <c r="AB63" s="352"/>
      <c r="AC63" s="352"/>
      <c r="AD63" s="352"/>
      <c r="AE63" s="351"/>
      <c r="AF63" s="350"/>
      <c r="AG63" s="352"/>
      <c r="AH63" s="352"/>
      <c r="AI63" s="886"/>
      <c r="AJ63" s="887"/>
      <c r="AK63" s="1621" t="s">
        <v>1066</v>
      </c>
      <c r="AL63" s="1622"/>
      <c r="AM63" s="1622"/>
      <c r="AN63" s="1622"/>
      <c r="AO63" s="1622"/>
      <c r="AP63" s="1622"/>
      <c r="AQ63" s="1622"/>
    </row>
    <row r="64" spans="2:43" s="346" customFormat="1" ht="15.75" customHeight="1">
      <c r="B64" s="888">
        <v>19</v>
      </c>
      <c r="C64" s="1620" t="s">
        <v>1067</v>
      </c>
      <c r="D64" s="347" t="s">
        <v>1027</v>
      </c>
      <c r="E64" s="347" t="s">
        <v>1027</v>
      </c>
      <c r="F64" s="347" t="s">
        <v>1028</v>
      </c>
      <c r="G64" s="348">
        <v>2007</v>
      </c>
      <c r="H64" s="348"/>
      <c r="I64" s="348">
        <v>14.25</v>
      </c>
      <c r="J64" s="349">
        <v>0.94389450612255343</v>
      </c>
      <c r="K64" s="927">
        <v>0.94389450612255343</v>
      </c>
      <c r="L64" s="349">
        <v>0</v>
      </c>
      <c r="M64" s="350">
        <v>0</v>
      </c>
      <c r="N64" s="350">
        <v>0</v>
      </c>
      <c r="O64" s="350">
        <v>0</v>
      </c>
      <c r="P64" s="351">
        <v>0</v>
      </c>
      <c r="Q64" s="350">
        <v>0.73764837439767827</v>
      </c>
      <c r="R64" s="352">
        <v>0.2062461317248751</v>
      </c>
      <c r="S64" s="352">
        <v>0</v>
      </c>
      <c r="T64" s="352">
        <v>0</v>
      </c>
      <c r="U64" s="351">
        <v>0</v>
      </c>
      <c r="V64" s="349"/>
      <c r="W64" s="352"/>
      <c r="X64" s="352"/>
      <c r="Y64" s="352"/>
      <c r="Z64" s="351"/>
      <c r="AA64" s="349"/>
      <c r="AB64" s="352"/>
      <c r="AC64" s="352"/>
      <c r="AD64" s="352"/>
      <c r="AE64" s="351"/>
      <c r="AF64" s="350"/>
      <c r="AG64" s="352"/>
      <c r="AH64" s="352"/>
      <c r="AI64" s="886"/>
      <c r="AJ64" s="887"/>
      <c r="AK64" s="1621" t="s">
        <v>1068</v>
      </c>
      <c r="AL64" s="1622"/>
      <c r="AM64" s="1622"/>
      <c r="AN64" s="1622"/>
      <c r="AO64" s="1622"/>
      <c r="AP64" s="1622"/>
      <c r="AQ64" s="1622"/>
    </row>
    <row r="65" spans="2:43" s="346" customFormat="1" ht="15.75" customHeight="1">
      <c r="B65" s="888">
        <v>20</v>
      </c>
      <c r="C65" s="1623" t="s">
        <v>1069</v>
      </c>
      <c r="D65" s="353" t="s">
        <v>1038</v>
      </c>
      <c r="E65" s="353" t="s">
        <v>1038</v>
      </c>
      <c r="F65" s="353" t="s">
        <v>1028</v>
      </c>
      <c r="G65" s="354">
        <v>2009</v>
      </c>
      <c r="H65" s="348"/>
      <c r="I65" s="354">
        <v>39</v>
      </c>
      <c r="J65" s="928">
        <v>1.6860534271946936</v>
      </c>
      <c r="K65" s="929">
        <v>1.6860534271946936</v>
      </c>
      <c r="L65" s="928">
        <v>0</v>
      </c>
      <c r="M65" s="355">
        <v>0</v>
      </c>
      <c r="N65" s="355">
        <v>0</v>
      </c>
      <c r="O65" s="355">
        <v>0</v>
      </c>
      <c r="P65" s="356">
        <v>0</v>
      </c>
      <c r="Q65" s="355">
        <v>1.6860534271946936</v>
      </c>
      <c r="R65" s="357">
        <v>0</v>
      </c>
      <c r="S65" s="357">
        <v>0</v>
      </c>
      <c r="T65" s="357">
        <v>0</v>
      </c>
      <c r="U65" s="356">
        <v>0</v>
      </c>
      <c r="V65" s="349"/>
      <c r="W65" s="352"/>
      <c r="X65" s="352"/>
      <c r="Y65" s="352"/>
      <c r="Z65" s="351"/>
      <c r="AA65" s="349"/>
      <c r="AB65" s="352"/>
      <c r="AC65" s="352"/>
      <c r="AD65" s="352"/>
      <c r="AE65" s="351"/>
      <c r="AF65" s="350"/>
      <c r="AG65" s="352"/>
      <c r="AH65" s="352"/>
      <c r="AI65" s="886"/>
      <c r="AJ65" s="887"/>
      <c r="AK65" s="1624" t="s">
        <v>1070</v>
      </c>
      <c r="AL65" s="1622"/>
      <c r="AM65" s="1622"/>
      <c r="AN65" s="1622"/>
      <c r="AO65" s="1622"/>
      <c r="AP65" s="1622"/>
      <c r="AQ65" s="1622"/>
    </row>
    <row r="66" spans="2:43" s="346" customFormat="1" ht="15.75" customHeight="1">
      <c r="B66" s="888">
        <v>21</v>
      </c>
      <c r="C66" s="1623" t="s">
        <v>1071</v>
      </c>
      <c r="D66" s="353" t="s">
        <v>1038</v>
      </c>
      <c r="E66" s="353" t="s">
        <v>1038</v>
      </c>
      <c r="F66" s="353" t="s">
        <v>1049</v>
      </c>
      <c r="G66" s="354">
        <v>2008</v>
      </c>
      <c r="H66" s="348"/>
      <c r="I66" s="354">
        <v>28</v>
      </c>
      <c r="J66" s="928">
        <v>1.4421430056679436</v>
      </c>
      <c r="K66" s="929">
        <v>1.4421430056679436</v>
      </c>
      <c r="L66" s="928">
        <v>0</v>
      </c>
      <c r="M66" s="355">
        <v>0</v>
      </c>
      <c r="N66" s="355">
        <v>0</v>
      </c>
      <c r="O66" s="355">
        <v>0</v>
      </c>
      <c r="P66" s="356">
        <v>0</v>
      </c>
      <c r="Q66" s="355">
        <v>0</v>
      </c>
      <c r="R66" s="357">
        <v>0.72186146103706272</v>
      </c>
      <c r="S66" s="357">
        <v>0.72028154463088101</v>
      </c>
      <c r="T66" s="357">
        <v>0</v>
      </c>
      <c r="U66" s="356">
        <v>0</v>
      </c>
      <c r="V66" s="349"/>
      <c r="W66" s="352"/>
      <c r="X66" s="352"/>
      <c r="Y66" s="352"/>
      <c r="Z66" s="351"/>
      <c r="AA66" s="349"/>
      <c r="AB66" s="352"/>
      <c r="AC66" s="352"/>
      <c r="AD66" s="352"/>
      <c r="AE66" s="351"/>
      <c r="AF66" s="350"/>
      <c r="AG66" s="352"/>
      <c r="AH66" s="352"/>
      <c r="AI66" s="886"/>
      <c r="AJ66" s="887"/>
      <c r="AK66" s="1624" t="s">
        <v>1072</v>
      </c>
      <c r="AL66" s="1622"/>
      <c r="AM66" s="1622"/>
      <c r="AN66" s="1622"/>
      <c r="AO66" s="1622"/>
      <c r="AP66" s="1622"/>
      <c r="AQ66" s="1622"/>
    </row>
    <row r="67" spans="2:43" s="346" customFormat="1" ht="15.75" customHeight="1">
      <c r="B67" s="888">
        <v>22</v>
      </c>
      <c r="C67" s="1623" t="s">
        <v>1073</v>
      </c>
      <c r="D67" s="353" t="s">
        <v>1027</v>
      </c>
      <c r="E67" s="353" t="s">
        <v>1027</v>
      </c>
      <c r="F67" s="353" t="s">
        <v>1049</v>
      </c>
      <c r="G67" s="354">
        <v>2007</v>
      </c>
      <c r="H67" s="348"/>
      <c r="I67" s="354">
        <v>22</v>
      </c>
      <c r="J67" s="928">
        <v>0.52689169599834162</v>
      </c>
      <c r="K67" s="929">
        <v>0.52689169599834162</v>
      </c>
      <c r="L67" s="928">
        <v>0</v>
      </c>
      <c r="M67" s="355">
        <v>0</v>
      </c>
      <c r="N67" s="355">
        <v>0</v>
      </c>
      <c r="O67" s="355">
        <v>0</v>
      </c>
      <c r="P67" s="356">
        <v>0</v>
      </c>
      <c r="Q67" s="355">
        <v>0.52689169599834162</v>
      </c>
      <c r="R67" s="357">
        <v>0</v>
      </c>
      <c r="S67" s="357">
        <v>0</v>
      </c>
      <c r="T67" s="357">
        <v>0</v>
      </c>
      <c r="U67" s="356">
        <v>0</v>
      </c>
      <c r="V67" s="349"/>
      <c r="W67" s="352"/>
      <c r="X67" s="352"/>
      <c r="Y67" s="352"/>
      <c r="Z67" s="351"/>
      <c r="AA67" s="349"/>
      <c r="AB67" s="352"/>
      <c r="AC67" s="352"/>
      <c r="AD67" s="352"/>
      <c r="AE67" s="351"/>
      <c r="AF67" s="350"/>
      <c r="AG67" s="352"/>
      <c r="AH67" s="352"/>
      <c r="AI67" s="886"/>
      <c r="AJ67" s="887"/>
      <c r="AK67" s="1624" t="s">
        <v>1074</v>
      </c>
      <c r="AL67" s="1622"/>
      <c r="AM67" s="1622"/>
      <c r="AN67" s="1622"/>
      <c r="AO67" s="1622"/>
      <c r="AP67" s="1622"/>
      <c r="AQ67" s="1622"/>
    </row>
    <row r="68" spans="2:43" s="346" customFormat="1" ht="15.75" customHeight="1">
      <c r="B68" s="888">
        <v>23</v>
      </c>
      <c r="C68" s="1623" t="s">
        <v>1075</v>
      </c>
      <c r="D68" s="353" t="s">
        <v>243</v>
      </c>
      <c r="E68" s="353" t="s">
        <v>243</v>
      </c>
      <c r="F68" s="353" t="s">
        <v>1024</v>
      </c>
      <c r="G68" s="354">
        <v>2011</v>
      </c>
      <c r="H68" s="348"/>
      <c r="I68" s="354">
        <v>58</v>
      </c>
      <c r="J68" s="928">
        <v>2.0555728397519175</v>
      </c>
      <c r="K68" s="929">
        <v>2.0555728397519175</v>
      </c>
      <c r="L68" s="928">
        <v>0</v>
      </c>
      <c r="M68" s="355">
        <v>0</v>
      </c>
      <c r="N68" s="355">
        <v>0</v>
      </c>
      <c r="O68" s="355">
        <v>0</v>
      </c>
      <c r="P68" s="356">
        <v>0</v>
      </c>
      <c r="Q68" s="355">
        <v>0</v>
      </c>
      <c r="R68" s="357">
        <v>0</v>
      </c>
      <c r="S68" s="357">
        <v>1.0289736351869729</v>
      </c>
      <c r="T68" s="357">
        <v>1.0265992045649444</v>
      </c>
      <c r="U68" s="356">
        <v>0</v>
      </c>
      <c r="V68" s="349"/>
      <c r="W68" s="352"/>
      <c r="X68" s="352"/>
      <c r="Y68" s="352"/>
      <c r="Z68" s="351"/>
      <c r="AA68" s="349"/>
      <c r="AB68" s="352"/>
      <c r="AC68" s="352"/>
      <c r="AD68" s="352"/>
      <c r="AE68" s="351"/>
      <c r="AF68" s="350"/>
      <c r="AG68" s="352"/>
      <c r="AH68" s="352"/>
      <c r="AI68" s="886"/>
      <c r="AJ68" s="887"/>
      <c r="AK68" s="1624" t="s">
        <v>1076</v>
      </c>
      <c r="AL68" s="1622"/>
      <c r="AM68" s="1622"/>
      <c r="AN68" s="1622"/>
      <c r="AO68" s="1622"/>
      <c r="AP68" s="1622"/>
      <c r="AQ68" s="1622"/>
    </row>
    <row r="69" spans="2:43" s="346" customFormat="1" ht="15.75" customHeight="1">
      <c r="B69" s="888">
        <v>24</v>
      </c>
      <c r="C69" s="1623" t="s">
        <v>1077</v>
      </c>
      <c r="D69" s="353" t="s">
        <v>243</v>
      </c>
      <c r="E69" s="353" t="s">
        <v>243</v>
      </c>
      <c r="F69" s="353" t="s">
        <v>1028</v>
      </c>
      <c r="G69" s="354">
        <v>2013</v>
      </c>
      <c r="H69" s="348"/>
      <c r="I69" s="354">
        <v>170</v>
      </c>
      <c r="J69" s="928">
        <v>12.901953590954676</v>
      </c>
      <c r="K69" s="929">
        <v>12.901953590954676</v>
      </c>
      <c r="L69" s="928">
        <v>0</v>
      </c>
      <c r="M69" s="355">
        <v>0</v>
      </c>
      <c r="N69" s="355">
        <v>0</v>
      </c>
      <c r="O69" s="355">
        <v>0</v>
      </c>
      <c r="P69" s="356">
        <v>0</v>
      </c>
      <c r="Q69" s="355">
        <v>0</v>
      </c>
      <c r="R69" s="357">
        <v>2.4749535806985006</v>
      </c>
      <c r="S69" s="357">
        <v>2.4695367244487354</v>
      </c>
      <c r="T69" s="357">
        <v>2.4638380909558668</v>
      </c>
      <c r="U69" s="356">
        <v>5.4936251948515729</v>
      </c>
      <c r="V69" s="349"/>
      <c r="W69" s="352"/>
      <c r="X69" s="352"/>
      <c r="Y69" s="352"/>
      <c r="Z69" s="351"/>
      <c r="AA69" s="349"/>
      <c r="AB69" s="352"/>
      <c r="AC69" s="352"/>
      <c r="AD69" s="352"/>
      <c r="AE69" s="351"/>
      <c r="AF69" s="350"/>
      <c r="AG69" s="352"/>
      <c r="AH69" s="352"/>
      <c r="AI69" s="886"/>
      <c r="AJ69" s="887"/>
      <c r="AK69" s="1624" t="s">
        <v>1078</v>
      </c>
      <c r="AL69" s="1622"/>
      <c r="AM69" s="1622"/>
      <c r="AN69" s="1622"/>
      <c r="AO69" s="1622"/>
      <c r="AP69" s="1622"/>
      <c r="AQ69" s="1622"/>
    </row>
    <row r="70" spans="2:43" s="346" customFormat="1" ht="15.75" customHeight="1">
      <c r="B70" s="888">
        <v>25</v>
      </c>
      <c r="C70" s="1623" t="s">
        <v>1079</v>
      </c>
      <c r="D70" s="353" t="s">
        <v>1027</v>
      </c>
      <c r="E70" s="353" t="s">
        <v>1027</v>
      </c>
      <c r="F70" s="353" t="s">
        <v>1024</v>
      </c>
      <c r="G70" s="354">
        <v>2011</v>
      </c>
      <c r="H70" s="348"/>
      <c r="I70" s="354">
        <v>5</v>
      </c>
      <c r="J70" s="928">
        <v>0.2057947270373946</v>
      </c>
      <c r="K70" s="929">
        <v>0.2057947270373946</v>
      </c>
      <c r="L70" s="928">
        <v>0</v>
      </c>
      <c r="M70" s="355">
        <v>0</v>
      </c>
      <c r="N70" s="355">
        <v>0</v>
      </c>
      <c r="O70" s="355">
        <v>0</v>
      </c>
      <c r="P70" s="356">
        <v>0</v>
      </c>
      <c r="Q70" s="355">
        <v>0</v>
      </c>
      <c r="R70" s="357">
        <v>0</v>
      </c>
      <c r="S70" s="357">
        <v>0.2057947270373946</v>
      </c>
      <c r="T70" s="357">
        <v>0</v>
      </c>
      <c r="U70" s="356">
        <v>0</v>
      </c>
      <c r="V70" s="349"/>
      <c r="W70" s="352"/>
      <c r="X70" s="352"/>
      <c r="Y70" s="352"/>
      <c r="Z70" s="351"/>
      <c r="AA70" s="349"/>
      <c r="AB70" s="352"/>
      <c r="AC70" s="352"/>
      <c r="AD70" s="352"/>
      <c r="AE70" s="351"/>
      <c r="AF70" s="350"/>
      <c r="AG70" s="352"/>
      <c r="AH70" s="352"/>
      <c r="AI70" s="886"/>
      <c r="AJ70" s="887"/>
      <c r="AK70" s="1624" t="s">
        <v>1080</v>
      </c>
      <c r="AL70" s="1622"/>
      <c r="AM70" s="1622"/>
      <c r="AN70" s="1622"/>
      <c r="AO70" s="1622"/>
      <c r="AP70" s="1622"/>
      <c r="AQ70" s="1622"/>
    </row>
    <row r="71" spans="2:43" s="346" customFormat="1" ht="15.75" customHeight="1">
      <c r="B71" s="888">
        <v>26</v>
      </c>
      <c r="C71" s="1623" t="s">
        <v>1081</v>
      </c>
      <c r="D71" s="353" t="s">
        <v>1038</v>
      </c>
      <c r="E71" s="353" t="s">
        <v>1038</v>
      </c>
      <c r="F71" s="353" t="s">
        <v>1049</v>
      </c>
      <c r="G71" s="354">
        <v>2009</v>
      </c>
      <c r="H71" s="348"/>
      <c r="I71" s="354">
        <v>43</v>
      </c>
      <c r="J71" s="928">
        <v>0.92810759276193777</v>
      </c>
      <c r="K71" s="929">
        <v>0.92810759276193777</v>
      </c>
      <c r="L71" s="928">
        <v>0</v>
      </c>
      <c r="M71" s="355">
        <v>0</v>
      </c>
      <c r="N71" s="355">
        <v>0</v>
      </c>
      <c r="O71" s="355">
        <v>0</v>
      </c>
      <c r="P71" s="356">
        <v>0</v>
      </c>
      <c r="Q71" s="355">
        <v>0</v>
      </c>
      <c r="R71" s="357">
        <v>0.92810759276193777</v>
      </c>
      <c r="S71" s="357">
        <v>0</v>
      </c>
      <c r="T71" s="357">
        <v>0</v>
      </c>
      <c r="U71" s="356">
        <v>0</v>
      </c>
      <c r="V71" s="349"/>
      <c r="W71" s="352"/>
      <c r="X71" s="352"/>
      <c r="Y71" s="352"/>
      <c r="Z71" s="351"/>
      <c r="AA71" s="349"/>
      <c r="AB71" s="352"/>
      <c r="AC71" s="352"/>
      <c r="AD71" s="352"/>
      <c r="AE71" s="351"/>
      <c r="AF71" s="350"/>
      <c r="AG71" s="352"/>
      <c r="AH71" s="352"/>
      <c r="AI71" s="886"/>
      <c r="AJ71" s="887"/>
      <c r="AK71" s="1624" t="s">
        <v>1082</v>
      </c>
      <c r="AL71" s="1622"/>
      <c r="AM71" s="1622"/>
      <c r="AN71" s="1622"/>
      <c r="AO71" s="1622"/>
      <c r="AP71" s="1622"/>
      <c r="AQ71" s="1622"/>
    </row>
    <row r="72" spans="2:43" s="346" customFormat="1" ht="15.75" customHeight="1">
      <c r="B72" s="888">
        <v>27</v>
      </c>
      <c r="C72" s="1623" t="s">
        <v>1083</v>
      </c>
      <c r="D72" s="353" t="s">
        <v>243</v>
      </c>
      <c r="E72" s="353" t="s">
        <v>243</v>
      </c>
      <c r="F72" s="353" t="s">
        <v>1028</v>
      </c>
      <c r="G72" s="354">
        <v>2009</v>
      </c>
      <c r="H72" s="348"/>
      <c r="I72" s="354">
        <v>56.75</v>
      </c>
      <c r="J72" s="928">
        <v>0.84302671359734682</v>
      </c>
      <c r="K72" s="929">
        <v>0.84302671359734682</v>
      </c>
      <c r="L72" s="928">
        <v>0</v>
      </c>
      <c r="M72" s="355">
        <v>0</v>
      </c>
      <c r="N72" s="355">
        <v>0</v>
      </c>
      <c r="O72" s="355">
        <v>0</v>
      </c>
      <c r="P72" s="356">
        <v>0</v>
      </c>
      <c r="Q72" s="355">
        <v>0.84302671359734682</v>
      </c>
      <c r="R72" s="357">
        <v>0</v>
      </c>
      <c r="S72" s="357">
        <v>0</v>
      </c>
      <c r="T72" s="357">
        <v>0</v>
      </c>
      <c r="U72" s="356">
        <v>0</v>
      </c>
      <c r="V72" s="349"/>
      <c r="W72" s="352"/>
      <c r="X72" s="352"/>
      <c r="Y72" s="352"/>
      <c r="Z72" s="351"/>
      <c r="AA72" s="349"/>
      <c r="AB72" s="352"/>
      <c r="AC72" s="352"/>
      <c r="AD72" s="352"/>
      <c r="AE72" s="351"/>
      <c r="AF72" s="350"/>
      <c r="AG72" s="352"/>
      <c r="AH72" s="352"/>
      <c r="AI72" s="886"/>
      <c r="AJ72" s="887"/>
      <c r="AK72" s="1624" t="s">
        <v>1084</v>
      </c>
      <c r="AL72" s="1622"/>
      <c r="AM72" s="1622"/>
      <c r="AN72" s="1622"/>
      <c r="AO72" s="1622"/>
      <c r="AP72" s="1622"/>
      <c r="AQ72" s="1622"/>
    </row>
    <row r="73" spans="2:43" s="346" customFormat="1" ht="15.75" customHeight="1">
      <c r="B73" s="888">
        <v>28</v>
      </c>
      <c r="C73" s="1623" t="s">
        <v>1085</v>
      </c>
      <c r="D73" s="353" t="s">
        <v>1038</v>
      </c>
      <c r="E73" s="353" t="s">
        <v>1038</v>
      </c>
      <c r="F73" s="353" t="s">
        <v>1028</v>
      </c>
      <c r="G73" s="354">
        <v>2010</v>
      </c>
      <c r="H73" s="348"/>
      <c r="I73" s="354">
        <v>39</v>
      </c>
      <c r="J73" s="928">
        <v>5.9634182587179625</v>
      </c>
      <c r="K73" s="929">
        <v>5.9634182587179625</v>
      </c>
      <c r="L73" s="928">
        <v>0</v>
      </c>
      <c r="M73" s="355">
        <v>0</v>
      </c>
      <c r="N73" s="355">
        <v>0</v>
      </c>
      <c r="O73" s="355">
        <v>0</v>
      </c>
      <c r="P73" s="356">
        <v>0</v>
      </c>
      <c r="Q73" s="355">
        <v>0</v>
      </c>
      <c r="R73" s="357">
        <v>1.0312306586243754</v>
      </c>
      <c r="S73" s="357">
        <v>1.9550499068552485</v>
      </c>
      <c r="T73" s="357">
        <v>2.9771376932383387</v>
      </c>
      <c r="U73" s="356">
        <v>0</v>
      </c>
      <c r="V73" s="349"/>
      <c r="W73" s="352"/>
      <c r="X73" s="352"/>
      <c r="Y73" s="352"/>
      <c r="Z73" s="351"/>
      <c r="AA73" s="349"/>
      <c r="AB73" s="352"/>
      <c r="AC73" s="352"/>
      <c r="AD73" s="352"/>
      <c r="AE73" s="351"/>
      <c r="AF73" s="350"/>
      <c r="AG73" s="352"/>
      <c r="AH73" s="352"/>
      <c r="AI73" s="886"/>
      <c r="AJ73" s="887"/>
      <c r="AK73" s="1624" t="s">
        <v>1086</v>
      </c>
      <c r="AL73" s="1622"/>
      <c r="AM73" s="1622"/>
      <c r="AN73" s="1622"/>
      <c r="AO73" s="1622"/>
      <c r="AP73" s="1622"/>
      <c r="AQ73" s="1622"/>
    </row>
    <row r="74" spans="2:43" s="346" customFormat="1" ht="15.75" customHeight="1">
      <c r="B74" s="888">
        <v>29</v>
      </c>
      <c r="C74" s="1623" t="s">
        <v>1087</v>
      </c>
      <c r="D74" s="353" t="s">
        <v>1027</v>
      </c>
      <c r="E74" s="353" t="s">
        <v>1027</v>
      </c>
      <c r="F74" s="353" t="s">
        <v>1044</v>
      </c>
      <c r="G74" s="354">
        <v>2008</v>
      </c>
      <c r="H74" s="348"/>
      <c r="I74" s="354">
        <v>10</v>
      </c>
      <c r="J74" s="928">
        <v>0.2062461317248751</v>
      </c>
      <c r="K74" s="929">
        <v>0.2062461317248751</v>
      </c>
      <c r="L74" s="928">
        <v>0</v>
      </c>
      <c r="M74" s="355">
        <v>0</v>
      </c>
      <c r="N74" s="355">
        <v>0</v>
      </c>
      <c r="O74" s="355">
        <v>0</v>
      </c>
      <c r="P74" s="356">
        <v>0</v>
      </c>
      <c r="Q74" s="355">
        <v>0</v>
      </c>
      <c r="R74" s="357">
        <v>0.2062461317248751</v>
      </c>
      <c r="S74" s="357">
        <v>0</v>
      </c>
      <c r="T74" s="357">
        <v>0</v>
      </c>
      <c r="U74" s="356">
        <v>0</v>
      </c>
      <c r="V74" s="349"/>
      <c r="W74" s="352"/>
      <c r="X74" s="352"/>
      <c r="Y74" s="352"/>
      <c r="Z74" s="351"/>
      <c r="AA74" s="349"/>
      <c r="AB74" s="352"/>
      <c r="AC74" s="352"/>
      <c r="AD74" s="352"/>
      <c r="AE74" s="351"/>
      <c r="AF74" s="350"/>
      <c r="AG74" s="352"/>
      <c r="AH74" s="352"/>
      <c r="AI74" s="886"/>
      <c r="AJ74" s="887"/>
      <c r="AK74" s="1624" t="s">
        <v>1088</v>
      </c>
      <c r="AL74" s="1622"/>
      <c r="AM74" s="1622"/>
      <c r="AN74" s="1622"/>
      <c r="AO74" s="1622"/>
      <c r="AP74" s="1622"/>
      <c r="AQ74" s="1622"/>
    </row>
    <row r="75" spans="2:43" s="346" customFormat="1" ht="15.75" customHeight="1">
      <c r="B75" s="888">
        <v>30</v>
      </c>
      <c r="C75" s="1623" t="s">
        <v>1089</v>
      </c>
      <c r="D75" s="353" t="s">
        <v>1027</v>
      </c>
      <c r="E75" s="353" t="s">
        <v>1027</v>
      </c>
      <c r="F75" s="353" t="s">
        <v>1028</v>
      </c>
      <c r="G75" s="354">
        <v>2007</v>
      </c>
      <c r="H75" s="348"/>
      <c r="I75" s="354">
        <v>12</v>
      </c>
      <c r="J75" s="928">
        <v>0.31613501759900503</v>
      </c>
      <c r="K75" s="929">
        <v>0.31613501759900503</v>
      </c>
      <c r="L75" s="928">
        <v>0</v>
      </c>
      <c r="M75" s="355">
        <v>0</v>
      </c>
      <c r="N75" s="355">
        <v>0</v>
      </c>
      <c r="O75" s="355">
        <v>0</v>
      </c>
      <c r="P75" s="356">
        <v>0</v>
      </c>
      <c r="Q75" s="355">
        <v>0.31613501759900503</v>
      </c>
      <c r="R75" s="357">
        <v>0</v>
      </c>
      <c r="S75" s="357">
        <v>0</v>
      </c>
      <c r="T75" s="357">
        <v>0</v>
      </c>
      <c r="U75" s="356">
        <v>0</v>
      </c>
      <c r="V75" s="349"/>
      <c r="W75" s="352"/>
      <c r="X75" s="352"/>
      <c r="Y75" s="352"/>
      <c r="Z75" s="351"/>
      <c r="AA75" s="349"/>
      <c r="AB75" s="352"/>
      <c r="AC75" s="352"/>
      <c r="AD75" s="352"/>
      <c r="AE75" s="351"/>
      <c r="AF75" s="350"/>
      <c r="AG75" s="352"/>
      <c r="AH75" s="352"/>
      <c r="AI75" s="886"/>
      <c r="AJ75" s="887"/>
      <c r="AK75" s="1624" t="s">
        <v>1090</v>
      </c>
      <c r="AL75" s="1622"/>
      <c r="AM75" s="1622"/>
      <c r="AN75" s="1622"/>
      <c r="AO75" s="1622"/>
      <c r="AP75" s="1622"/>
      <c r="AQ75" s="1622"/>
    </row>
    <row r="76" spans="2:43" s="346" customFormat="1" ht="15.75" customHeight="1">
      <c r="B76" s="888">
        <v>31</v>
      </c>
      <c r="C76" s="1623" t="s">
        <v>1091</v>
      </c>
      <c r="D76" s="353" t="s">
        <v>243</v>
      </c>
      <c r="E76" s="353" t="s">
        <v>243</v>
      </c>
      <c r="F76" s="353" t="s">
        <v>1044</v>
      </c>
      <c r="G76" s="354">
        <v>2010</v>
      </c>
      <c r="H76" s="348"/>
      <c r="I76" s="354">
        <v>13</v>
      </c>
      <c r="J76" s="928">
        <v>2.0602042938113483</v>
      </c>
      <c r="K76" s="929">
        <v>2.0602042938113483</v>
      </c>
      <c r="L76" s="928">
        <v>0</v>
      </c>
      <c r="M76" s="355">
        <v>0</v>
      </c>
      <c r="N76" s="355">
        <v>0</v>
      </c>
      <c r="O76" s="355">
        <v>0</v>
      </c>
      <c r="P76" s="356">
        <v>0</v>
      </c>
      <c r="Q76" s="355">
        <v>0</v>
      </c>
      <c r="R76" s="357">
        <v>1.0312306586243754</v>
      </c>
      <c r="S76" s="357">
        <v>1.0289736351869729</v>
      </c>
      <c r="T76" s="357">
        <v>0</v>
      </c>
      <c r="U76" s="356">
        <v>0</v>
      </c>
      <c r="V76" s="349"/>
      <c r="W76" s="352"/>
      <c r="X76" s="352"/>
      <c r="Y76" s="352"/>
      <c r="Z76" s="351"/>
      <c r="AA76" s="349"/>
      <c r="AB76" s="352"/>
      <c r="AC76" s="352"/>
      <c r="AD76" s="352"/>
      <c r="AE76" s="351"/>
      <c r="AF76" s="350"/>
      <c r="AG76" s="352"/>
      <c r="AH76" s="352"/>
      <c r="AI76" s="886"/>
      <c r="AJ76" s="887"/>
      <c r="AK76" s="1624" t="s">
        <v>1092</v>
      </c>
      <c r="AL76" s="1622"/>
      <c r="AM76" s="1622"/>
      <c r="AN76" s="1622"/>
      <c r="AO76" s="1622"/>
      <c r="AP76" s="1622"/>
      <c r="AQ76" s="1622"/>
    </row>
    <row r="77" spans="2:43" s="346" customFormat="1" ht="15.75" customHeight="1">
      <c r="B77" s="888">
        <v>32</v>
      </c>
      <c r="C77" s="1623" t="s">
        <v>1093</v>
      </c>
      <c r="D77" s="353" t="s">
        <v>1027</v>
      </c>
      <c r="E77" s="353" t="s">
        <v>1027</v>
      </c>
      <c r="F77" s="353" t="s">
        <v>1028</v>
      </c>
      <c r="G77" s="354">
        <v>2010</v>
      </c>
      <c r="H77" s="348"/>
      <c r="I77" s="354">
        <v>6.5</v>
      </c>
      <c r="J77" s="928">
        <v>0.52012587598664928</v>
      </c>
      <c r="K77" s="929">
        <v>0.52012587598664928</v>
      </c>
      <c r="L77" s="928">
        <v>0</v>
      </c>
      <c r="M77" s="355">
        <v>0</v>
      </c>
      <c r="N77" s="355">
        <v>0</v>
      </c>
      <c r="O77" s="355">
        <v>0</v>
      </c>
      <c r="P77" s="356">
        <v>0</v>
      </c>
      <c r="Q77" s="355">
        <v>0.21075667839933671</v>
      </c>
      <c r="R77" s="357">
        <v>0.30936919758731257</v>
      </c>
      <c r="S77" s="357">
        <v>0</v>
      </c>
      <c r="T77" s="357">
        <v>0</v>
      </c>
      <c r="U77" s="356">
        <v>0</v>
      </c>
      <c r="V77" s="349"/>
      <c r="W77" s="352"/>
      <c r="X77" s="352"/>
      <c r="Y77" s="352"/>
      <c r="Z77" s="351"/>
      <c r="AA77" s="349"/>
      <c r="AB77" s="352"/>
      <c r="AC77" s="352"/>
      <c r="AD77" s="352"/>
      <c r="AE77" s="351"/>
      <c r="AF77" s="350"/>
      <c r="AG77" s="352"/>
      <c r="AH77" s="352"/>
      <c r="AI77" s="886"/>
      <c r="AJ77" s="887"/>
      <c r="AK77" s="1624" t="s">
        <v>1094</v>
      </c>
      <c r="AL77" s="1622"/>
      <c r="AM77" s="1622"/>
      <c r="AN77" s="1622"/>
      <c r="AO77" s="1622"/>
      <c r="AP77" s="1622"/>
      <c r="AQ77" s="1622"/>
    </row>
    <row r="78" spans="2:43" s="346" customFormat="1" ht="15.75" customHeight="1">
      <c r="B78" s="888">
        <v>33</v>
      </c>
      <c r="C78" s="1623" t="s">
        <v>1095</v>
      </c>
      <c r="D78" s="353" t="s">
        <v>1027</v>
      </c>
      <c r="E78" s="353" t="s">
        <v>1027</v>
      </c>
      <c r="F78" s="353" t="s">
        <v>1028</v>
      </c>
      <c r="G78" s="354">
        <v>2008</v>
      </c>
      <c r="H78" s="348"/>
      <c r="I78" s="354">
        <v>5</v>
      </c>
      <c r="J78" s="928">
        <v>0.30797976136948335</v>
      </c>
      <c r="K78" s="929">
        <v>0.30797976136948335</v>
      </c>
      <c r="L78" s="928">
        <v>0</v>
      </c>
      <c r="M78" s="355">
        <v>0</v>
      </c>
      <c r="N78" s="355">
        <v>0</v>
      </c>
      <c r="O78" s="355">
        <v>0</v>
      </c>
      <c r="P78" s="356">
        <v>0</v>
      </c>
      <c r="Q78" s="355">
        <v>0</v>
      </c>
      <c r="R78" s="357">
        <v>0</v>
      </c>
      <c r="S78" s="357">
        <v>0</v>
      </c>
      <c r="T78" s="357">
        <v>0.30797976136948335</v>
      </c>
      <c r="U78" s="356">
        <v>0</v>
      </c>
      <c r="V78" s="349"/>
      <c r="W78" s="352"/>
      <c r="X78" s="352"/>
      <c r="Y78" s="352"/>
      <c r="Z78" s="351"/>
      <c r="AA78" s="349"/>
      <c r="AB78" s="352"/>
      <c r="AC78" s="352"/>
      <c r="AD78" s="352"/>
      <c r="AE78" s="351"/>
      <c r="AF78" s="350"/>
      <c r="AG78" s="352"/>
      <c r="AH78" s="352"/>
      <c r="AI78" s="886"/>
      <c r="AJ78" s="887"/>
      <c r="AK78" s="1624" t="s">
        <v>1096</v>
      </c>
      <c r="AL78" s="1622"/>
      <c r="AM78" s="1622"/>
      <c r="AN78" s="1622"/>
      <c r="AO78" s="1622"/>
      <c r="AP78" s="1622"/>
      <c r="AQ78" s="1622"/>
    </row>
    <row r="79" spans="2:43" s="346" customFormat="1" ht="15.75" customHeight="1">
      <c r="B79" s="888">
        <v>34</v>
      </c>
      <c r="C79" s="1623" t="s">
        <v>1097</v>
      </c>
      <c r="D79" s="353" t="s">
        <v>1027</v>
      </c>
      <c r="E79" s="353" t="s">
        <v>1027</v>
      </c>
      <c r="F79" s="353" t="s">
        <v>1024</v>
      </c>
      <c r="G79" s="354">
        <v>2009</v>
      </c>
      <c r="H79" s="348"/>
      <c r="I79" s="354">
        <v>28</v>
      </c>
      <c r="J79" s="928">
        <v>2.9883118865732858</v>
      </c>
      <c r="K79" s="929">
        <v>2.9883118865732858</v>
      </c>
      <c r="L79" s="928">
        <v>0</v>
      </c>
      <c r="M79" s="355">
        <v>0</v>
      </c>
      <c r="N79" s="355">
        <v>0</v>
      </c>
      <c r="O79" s="355">
        <v>0</v>
      </c>
      <c r="P79" s="356">
        <v>0</v>
      </c>
      <c r="Q79" s="355">
        <v>0</v>
      </c>
      <c r="R79" s="357">
        <v>1.9593382513863129</v>
      </c>
      <c r="S79" s="357">
        <v>1.0289736351869729</v>
      </c>
      <c r="T79" s="357">
        <v>0</v>
      </c>
      <c r="U79" s="356">
        <v>0</v>
      </c>
      <c r="V79" s="349"/>
      <c r="W79" s="352"/>
      <c r="X79" s="352"/>
      <c r="Y79" s="352"/>
      <c r="Z79" s="351"/>
      <c r="AA79" s="349"/>
      <c r="AB79" s="352"/>
      <c r="AC79" s="352"/>
      <c r="AD79" s="352"/>
      <c r="AE79" s="351"/>
      <c r="AF79" s="350"/>
      <c r="AG79" s="352"/>
      <c r="AH79" s="352"/>
      <c r="AI79" s="886"/>
      <c r="AJ79" s="887"/>
      <c r="AK79" s="1624" t="s">
        <v>1098</v>
      </c>
      <c r="AL79" s="1622"/>
      <c r="AM79" s="1622"/>
      <c r="AN79" s="1622"/>
      <c r="AO79" s="1622"/>
      <c r="AP79" s="1622"/>
      <c r="AQ79" s="1622"/>
    </row>
    <row r="80" spans="2:43" s="346" customFormat="1" ht="15.75" customHeight="1">
      <c r="B80" s="888">
        <v>35</v>
      </c>
      <c r="C80" s="1623" t="s">
        <v>1099</v>
      </c>
      <c r="D80" s="353" t="s">
        <v>243</v>
      </c>
      <c r="E80" s="353" t="s">
        <v>243</v>
      </c>
      <c r="F80" s="353" t="s">
        <v>1024</v>
      </c>
      <c r="G80" s="354">
        <v>2010</v>
      </c>
      <c r="H80" s="348"/>
      <c r="I80" s="354">
        <v>51</v>
      </c>
      <c r="J80" s="928">
        <v>1.9550499068552485</v>
      </c>
      <c r="K80" s="929">
        <v>1.9550499068552485</v>
      </c>
      <c r="L80" s="928">
        <v>0</v>
      </c>
      <c r="M80" s="355">
        <v>0</v>
      </c>
      <c r="N80" s="355">
        <v>0</v>
      </c>
      <c r="O80" s="355">
        <v>0</v>
      </c>
      <c r="P80" s="356">
        <v>0</v>
      </c>
      <c r="Q80" s="355">
        <v>0</v>
      </c>
      <c r="R80" s="357">
        <v>0</v>
      </c>
      <c r="S80" s="357">
        <v>1.9550499068552485</v>
      </c>
      <c r="T80" s="357">
        <v>0</v>
      </c>
      <c r="U80" s="356">
        <v>0</v>
      </c>
      <c r="V80" s="349"/>
      <c r="W80" s="352"/>
      <c r="X80" s="352"/>
      <c r="Y80" s="352"/>
      <c r="Z80" s="351"/>
      <c r="AA80" s="349"/>
      <c r="AB80" s="352"/>
      <c r="AC80" s="352"/>
      <c r="AD80" s="352"/>
      <c r="AE80" s="351"/>
      <c r="AF80" s="350"/>
      <c r="AG80" s="352"/>
      <c r="AH80" s="352"/>
      <c r="AI80" s="886"/>
      <c r="AJ80" s="887"/>
      <c r="AK80" s="1624" t="s">
        <v>1100</v>
      </c>
      <c r="AL80" s="1622"/>
      <c r="AM80" s="1622"/>
      <c r="AN80" s="1622"/>
      <c r="AO80" s="1622"/>
      <c r="AP80" s="1622"/>
      <c r="AQ80" s="1622"/>
    </row>
    <row r="81" spans="2:43" s="346" customFormat="1" ht="15.75" customHeight="1">
      <c r="B81" s="888">
        <v>36</v>
      </c>
      <c r="C81" s="1623" t="s">
        <v>1101</v>
      </c>
      <c r="D81" s="353" t="s">
        <v>1027</v>
      </c>
      <c r="E81" s="353" t="s">
        <v>1027</v>
      </c>
      <c r="F81" s="353" t="s">
        <v>1049</v>
      </c>
      <c r="G81" s="354">
        <v>2008</v>
      </c>
      <c r="H81" s="348"/>
      <c r="I81" s="354">
        <v>20</v>
      </c>
      <c r="J81" s="928">
        <v>0.30936919758731257</v>
      </c>
      <c r="K81" s="929">
        <v>0.30936919758731257</v>
      </c>
      <c r="L81" s="928">
        <v>0</v>
      </c>
      <c r="M81" s="355">
        <v>0</v>
      </c>
      <c r="N81" s="355">
        <v>0</v>
      </c>
      <c r="O81" s="355">
        <v>0</v>
      </c>
      <c r="P81" s="356">
        <v>0</v>
      </c>
      <c r="Q81" s="355">
        <v>0</v>
      </c>
      <c r="R81" s="357">
        <v>0.30936919758731257</v>
      </c>
      <c r="S81" s="357">
        <v>0</v>
      </c>
      <c r="T81" s="357">
        <v>0</v>
      </c>
      <c r="U81" s="356">
        <v>0</v>
      </c>
      <c r="V81" s="349"/>
      <c r="W81" s="352"/>
      <c r="X81" s="352"/>
      <c r="Y81" s="352"/>
      <c r="Z81" s="351"/>
      <c r="AA81" s="349"/>
      <c r="AB81" s="352"/>
      <c r="AC81" s="352"/>
      <c r="AD81" s="352"/>
      <c r="AE81" s="351"/>
      <c r="AF81" s="350"/>
      <c r="AG81" s="352"/>
      <c r="AH81" s="352"/>
      <c r="AI81" s="886"/>
      <c r="AJ81" s="887"/>
      <c r="AK81" s="1624" t="s">
        <v>1102</v>
      </c>
      <c r="AL81" s="1622"/>
      <c r="AM81" s="1622"/>
      <c r="AN81" s="1622"/>
      <c r="AO81" s="1622"/>
      <c r="AP81" s="1622"/>
      <c r="AQ81" s="1622"/>
    </row>
    <row r="82" spans="2:43" s="346" customFormat="1" ht="15.75" customHeight="1">
      <c r="B82" s="888">
        <v>37</v>
      </c>
      <c r="C82" s="1623" t="s">
        <v>1103</v>
      </c>
      <c r="D82" s="353" t="s">
        <v>243</v>
      </c>
      <c r="E82" s="353" t="s">
        <v>243</v>
      </c>
      <c r="F82" s="353" t="s">
        <v>1024</v>
      </c>
      <c r="G82" s="354">
        <v>2012</v>
      </c>
      <c r="H82" s="348"/>
      <c r="I82" s="354">
        <v>100</v>
      </c>
      <c r="J82" s="928">
        <v>6.1056111771635688</v>
      </c>
      <c r="K82" s="929">
        <v>6.1056111771635688</v>
      </c>
      <c r="L82" s="928">
        <v>0</v>
      </c>
      <c r="M82" s="355">
        <v>0</v>
      </c>
      <c r="N82" s="355">
        <v>0</v>
      </c>
      <c r="O82" s="355">
        <v>0</v>
      </c>
      <c r="P82" s="356">
        <v>0</v>
      </c>
      <c r="Q82" s="355">
        <v>0</v>
      </c>
      <c r="R82" s="357">
        <v>0</v>
      </c>
      <c r="S82" s="357">
        <v>0</v>
      </c>
      <c r="T82" s="357">
        <v>1.0265992045649444</v>
      </c>
      <c r="U82" s="356">
        <v>5.0790119725986242</v>
      </c>
      <c r="V82" s="349"/>
      <c r="W82" s="352"/>
      <c r="X82" s="352"/>
      <c r="Y82" s="352"/>
      <c r="Z82" s="351"/>
      <c r="AA82" s="349"/>
      <c r="AB82" s="352"/>
      <c r="AC82" s="352"/>
      <c r="AD82" s="352"/>
      <c r="AE82" s="351"/>
      <c r="AF82" s="350"/>
      <c r="AG82" s="352"/>
      <c r="AH82" s="352"/>
      <c r="AI82" s="886"/>
      <c r="AJ82" s="887"/>
      <c r="AK82" s="1624" t="s">
        <v>1104</v>
      </c>
      <c r="AL82" s="1622"/>
      <c r="AM82" s="1622"/>
      <c r="AN82" s="1622"/>
      <c r="AO82" s="1622"/>
      <c r="AP82" s="1622"/>
      <c r="AQ82" s="1622"/>
    </row>
    <row r="83" spans="2:43" s="346" customFormat="1" ht="15.75" customHeight="1">
      <c r="B83" s="888">
        <v>38</v>
      </c>
      <c r="C83" s="1623" t="s">
        <v>1105</v>
      </c>
      <c r="D83" s="353" t="s">
        <v>243</v>
      </c>
      <c r="E83" s="353" t="s">
        <v>243</v>
      </c>
      <c r="F83" s="353" t="s">
        <v>1024</v>
      </c>
      <c r="G83" s="354">
        <v>2011</v>
      </c>
      <c r="H83" s="348"/>
      <c r="I83" s="354">
        <v>100</v>
      </c>
      <c r="J83" s="928">
        <v>2.9960120102664511</v>
      </c>
      <c r="K83" s="929">
        <v>2.9960120102664511</v>
      </c>
      <c r="L83" s="928">
        <v>0</v>
      </c>
      <c r="M83" s="355">
        <v>0</v>
      </c>
      <c r="N83" s="355">
        <v>0</v>
      </c>
      <c r="O83" s="355">
        <v>0</v>
      </c>
      <c r="P83" s="356">
        <v>0</v>
      </c>
      <c r="Q83" s="355">
        <v>0</v>
      </c>
      <c r="R83" s="357">
        <v>0</v>
      </c>
      <c r="S83" s="357">
        <v>0</v>
      </c>
      <c r="T83" s="357">
        <v>1.0265992045649444</v>
      </c>
      <c r="U83" s="356">
        <v>1.969412805701507</v>
      </c>
      <c r="V83" s="349"/>
      <c r="W83" s="352"/>
      <c r="X83" s="352"/>
      <c r="Y83" s="352"/>
      <c r="Z83" s="351"/>
      <c r="AA83" s="349"/>
      <c r="AB83" s="352"/>
      <c r="AC83" s="352"/>
      <c r="AD83" s="352"/>
      <c r="AE83" s="351"/>
      <c r="AF83" s="350"/>
      <c r="AG83" s="352"/>
      <c r="AH83" s="352"/>
      <c r="AI83" s="886"/>
      <c r="AJ83" s="887"/>
      <c r="AK83" s="1624" t="s">
        <v>1106</v>
      </c>
      <c r="AL83" s="1622"/>
      <c r="AM83" s="1622"/>
      <c r="AN83" s="1622"/>
      <c r="AO83" s="1622"/>
      <c r="AP83" s="1622"/>
      <c r="AQ83" s="1622"/>
    </row>
    <row r="84" spans="2:43" s="346" customFormat="1" ht="15.75" customHeight="1">
      <c r="B84" s="888">
        <v>39</v>
      </c>
      <c r="C84" s="1623" t="s">
        <v>1107</v>
      </c>
      <c r="D84" s="353" t="s">
        <v>1027</v>
      </c>
      <c r="E84" s="353" t="s">
        <v>1027</v>
      </c>
      <c r="F84" s="353" t="s">
        <v>1024</v>
      </c>
      <c r="G84" s="354">
        <v>2008</v>
      </c>
      <c r="H84" s="348"/>
      <c r="I84" s="354">
        <v>5</v>
      </c>
      <c r="J84" s="928">
        <v>0.2057947270373946</v>
      </c>
      <c r="K84" s="929">
        <v>0.2057947270373946</v>
      </c>
      <c r="L84" s="928">
        <v>0</v>
      </c>
      <c r="M84" s="355">
        <v>0</v>
      </c>
      <c r="N84" s="355">
        <v>0</v>
      </c>
      <c r="O84" s="355">
        <v>0</v>
      </c>
      <c r="P84" s="356">
        <v>0</v>
      </c>
      <c r="Q84" s="355">
        <v>0</v>
      </c>
      <c r="R84" s="357">
        <v>0</v>
      </c>
      <c r="S84" s="357">
        <v>0.2057947270373946</v>
      </c>
      <c r="T84" s="357">
        <v>0</v>
      </c>
      <c r="U84" s="356">
        <v>0</v>
      </c>
      <c r="V84" s="349"/>
      <c r="W84" s="352"/>
      <c r="X84" s="352"/>
      <c r="Y84" s="352"/>
      <c r="Z84" s="351"/>
      <c r="AA84" s="349"/>
      <c r="AB84" s="352"/>
      <c r="AC84" s="352"/>
      <c r="AD84" s="352"/>
      <c r="AE84" s="351"/>
      <c r="AF84" s="350"/>
      <c r="AG84" s="352"/>
      <c r="AH84" s="352"/>
      <c r="AI84" s="886"/>
      <c r="AJ84" s="887"/>
      <c r="AK84" s="1624" t="s">
        <v>1108</v>
      </c>
      <c r="AL84" s="1622"/>
      <c r="AM84" s="1622"/>
      <c r="AN84" s="1622"/>
      <c r="AO84" s="1622"/>
      <c r="AP84" s="1622"/>
      <c r="AQ84" s="1622"/>
    </row>
    <row r="85" spans="2:43" s="346" customFormat="1" ht="15.75" customHeight="1">
      <c r="B85" s="888">
        <v>40</v>
      </c>
      <c r="C85" s="1623" t="s">
        <v>1109</v>
      </c>
      <c r="D85" s="353" t="s">
        <v>1027</v>
      </c>
      <c r="E85" s="353" t="s">
        <v>1027</v>
      </c>
      <c r="F85" s="353" t="s">
        <v>1028</v>
      </c>
      <c r="G85" s="354">
        <v>2007</v>
      </c>
      <c r="H85" s="348"/>
      <c r="I85" s="354">
        <v>14.25</v>
      </c>
      <c r="J85" s="928">
        <v>0.93148962771769828</v>
      </c>
      <c r="K85" s="929">
        <v>0.93148962771769828</v>
      </c>
      <c r="L85" s="928">
        <v>0</v>
      </c>
      <c r="M85" s="355">
        <v>0</v>
      </c>
      <c r="N85" s="355">
        <v>0</v>
      </c>
      <c r="O85" s="355">
        <v>0</v>
      </c>
      <c r="P85" s="356">
        <v>0</v>
      </c>
      <c r="Q85" s="355">
        <v>0.21075667839933671</v>
      </c>
      <c r="R85" s="357">
        <v>0.2062461317248751</v>
      </c>
      <c r="S85" s="357">
        <v>0.51448681759348647</v>
      </c>
      <c r="T85" s="357">
        <v>0</v>
      </c>
      <c r="U85" s="356">
        <v>0</v>
      </c>
      <c r="V85" s="349"/>
      <c r="W85" s="352"/>
      <c r="X85" s="352"/>
      <c r="Y85" s="352"/>
      <c r="Z85" s="351"/>
      <c r="AA85" s="349"/>
      <c r="AB85" s="352"/>
      <c r="AC85" s="352"/>
      <c r="AD85" s="352"/>
      <c r="AE85" s="351"/>
      <c r="AF85" s="350"/>
      <c r="AG85" s="352"/>
      <c r="AH85" s="352"/>
      <c r="AI85" s="886"/>
      <c r="AJ85" s="887"/>
      <c r="AK85" s="1624" t="s">
        <v>1110</v>
      </c>
      <c r="AL85" s="1622"/>
      <c r="AM85" s="1622"/>
      <c r="AN85" s="1622"/>
      <c r="AO85" s="1622"/>
      <c r="AP85" s="1622"/>
      <c r="AQ85" s="1622"/>
    </row>
    <row r="86" spans="2:43" s="346" customFormat="1" ht="15.75" customHeight="1">
      <c r="B86" s="888">
        <v>41</v>
      </c>
      <c r="C86" s="1623" t="s">
        <v>1111</v>
      </c>
      <c r="D86" s="353" t="s">
        <v>1027</v>
      </c>
      <c r="E86" s="353" t="s">
        <v>1027</v>
      </c>
      <c r="F86" s="353" t="s">
        <v>1028</v>
      </c>
      <c r="G86" s="354">
        <v>2007</v>
      </c>
      <c r="H86" s="348"/>
      <c r="I86" s="354">
        <v>24</v>
      </c>
      <c r="J86" s="928">
        <v>0.73764837439767827</v>
      </c>
      <c r="K86" s="929">
        <v>0.73764837439767827</v>
      </c>
      <c r="L86" s="928">
        <v>0</v>
      </c>
      <c r="M86" s="355">
        <v>0</v>
      </c>
      <c r="N86" s="355">
        <v>0</v>
      </c>
      <c r="O86" s="355">
        <v>0</v>
      </c>
      <c r="P86" s="356">
        <v>0</v>
      </c>
      <c r="Q86" s="355">
        <v>0.73764837439767827</v>
      </c>
      <c r="R86" s="357">
        <v>0</v>
      </c>
      <c r="S86" s="357">
        <v>0</v>
      </c>
      <c r="T86" s="357">
        <v>0</v>
      </c>
      <c r="U86" s="356">
        <v>0</v>
      </c>
      <c r="V86" s="349"/>
      <c r="W86" s="352"/>
      <c r="X86" s="352"/>
      <c r="Y86" s="352"/>
      <c r="Z86" s="351"/>
      <c r="AA86" s="349"/>
      <c r="AB86" s="352"/>
      <c r="AC86" s="352"/>
      <c r="AD86" s="352"/>
      <c r="AE86" s="351"/>
      <c r="AF86" s="350"/>
      <c r="AG86" s="352"/>
      <c r="AH86" s="352"/>
      <c r="AI86" s="886"/>
      <c r="AJ86" s="887"/>
      <c r="AK86" s="1624" t="s">
        <v>1112</v>
      </c>
      <c r="AL86" s="1622"/>
      <c r="AM86" s="1622"/>
      <c r="AN86" s="1622"/>
      <c r="AO86" s="1622"/>
      <c r="AP86" s="1622"/>
      <c r="AQ86" s="1622"/>
    </row>
    <row r="87" spans="2:43" s="346" customFormat="1" ht="15.75" customHeight="1">
      <c r="B87" s="888">
        <v>42</v>
      </c>
      <c r="C87" s="1623" t="s">
        <v>1113</v>
      </c>
      <c r="D87" s="353" t="s">
        <v>1027</v>
      </c>
      <c r="E87" s="353" t="s">
        <v>1027</v>
      </c>
      <c r="F87" s="353" t="s">
        <v>1049</v>
      </c>
      <c r="G87" s="354">
        <v>2007</v>
      </c>
      <c r="H87" s="348"/>
      <c r="I87" s="354">
        <v>21</v>
      </c>
      <c r="J87" s="928">
        <v>2.0850140506210586</v>
      </c>
      <c r="K87" s="929">
        <v>2.0850140506210586</v>
      </c>
      <c r="L87" s="928">
        <v>0</v>
      </c>
      <c r="M87" s="355">
        <v>0</v>
      </c>
      <c r="N87" s="355">
        <v>0</v>
      </c>
      <c r="O87" s="355">
        <v>0</v>
      </c>
      <c r="P87" s="356">
        <v>0</v>
      </c>
      <c r="Q87" s="355">
        <v>1.0537833919966832</v>
      </c>
      <c r="R87" s="357">
        <v>1.0312306586243754</v>
      </c>
      <c r="S87" s="357">
        <v>0</v>
      </c>
      <c r="T87" s="357">
        <v>0</v>
      </c>
      <c r="U87" s="356">
        <v>0</v>
      </c>
      <c r="V87" s="349"/>
      <c r="W87" s="352"/>
      <c r="X87" s="352"/>
      <c r="Y87" s="352"/>
      <c r="Z87" s="351"/>
      <c r="AA87" s="349"/>
      <c r="AB87" s="352"/>
      <c r="AC87" s="352"/>
      <c r="AD87" s="352"/>
      <c r="AE87" s="351"/>
      <c r="AF87" s="350"/>
      <c r="AG87" s="352"/>
      <c r="AH87" s="352"/>
      <c r="AI87" s="886"/>
      <c r="AJ87" s="887"/>
      <c r="AK87" s="1624" t="s">
        <v>1114</v>
      </c>
      <c r="AL87" s="1622"/>
      <c r="AM87" s="1622"/>
      <c r="AN87" s="1622"/>
      <c r="AO87" s="1622"/>
      <c r="AP87" s="1622"/>
      <c r="AQ87" s="1622"/>
    </row>
    <row r="88" spans="2:43" s="346" customFormat="1" ht="15.75" customHeight="1">
      <c r="B88" s="888">
        <v>43</v>
      </c>
      <c r="C88" s="1623" t="s">
        <v>1115</v>
      </c>
      <c r="D88" s="353" t="s">
        <v>1038</v>
      </c>
      <c r="E88" s="353" t="s">
        <v>1038</v>
      </c>
      <c r="F88" s="353" t="s">
        <v>1028</v>
      </c>
      <c r="G88" s="354">
        <v>2008</v>
      </c>
      <c r="H88" s="348"/>
      <c r="I88" s="354">
        <v>14.25</v>
      </c>
      <c r="J88" s="928">
        <v>3.0334191034180735</v>
      </c>
      <c r="K88" s="929">
        <v>3.0334191034180735</v>
      </c>
      <c r="L88" s="928">
        <v>0</v>
      </c>
      <c r="M88" s="355">
        <v>0</v>
      </c>
      <c r="N88" s="355">
        <v>0</v>
      </c>
      <c r="O88" s="355">
        <v>0</v>
      </c>
      <c r="P88" s="356">
        <v>0</v>
      </c>
      <c r="Q88" s="355">
        <v>2.0021884447936982</v>
      </c>
      <c r="R88" s="357">
        <v>1.0312306586243754</v>
      </c>
      <c r="S88" s="357">
        <v>0</v>
      </c>
      <c r="T88" s="357">
        <v>0</v>
      </c>
      <c r="U88" s="356">
        <v>0</v>
      </c>
      <c r="V88" s="349"/>
      <c r="W88" s="352"/>
      <c r="X88" s="352"/>
      <c r="Y88" s="352"/>
      <c r="Z88" s="351"/>
      <c r="AA88" s="349"/>
      <c r="AB88" s="352"/>
      <c r="AC88" s="352"/>
      <c r="AD88" s="352"/>
      <c r="AE88" s="351"/>
      <c r="AF88" s="350"/>
      <c r="AG88" s="352"/>
      <c r="AH88" s="352"/>
      <c r="AI88" s="886"/>
      <c r="AJ88" s="887"/>
      <c r="AK88" s="1624" t="s">
        <v>1116</v>
      </c>
      <c r="AL88" s="1622"/>
      <c r="AM88" s="1622"/>
      <c r="AN88" s="1622"/>
      <c r="AO88" s="1622"/>
      <c r="AP88" s="1622"/>
      <c r="AQ88" s="1622"/>
    </row>
    <row r="89" spans="2:43" s="346" customFormat="1" ht="15.75" customHeight="1">
      <c r="B89" s="888">
        <v>44</v>
      </c>
      <c r="C89" s="1623" t="s">
        <v>1117</v>
      </c>
      <c r="D89" s="353" t="s">
        <v>243</v>
      </c>
      <c r="E89" s="353" t="s">
        <v>243</v>
      </c>
      <c r="F89" s="353" t="s">
        <v>1028</v>
      </c>
      <c r="G89" s="354">
        <v>2013</v>
      </c>
      <c r="H89" s="348"/>
      <c r="I89" s="354">
        <v>78</v>
      </c>
      <c r="J89" s="928">
        <v>1.0365330556323722</v>
      </c>
      <c r="K89" s="929">
        <v>1.0365330556323722</v>
      </c>
      <c r="L89" s="928">
        <v>0</v>
      </c>
      <c r="M89" s="355">
        <v>0</v>
      </c>
      <c r="N89" s="355">
        <v>0</v>
      </c>
      <c r="O89" s="355">
        <v>0</v>
      </c>
      <c r="P89" s="356">
        <v>0</v>
      </c>
      <c r="Q89" s="355">
        <v>0</v>
      </c>
      <c r="R89" s="357">
        <v>0</v>
      </c>
      <c r="S89" s="357">
        <v>0</v>
      </c>
      <c r="T89" s="357">
        <v>0</v>
      </c>
      <c r="U89" s="356">
        <v>1.0365330556323722</v>
      </c>
      <c r="V89" s="349"/>
      <c r="W89" s="352"/>
      <c r="X89" s="352"/>
      <c r="Y89" s="352"/>
      <c r="Z89" s="351"/>
      <c r="AA89" s="349"/>
      <c r="AB89" s="352"/>
      <c r="AC89" s="352"/>
      <c r="AD89" s="352"/>
      <c r="AE89" s="351"/>
      <c r="AF89" s="350"/>
      <c r="AG89" s="352"/>
      <c r="AH89" s="352"/>
      <c r="AI89" s="886"/>
      <c r="AJ89" s="887"/>
      <c r="AK89" s="1624" t="s">
        <v>1118</v>
      </c>
      <c r="AL89" s="1622"/>
      <c r="AM89" s="1622"/>
      <c r="AN89" s="1622"/>
      <c r="AO89" s="1622"/>
      <c r="AP89" s="1622"/>
      <c r="AQ89" s="1622"/>
    </row>
    <row r="90" spans="2:43" s="346" customFormat="1" ht="15.75" customHeight="1">
      <c r="B90" s="888">
        <v>45</v>
      </c>
      <c r="C90" s="1623" t="s">
        <v>1119</v>
      </c>
      <c r="D90" s="353" t="s">
        <v>1027</v>
      </c>
      <c r="E90" s="353" t="s">
        <v>1027</v>
      </c>
      <c r="F90" s="353" t="s">
        <v>1049</v>
      </c>
      <c r="G90" s="354">
        <v>2010</v>
      </c>
      <c r="H90" s="348"/>
      <c r="I90" s="354">
        <v>41</v>
      </c>
      <c r="J90" s="928">
        <v>0.41262645203946335</v>
      </c>
      <c r="K90" s="929">
        <v>0.41262645203946335</v>
      </c>
      <c r="L90" s="928">
        <v>0</v>
      </c>
      <c r="M90" s="355">
        <v>0</v>
      </c>
      <c r="N90" s="355">
        <v>0</v>
      </c>
      <c r="O90" s="355">
        <v>0</v>
      </c>
      <c r="P90" s="356">
        <v>0</v>
      </c>
      <c r="Q90" s="355">
        <v>0</v>
      </c>
      <c r="R90" s="357">
        <v>0</v>
      </c>
      <c r="S90" s="357">
        <v>0</v>
      </c>
      <c r="T90" s="357">
        <v>0.20531984091298891</v>
      </c>
      <c r="U90" s="356">
        <v>0.20730661112647447</v>
      </c>
      <c r="V90" s="349"/>
      <c r="W90" s="352"/>
      <c r="X90" s="352"/>
      <c r="Y90" s="352"/>
      <c r="Z90" s="351"/>
      <c r="AA90" s="349"/>
      <c r="AB90" s="352"/>
      <c r="AC90" s="352"/>
      <c r="AD90" s="352"/>
      <c r="AE90" s="351"/>
      <c r="AF90" s="350"/>
      <c r="AG90" s="352"/>
      <c r="AH90" s="352"/>
      <c r="AI90" s="886"/>
      <c r="AJ90" s="887"/>
      <c r="AK90" s="1624" t="s">
        <v>1120</v>
      </c>
      <c r="AL90" s="1622"/>
      <c r="AM90" s="1622"/>
      <c r="AN90" s="1622"/>
      <c r="AO90" s="1622"/>
      <c r="AP90" s="1622"/>
      <c r="AQ90" s="1622"/>
    </row>
    <row r="91" spans="2:43" s="346" customFormat="1" ht="15.75" customHeight="1">
      <c r="B91" s="888">
        <v>46</v>
      </c>
      <c r="C91" s="1623" t="s">
        <v>1121</v>
      </c>
      <c r="D91" s="353" t="s">
        <v>1027</v>
      </c>
      <c r="E91" s="353" t="s">
        <v>1027</v>
      </c>
      <c r="F91" s="353" t="s">
        <v>1049</v>
      </c>
      <c r="G91" s="354">
        <v>2010</v>
      </c>
      <c r="H91" s="348"/>
      <c r="I91" s="354">
        <v>11</v>
      </c>
      <c r="J91" s="928">
        <v>0.30936919758731257</v>
      </c>
      <c r="K91" s="929">
        <v>0.30936919758731257</v>
      </c>
      <c r="L91" s="928">
        <v>0</v>
      </c>
      <c r="M91" s="355">
        <v>0</v>
      </c>
      <c r="N91" s="355">
        <v>0</v>
      </c>
      <c r="O91" s="355">
        <v>0</v>
      </c>
      <c r="P91" s="356">
        <v>0</v>
      </c>
      <c r="Q91" s="355">
        <v>0</v>
      </c>
      <c r="R91" s="357">
        <v>0.30936919758731257</v>
      </c>
      <c r="S91" s="357">
        <v>0</v>
      </c>
      <c r="T91" s="357">
        <v>0</v>
      </c>
      <c r="U91" s="356">
        <v>0</v>
      </c>
      <c r="V91" s="349"/>
      <c r="W91" s="352"/>
      <c r="X91" s="352"/>
      <c r="Y91" s="352"/>
      <c r="Z91" s="351"/>
      <c r="AA91" s="349"/>
      <c r="AB91" s="352"/>
      <c r="AC91" s="352"/>
      <c r="AD91" s="352"/>
      <c r="AE91" s="351"/>
      <c r="AF91" s="350"/>
      <c r="AG91" s="352"/>
      <c r="AH91" s="352"/>
      <c r="AI91" s="886"/>
      <c r="AJ91" s="887"/>
      <c r="AK91" s="1624" t="s">
        <v>1122</v>
      </c>
      <c r="AL91" s="1622"/>
      <c r="AM91" s="1622"/>
      <c r="AN91" s="1622"/>
      <c r="AO91" s="1622"/>
      <c r="AP91" s="1622"/>
      <c r="AQ91" s="1622"/>
    </row>
    <row r="92" spans="2:43" s="346" customFormat="1" ht="15.75" customHeight="1">
      <c r="B92" s="888">
        <v>47</v>
      </c>
      <c r="C92" s="1623" t="s">
        <v>1123</v>
      </c>
      <c r="D92" s="353" t="s">
        <v>243</v>
      </c>
      <c r="E92" s="353" t="s">
        <v>243</v>
      </c>
      <c r="F92" s="353" t="s">
        <v>1028</v>
      </c>
      <c r="G92" s="354">
        <v>2007</v>
      </c>
      <c r="H92" s="348"/>
      <c r="I92" s="354">
        <v>39</v>
      </c>
      <c r="J92" s="928">
        <v>2.5290801407920402</v>
      </c>
      <c r="K92" s="929">
        <v>2.5290801407920402</v>
      </c>
      <c r="L92" s="928">
        <v>0</v>
      </c>
      <c r="M92" s="355">
        <v>0</v>
      </c>
      <c r="N92" s="355">
        <v>0</v>
      </c>
      <c r="O92" s="355">
        <v>0</v>
      </c>
      <c r="P92" s="356">
        <v>0</v>
      </c>
      <c r="Q92" s="355">
        <v>2.5290801407920402</v>
      </c>
      <c r="R92" s="357">
        <v>0</v>
      </c>
      <c r="S92" s="357">
        <v>0</v>
      </c>
      <c r="T92" s="357">
        <v>0</v>
      </c>
      <c r="U92" s="356">
        <v>0</v>
      </c>
      <c r="V92" s="349"/>
      <c r="W92" s="352"/>
      <c r="X92" s="352"/>
      <c r="Y92" s="352"/>
      <c r="Z92" s="351"/>
      <c r="AA92" s="349"/>
      <c r="AB92" s="352"/>
      <c r="AC92" s="352"/>
      <c r="AD92" s="352"/>
      <c r="AE92" s="351"/>
      <c r="AF92" s="350"/>
      <c r="AG92" s="352"/>
      <c r="AH92" s="352"/>
      <c r="AI92" s="886"/>
      <c r="AJ92" s="887"/>
      <c r="AK92" s="1624" t="s">
        <v>1124</v>
      </c>
      <c r="AL92" s="1622"/>
      <c r="AM92" s="1622"/>
      <c r="AN92" s="1622"/>
      <c r="AO92" s="1622"/>
      <c r="AP92" s="1622"/>
      <c r="AQ92" s="1622"/>
    </row>
    <row r="93" spans="2:43" s="346" customFormat="1" ht="15.75" customHeight="1">
      <c r="B93" s="888">
        <v>48</v>
      </c>
      <c r="C93" s="1623" t="s">
        <v>1125</v>
      </c>
      <c r="D93" s="353" t="s">
        <v>1038</v>
      </c>
      <c r="E93" s="353" t="s">
        <v>1038</v>
      </c>
      <c r="F93" s="353" t="s">
        <v>1024</v>
      </c>
      <c r="G93" s="354">
        <v>2008</v>
      </c>
      <c r="H93" s="348"/>
      <c r="I93" s="354">
        <v>12</v>
      </c>
      <c r="J93" s="928">
        <v>0.92810759276193777</v>
      </c>
      <c r="K93" s="929">
        <v>0.92810759276193777</v>
      </c>
      <c r="L93" s="928">
        <v>0</v>
      </c>
      <c r="M93" s="355">
        <v>0</v>
      </c>
      <c r="N93" s="355">
        <v>0</v>
      </c>
      <c r="O93" s="355">
        <v>0</v>
      </c>
      <c r="P93" s="356">
        <v>0</v>
      </c>
      <c r="Q93" s="355">
        <v>0</v>
      </c>
      <c r="R93" s="357">
        <v>0.92810759276193777</v>
      </c>
      <c r="S93" s="357">
        <v>0</v>
      </c>
      <c r="T93" s="357">
        <v>0</v>
      </c>
      <c r="U93" s="356">
        <v>0</v>
      </c>
      <c r="V93" s="349"/>
      <c r="W93" s="352"/>
      <c r="X93" s="352"/>
      <c r="Y93" s="352"/>
      <c r="Z93" s="351"/>
      <c r="AA93" s="349"/>
      <c r="AB93" s="352"/>
      <c r="AC93" s="352"/>
      <c r="AD93" s="352"/>
      <c r="AE93" s="351"/>
      <c r="AF93" s="350"/>
      <c r="AG93" s="352"/>
      <c r="AH93" s="352"/>
      <c r="AI93" s="886"/>
      <c r="AJ93" s="887"/>
      <c r="AK93" s="1624" t="s">
        <v>1126</v>
      </c>
      <c r="AL93" s="1622"/>
      <c r="AM93" s="1622"/>
      <c r="AN93" s="1622"/>
      <c r="AO93" s="1622"/>
      <c r="AP93" s="1622"/>
      <c r="AQ93" s="1622"/>
    </row>
    <row r="94" spans="2:43" s="346" customFormat="1" ht="15.75" customHeight="1">
      <c r="B94" s="888">
        <v>49</v>
      </c>
      <c r="C94" s="1623" t="s">
        <v>1127</v>
      </c>
      <c r="D94" s="353" t="s">
        <v>243</v>
      </c>
      <c r="E94" s="353" t="s">
        <v>243</v>
      </c>
      <c r="F94" s="353" t="s">
        <v>1024</v>
      </c>
      <c r="G94" s="354">
        <v>2010</v>
      </c>
      <c r="H94" s="348"/>
      <c r="I94" s="354">
        <v>19</v>
      </c>
      <c r="J94" s="928">
        <v>0.51561532931218768</v>
      </c>
      <c r="K94" s="929">
        <v>0.51561532931218768</v>
      </c>
      <c r="L94" s="928">
        <v>0</v>
      </c>
      <c r="M94" s="355">
        <v>0</v>
      </c>
      <c r="N94" s="355">
        <v>0</v>
      </c>
      <c r="O94" s="355">
        <v>0</v>
      </c>
      <c r="P94" s="356">
        <v>0</v>
      </c>
      <c r="Q94" s="355">
        <v>0</v>
      </c>
      <c r="R94" s="357">
        <v>0.51561532931218768</v>
      </c>
      <c r="S94" s="357">
        <v>0</v>
      </c>
      <c r="T94" s="357">
        <v>0</v>
      </c>
      <c r="U94" s="356">
        <v>0</v>
      </c>
      <c r="V94" s="349"/>
      <c r="W94" s="352"/>
      <c r="X94" s="352"/>
      <c r="Y94" s="352"/>
      <c r="Z94" s="351"/>
      <c r="AA94" s="349"/>
      <c r="AB94" s="352"/>
      <c r="AC94" s="352"/>
      <c r="AD94" s="352"/>
      <c r="AE94" s="351"/>
      <c r="AF94" s="350"/>
      <c r="AG94" s="352"/>
      <c r="AH94" s="352"/>
      <c r="AI94" s="886"/>
      <c r="AJ94" s="887"/>
      <c r="AK94" s="1624" t="s">
        <v>1128</v>
      </c>
      <c r="AL94" s="1622"/>
      <c r="AM94" s="1622"/>
      <c r="AN94" s="1622"/>
      <c r="AO94" s="1622"/>
      <c r="AP94" s="1622"/>
      <c r="AQ94" s="1622"/>
    </row>
    <row r="95" spans="2:43" s="346" customFormat="1" ht="15.75" customHeight="1">
      <c r="B95" s="888">
        <v>50</v>
      </c>
      <c r="C95" s="1623" t="s">
        <v>1129</v>
      </c>
      <c r="D95" s="353" t="s">
        <v>243</v>
      </c>
      <c r="E95" s="353" t="s">
        <v>243</v>
      </c>
      <c r="F95" s="353" t="s">
        <v>1024</v>
      </c>
      <c r="G95" s="354">
        <v>2010</v>
      </c>
      <c r="H95" s="348"/>
      <c r="I95" s="354">
        <v>100</v>
      </c>
      <c r="J95" s="928">
        <v>5.9611612352805601</v>
      </c>
      <c r="K95" s="929">
        <v>5.9611612352805601</v>
      </c>
      <c r="L95" s="928">
        <v>0</v>
      </c>
      <c r="M95" s="355">
        <v>0</v>
      </c>
      <c r="N95" s="355">
        <v>0</v>
      </c>
      <c r="O95" s="355">
        <v>0</v>
      </c>
      <c r="P95" s="356">
        <v>0</v>
      </c>
      <c r="Q95" s="355">
        <v>0</v>
      </c>
      <c r="R95" s="357">
        <v>0</v>
      </c>
      <c r="S95" s="357">
        <v>2.984023542042221</v>
      </c>
      <c r="T95" s="357">
        <v>2.9771376932383387</v>
      </c>
      <c r="U95" s="356">
        <v>0</v>
      </c>
      <c r="V95" s="349"/>
      <c r="W95" s="352"/>
      <c r="X95" s="352"/>
      <c r="Y95" s="352"/>
      <c r="Z95" s="351"/>
      <c r="AA95" s="349"/>
      <c r="AB95" s="352"/>
      <c r="AC95" s="352"/>
      <c r="AD95" s="352"/>
      <c r="AE95" s="351"/>
      <c r="AF95" s="350"/>
      <c r="AG95" s="352"/>
      <c r="AH95" s="352"/>
      <c r="AI95" s="886"/>
      <c r="AJ95" s="887"/>
      <c r="AK95" s="1624" t="s">
        <v>1130</v>
      </c>
      <c r="AL95" s="1622"/>
      <c r="AM95" s="1622"/>
      <c r="AN95" s="1622"/>
      <c r="AO95" s="1622"/>
      <c r="AP95" s="1622"/>
      <c r="AQ95" s="1622"/>
    </row>
    <row r="96" spans="2:43" s="346" customFormat="1" ht="15.75" customHeight="1">
      <c r="B96" s="888">
        <v>51</v>
      </c>
      <c r="C96" s="1623" t="s">
        <v>1131</v>
      </c>
      <c r="D96" s="353" t="s">
        <v>1027</v>
      </c>
      <c r="E96" s="353" t="s">
        <v>1027</v>
      </c>
      <c r="F96" s="353" t="s">
        <v>1044</v>
      </c>
      <c r="G96" s="354">
        <v>2012</v>
      </c>
      <c r="H96" s="348"/>
      <c r="I96" s="354">
        <v>6</v>
      </c>
      <c r="J96" s="928">
        <v>0.1028973635186973</v>
      </c>
      <c r="K96" s="929">
        <v>0.1028973635186973</v>
      </c>
      <c r="L96" s="928">
        <v>0</v>
      </c>
      <c r="M96" s="355">
        <v>0</v>
      </c>
      <c r="N96" s="355">
        <v>0</v>
      </c>
      <c r="O96" s="355">
        <v>0</v>
      </c>
      <c r="P96" s="356">
        <v>0</v>
      </c>
      <c r="Q96" s="355">
        <v>0</v>
      </c>
      <c r="R96" s="357">
        <v>0</v>
      </c>
      <c r="S96" s="357">
        <v>0.1028973635186973</v>
      </c>
      <c r="T96" s="357">
        <v>0</v>
      </c>
      <c r="U96" s="356">
        <v>0</v>
      </c>
      <c r="V96" s="349"/>
      <c r="W96" s="352"/>
      <c r="X96" s="352"/>
      <c r="Y96" s="352"/>
      <c r="Z96" s="351"/>
      <c r="AA96" s="349"/>
      <c r="AB96" s="352"/>
      <c r="AC96" s="352"/>
      <c r="AD96" s="352"/>
      <c r="AE96" s="351"/>
      <c r="AF96" s="350"/>
      <c r="AG96" s="352"/>
      <c r="AH96" s="352"/>
      <c r="AI96" s="886"/>
      <c r="AJ96" s="887"/>
      <c r="AK96" s="1624" t="s">
        <v>1132</v>
      </c>
      <c r="AL96" s="1622"/>
      <c r="AM96" s="1622"/>
      <c r="AN96" s="1622"/>
      <c r="AO96" s="1622"/>
      <c r="AP96" s="1622"/>
      <c r="AQ96" s="1622"/>
    </row>
    <row r="97" spans="2:43" s="346" customFormat="1" ht="15.75" customHeight="1" thickBot="1">
      <c r="B97" s="888">
        <v>52</v>
      </c>
      <c r="C97" s="1623" t="s">
        <v>1133</v>
      </c>
      <c r="D97" s="353" t="s">
        <v>1038</v>
      </c>
      <c r="E97" s="353" t="s">
        <v>1038</v>
      </c>
      <c r="F97" s="353" t="s">
        <v>1024</v>
      </c>
      <c r="G97" s="354">
        <v>2007</v>
      </c>
      <c r="H97" s="354"/>
      <c r="I97" s="354">
        <v>3</v>
      </c>
      <c r="J97" s="928">
        <v>0.31613501759900503</v>
      </c>
      <c r="K97" s="929">
        <v>0.31613501759900503</v>
      </c>
      <c r="L97" s="928">
        <v>0</v>
      </c>
      <c r="M97" s="355">
        <v>0</v>
      </c>
      <c r="N97" s="355">
        <v>0</v>
      </c>
      <c r="O97" s="355">
        <v>0</v>
      </c>
      <c r="P97" s="356">
        <v>0</v>
      </c>
      <c r="Q97" s="355">
        <v>0.31613501759900503</v>
      </c>
      <c r="R97" s="357">
        <v>0</v>
      </c>
      <c r="S97" s="357">
        <v>0</v>
      </c>
      <c r="T97" s="357">
        <v>0</v>
      </c>
      <c r="U97" s="356">
        <v>0</v>
      </c>
      <c r="V97" s="889"/>
      <c r="W97" s="890"/>
      <c r="X97" s="890"/>
      <c r="Y97" s="890"/>
      <c r="Z97" s="891"/>
      <c r="AA97" s="889"/>
      <c r="AB97" s="890"/>
      <c r="AC97" s="890"/>
      <c r="AD97" s="890"/>
      <c r="AE97" s="891"/>
      <c r="AF97" s="350"/>
      <c r="AG97" s="352"/>
      <c r="AH97" s="352"/>
      <c r="AI97" s="886"/>
      <c r="AJ97" s="887"/>
      <c r="AK97" s="1624" t="s">
        <v>1134</v>
      </c>
      <c r="AL97" s="1622"/>
      <c r="AM97" s="1622"/>
      <c r="AN97" s="1622"/>
      <c r="AO97" s="1622"/>
      <c r="AP97" s="1622"/>
      <c r="AQ97" s="1622"/>
    </row>
    <row r="98" spans="2:43" s="346" customFormat="1" ht="15.75" customHeight="1">
      <c r="B98" s="888">
        <v>53</v>
      </c>
      <c r="C98" s="1623" t="s">
        <v>1135</v>
      </c>
      <c r="D98" s="353" t="s">
        <v>1038</v>
      </c>
      <c r="E98" s="353" t="s">
        <v>1038</v>
      </c>
      <c r="F98" s="353" t="s">
        <v>1024</v>
      </c>
      <c r="G98" s="354">
        <v>2008</v>
      </c>
      <c r="H98" s="348"/>
      <c r="I98" s="354">
        <v>10</v>
      </c>
      <c r="J98" s="928">
        <v>1.2645400703960201</v>
      </c>
      <c r="K98" s="929">
        <v>1.2645400703960201</v>
      </c>
      <c r="L98" s="928">
        <v>0</v>
      </c>
      <c r="M98" s="355">
        <v>0</v>
      </c>
      <c r="N98" s="355">
        <v>0</v>
      </c>
      <c r="O98" s="355">
        <v>0</v>
      </c>
      <c r="P98" s="356">
        <v>0</v>
      </c>
      <c r="Q98" s="355">
        <v>1.2645400703960201</v>
      </c>
      <c r="R98" s="357">
        <v>0</v>
      </c>
      <c r="S98" s="357">
        <v>0</v>
      </c>
      <c r="T98" s="357">
        <v>0</v>
      </c>
      <c r="U98" s="356">
        <v>0</v>
      </c>
      <c r="V98" s="349"/>
      <c r="W98" s="352"/>
      <c r="X98" s="352"/>
      <c r="Y98" s="352"/>
      <c r="Z98" s="351"/>
      <c r="AA98" s="349"/>
      <c r="AB98" s="352"/>
      <c r="AC98" s="352"/>
      <c r="AD98" s="352"/>
      <c r="AE98" s="351"/>
      <c r="AF98" s="350"/>
      <c r="AG98" s="352"/>
      <c r="AH98" s="352"/>
      <c r="AI98" s="886"/>
      <c r="AJ98" s="887"/>
      <c r="AK98" s="1624" t="s">
        <v>1136</v>
      </c>
      <c r="AL98" s="1622"/>
      <c r="AM98" s="1622"/>
      <c r="AN98" s="1622"/>
      <c r="AO98" s="1622"/>
      <c r="AP98" s="1622"/>
      <c r="AQ98" s="1622"/>
    </row>
    <row r="99" spans="2:43" s="346" customFormat="1" ht="15.75" customHeight="1">
      <c r="B99" s="888">
        <v>54</v>
      </c>
      <c r="C99" s="1623" t="s">
        <v>1137</v>
      </c>
      <c r="D99" s="353" t="s">
        <v>1027</v>
      </c>
      <c r="E99" s="353" t="s">
        <v>1027</v>
      </c>
      <c r="F99" s="353" t="s">
        <v>1024</v>
      </c>
      <c r="G99" s="354">
        <v>2013</v>
      </c>
      <c r="H99" s="348"/>
      <c r="I99" s="354">
        <v>6.5</v>
      </c>
      <c r="J99" s="928">
        <v>0.51329960228247218</v>
      </c>
      <c r="K99" s="929">
        <v>0.51329960228247218</v>
      </c>
      <c r="L99" s="928">
        <v>0</v>
      </c>
      <c r="M99" s="355">
        <v>0</v>
      </c>
      <c r="N99" s="355">
        <v>0</v>
      </c>
      <c r="O99" s="355">
        <v>0</v>
      </c>
      <c r="P99" s="356">
        <v>0</v>
      </c>
      <c r="Q99" s="355">
        <v>0</v>
      </c>
      <c r="R99" s="357">
        <v>0</v>
      </c>
      <c r="S99" s="357">
        <v>0</v>
      </c>
      <c r="T99" s="357">
        <v>0.51329960228247218</v>
      </c>
      <c r="U99" s="356">
        <v>0</v>
      </c>
      <c r="V99" s="349"/>
      <c r="W99" s="352"/>
      <c r="X99" s="352"/>
      <c r="Y99" s="352"/>
      <c r="Z99" s="351"/>
      <c r="AA99" s="349"/>
      <c r="AB99" s="352"/>
      <c r="AC99" s="352"/>
      <c r="AD99" s="352"/>
      <c r="AE99" s="351"/>
      <c r="AF99" s="350"/>
      <c r="AG99" s="352"/>
      <c r="AH99" s="352"/>
      <c r="AI99" s="886"/>
      <c r="AJ99" s="887"/>
      <c r="AK99" s="1624" t="s">
        <v>1138</v>
      </c>
      <c r="AL99" s="1622"/>
      <c r="AM99" s="1622"/>
      <c r="AN99" s="1622"/>
      <c r="AO99" s="1622"/>
      <c r="AP99" s="1622"/>
      <c r="AQ99" s="1622"/>
    </row>
    <row r="100" spans="2:43" s="346" customFormat="1" ht="15.75" customHeight="1">
      <c r="B100" s="888">
        <v>55</v>
      </c>
      <c r="C100" s="1623" t="s">
        <v>1139</v>
      </c>
      <c r="D100" s="353" t="s">
        <v>1027</v>
      </c>
      <c r="E100" s="353" t="s">
        <v>1027</v>
      </c>
      <c r="F100" s="353" t="s">
        <v>1049</v>
      </c>
      <c r="G100" s="354">
        <v>2012</v>
      </c>
      <c r="H100" s="348"/>
      <c r="I100" s="354">
        <v>10</v>
      </c>
      <c r="J100" s="928">
        <v>1.5547995834485584</v>
      </c>
      <c r="K100" s="929">
        <v>1.5547995834485584</v>
      </c>
      <c r="L100" s="928">
        <v>0</v>
      </c>
      <c r="M100" s="355">
        <v>0</v>
      </c>
      <c r="N100" s="355">
        <v>0</v>
      </c>
      <c r="O100" s="355">
        <v>0</v>
      </c>
      <c r="P100" s="356">
        <v>0</v>
      </c>
      <c r="Q100" s="355">
        <v>0</v>
      </c>
      <c r="R100" s="357">
        <v>0</v>
      </c>
      <c r="S100" s="357">
        <v>0</v>
      </c>
      <c r="T100" s="357">
        <v>0</v>
      </c>
      <c r="U100" s="356">
        <v>1.5547995834485584</v>
      </c>
      <c r="V100" s="349"/>
      <c r="W100" s="352"/>
      <c r="X100" s="352"/>
      <c r="Y100" s="352"/>
      <c r="Z100" s="351"/>
      <c r="AA100" s="349"/>
      <c r="AB100" s="352"/>
      <c r="AC100" s="352"/>
      <c r="AD100" s="352"/>
      <c r="AE100" s="351"/>
      <c r="AF100" s="350"/>
      <c r="AG100" s="352"/>
      <c r="AH100" s="352"/>
      <c r="AI100" s="886"/>
      <c r="AJ100" s="887"/>
      <c r="AK100" s="1624" t="s">
        <v>1140</v>
      </c>
      <c r="AL100" s="1622"/>
      <c r="AM100" s="1622"/>
      <c r="AN100" s="1622"/>
      <c r="AO100" s="1622"/>
      <c r="AP100" s="1622"/>
      <c r="AQ100" s="1622"/>
    </row>
    <row r="101" spans="2:43" s="346" customFormat="1" ht="15.75" customHeight="1">
      <c r="B101" s="888">
        <v>56</v>
      </c>
      <c r="C101" s="1623" t="s">
        <v>1141</v>
      </c>
      <c r="D101" s="353" t="s">
        <v>1027</v>
      </c>
      <c r="E101" s="353" t="s">
        <v>1027</v>
      </c>
      <c r="F101" s="353" t="s">
        <v>1028</v>
      </c>
      <c r="G101" s="354">
        <v>2008</v>
      </c>
      <c r="H101" s="348"/>
      <c r="I101" s="354">
        <v>39</v>
      </c>
      <c r="J101" s="928">
        <v>7.9216279983855742</v>
      </c>
      <c r="K101" s="929">
        <v>7.9216279983855742</v>
      </c>
      <c r="L101" s="928">
        <v>0</v>
      </c>
      <c r="M101" s="355">
        <v>0</v>
      </c>
      <c r="N101" s="355">
        <v>0</v>
      </c>
      <c r="O101" s="355">
        <v>0</v>
      </c>
      <c r="P101" s="356">
        <v>0</v>
      </c>
      <c r="Q101" s="355">
        <v>0</v>
      </c>
      <c r="R101" s="357">
        <v>2.4749535806985006</v>
      </c>
      <c r="S101" s="357">
        <v>2.4695367244487354</v>
      </c>
      <c r="T101" s="357">
        <v>2.9771376932383387</v>
      </c>
      <c r="U101" s="356">
        <v>0</v>
      </c>
      <c r="V101" s="349"/>
      <c r="W101" s="352"/>
      <c r="X101" s="352"/>
      <c r="Y101" s="352"/>
      <c r="Z101" s="351"/>
      <c r="AA101" s="349"/>
      <c r="AB101" s="352"/>
      <c r="AC101" s="352"/>
      <c r="AD101" s="352"/>
      <c r="AE101" s="351"/>
      <c r="AF101" s="350"/>
      <c r="AG101" s="352"/>
      <c r="AH101" s="352"/>
      <c r="AI101" s="886"/>
      <c r="AJ101" s="887"/>
      <c r="AK101" s="1624" t="s">
        <v>1142</v>
      </c>
      <c r="AL101" s="1622"/>
      <c r="AM101" s="1622"/>
      <c r="AN101" s="1622"/>
      <c r="AO101" s="1622"/>
      <c r="AP101" s="1622"/>
      <c r="AQ101" s="1622"/>
    </row>
    <row r="102" spans="2:43" s="346" customFormat="1" ht="15.75" customHeight="1">
      <c r="B102" s="888">
        <v>57</v>
      </c>
      <c r="C102" s="1623" t="s">
        <v>1143</v>
      </c>
      <c r="D102" s="353" t="s">
        <v>243</v>
      </c>
      <c r="E102" s="353" t="s">
        <v>243</v>
      </c>
      <c r="F102" s="353" t="s">
        <v>1024</v>
      </c>
      <c r="G102" s="354">
        <v>2012</v>
      </c>
      <c r="H102" s="348"/>
      <c r="I102" s="354">
        <v>240</v>
      </c>
      <c r="J102" s="928">
        <v>3.0059458613338794</v>
      </c>
      <c r="K102" s="929">
        <v>3.0059458613338794</v>
      </c>
      <c r="L102" s="928">
        <v>0</v>
      </c>
      <c r="M102" s="355">
        <v>0</v>
      </c>
      <c r="N102" s="355">
        <v>0</v>
      </c>
      <c r="O102" s="355">
        <v>0</v>
      </c>
      <c r="P102" s="356">
        <v>0</v>
      </c>
      <c r="Q102" s="355">
        <v>0</v>
      </c>
      <c r="R102" s="357">
        <v>0</v>
      </c>
      <c r="S102" s="357">
        <v>0</v>
      </c>
      <c r="T102" s="357">
        <v>0</v>
      </c>
      <c r="U102" s="356">
        <v>3.0059458613338794</v>
      </c>
      <c r="V102" s="349"/>
      <c r="W102" s="352"/>
      <c r="X102" s="352"/>
      <c r="Y102" s="352"/>
      <c r="Z102" s="351"/>
      <c r="AA102" s="349"/>
      <c r="AB102" s="352"/>
      <c r="AC102" s="352"/>
      <c r="AD102" s="352"/>
      <c r="AE102" s="351"/>
      <c r="AF102" s="350"/>
      <c r="AG102" s="352"/>
      <c r="AH102" s="352"/>
      <c r="AI102" s="886"/>
      <c r="AJ102" s="887"/>
      <c r="AK102" s="1624" t="s">
        <v>1144</v>
      </c>
      <c r="AL102" s="1622"/>
      <c r="AM102" s="1622"/>
      <c r="AN102" s="1622"/>
      <c r="AO102" s="1622"/>
      <c r="AP102" s="1622"/>
      <c r="AQ102" s="1622"/>
    </row>
    <row r="103" spans="2:43" s="346" customFormat="1" ht="15.75" customHeight="1">
      <c r="B103" s="888">
        <v>58</v>
      </c>
      <c r="C103" s="1623" t="s">
        <v>1145</v>
      </c>
      <c r="D103" s="353" t="s">
        <v>243</v>
      </c>
      <c r="E103" s="353" t="s">
        <v>243</v>
      </c>
      <c r="F103" s="353" t="s">
        <v>1028</v>
      </c>
      <c r="G103" s="354">
        <v>2011</v>
      </c>
      <c r="H103" s="348"/>
      <c r="I103" s="354">
        <v>39</v>
      </c>
      <c r="J103" s="928">
        <v>2.0555728397519175</v>
      </c>
      <c r="K103" s="929">
        <v>2.0555728397519175</v>
      </c>
      <c r="L103" s="928">
        <v>0</v>
      </c>
      <c r="M103" s="355">
        <v>0</v>
      </c>
      <c r="N103" s="355">
        <v>0</v>
      </c>
      <c r="O103" s="355">
        <v>0</v>
      </c>
      <c r="P103" s="356">
        <v>0</v>
      </c>
      <c r="Q103" s="355">
        <v>0</v>
      </c>
      <c r="R103" s="357">
        <v>0</v>
      </c>
      <c r="S103" s="357">
        <v>1.0289736351869729</v>
      </c>
      <c r="T103" s="357">
        <v>1.0265992045649444</v>
      </c>
      <c r="U103" s="356">
        <v>0</v>
      </c>
      <c r="V103" s="349"/>
      <c r="W103" s="352"/>
      <c r="X103" s="352"/>
      <c r="Y103" s="352"/>
      <c r="Z103" s="351"/>
      <c r="AA103" s="349"/>
      <c r="AB103" s="352"/>
      <c r="AC103" s="352"/>
      <c r="AD103" s="352"/>
      <c r="AE103" s="351"/>
      <c r="AF103" s="350"/>
      <c r="AG103" s="352"/>
      <c r="AH103" s="352"/>
      <c r="AI103" s="886"/>
      <c r="AJ103" s="887"/>
      <c r="AK103" s="1624" t="s">
        <v>1146</v>
      </c>
      <c r="AL103" s="1622"/>
      <c r="AM103" s="1622"/>
      <c r="AN103" s="1622"/>
      <c r="AO103" s="1622"/>
      <c r="AP103" s="1622"/>
      <c r="AQ103" s="1622"/>
    </row>
    <row r="104" spans="2:43" s="346" customFormat="1" ht="15.75" customHeight="1">
      <c r="B104" s="888">
        <v>59</v>
      </c>
      <c r="C104" s="1623" t="s">
        <v>1147</v>
      </c>
      <c r="D104" s="353" t="s">
        <v>1027</v>
      </c>
      <c r="E104" s="353" t="s">
        <v>1027</v>
      </c>
      <c r="F104" s="353" t="s">
        <v>1028</v>
      </c>
      <c r="G104" s="354">
        <v>2014</v>
      </c>
      <c r="H104" s="348"/>
      <c r="I104" s="354">
        <v>8.5</v>
      </c>
      <c r="J104" s="928">
        <v>1.0365330556323722</v>
      </c>
      <c r="K104" s="929">
        <v>1.0365330556323722</v>
      </c>
      <c r="L104" s="928">
        <v>0</v>
      </c>
      <c r="M104" s="355">
        <v>0</v>
      </c>
      <c r="N104" s="355">
        <v>0</v>
      </c>
      <c r="O104" s="355">
        <v>0</v>
      </c>
      <c r="P104" s="356">
        <v>0</v>
      </c>
      <c r="Q104" s="355">
        <v>0</v>
      </c>
      <c r="R104" s="357">
        <v>0</v>
      </c>
      <c r="S104" s="357">
        <v>0</v>
      </c>
      <c r="T104" s="357">
        <v>0</v>
      </c>
      <c r="U104" s="356">
        <v>1.0365330556323722</v>
      </c>
      <c r="V104" s="349"/>
      <c r="W104" s="352"/>
      <c r="X104" s="352"/>
      <c r="Y104" s="352"/>
      <c r="Z104" s="351"/>
      <c r="AA104" s="349"/>
      <c r="AB104" s="352"/>
      <c r="AC104" s="352"/>
      <c r="AD104" s="352"/>
      <c r="AE104" s="351"/>
      <c r="AF104" s="350"/>
      <c r="AG104" s="352"/>
      <c r="AH104" s="352"/>
      <c r="AI104" s="886"/>
      <c r="AJ104" s="887"/>
      <c r="AK104" s="1624" t="s">
        <v>1148</v>
      </c>
      <c r="AL104" s="1622"/>
      <c r="AM104" s="1622"/>
      <c r="AN104" s="1622"/>
      <c r="AO104" s="1622"/>
      <c r="AP104" s="1622"/>
      <c r="AQ104" s="1622"/>
    </row>
    <row r="105" spans="2:43" s="346" customFormat="1" ht="15.75" customHeight="1">
      <c r="B105" s="888">
        <v>60</v>
      </c>
      <c r="C105" s="1623" t="s">
        <v>1149</v>
      </c>
      <c r="D105" s="353" t="s">
        <v>1027</v>
      </c>
      <c r="E105" s="353" t="s">
        <v>1027</v>
      </c>
      <c r="F105" s="353" t="s">
        <v>1150</v>
      </c>
      <c r="G105" s="354">
        <v>2008</v>
      </c>
      <c r="H105" s="348"/>
      <c r="I105" s="354">
        <v>31</v>
      </c>
      <c r="J105" s="928">
        <v>0.84302671359734682</v>
      </c>
      <c r="K105" s="929">
        <v>0.84302671359734682</v>
      </c>
      <c r="L105" s="928">
        <v>0</v>
      </c>
      <c r="M105" s="355">
        <v>0</v>
      </c>
      <c r="N105" s="355">
        <v>0</v>
      </c>
      <c r="O105" s="355">
        <v>0</v>
      </c>
      <c r="P105" s="356">
        <v>0</v>
      </c>
      <c r="Q105" s="355">
        <v>0.84302671359734682</v>
      </c>
      <c r="R105" s="357">
        <v>0</v>
      </c>
      <c r="S105" s="357">
        <v>0</v>
      </c>
      <c r="T105" s="357">
        <v>0</v>
      </c>
      <c r="U105" s="356">
        <v>0</v>
      </c>
      <c r="V105" s="349"/>
      <c r="W105" s="352"/>
      <c r="X105" s="352"/>
      <c r="Y105" s="352"/>
      <c r="Z105" s="351"/>
      <c r="AA105" s="349"/>
      <c r="AB105" s="352"/>
      <c r="AC105" s="352"/>
      <c r="AD105" s="352"/>
      <c r="AE105" s="351"/>
      <c r="AF105" s="350"/>
      <c r="AG105" s="352"/>
      <c r="AH105" s="352"/>
      <c r="AI105" s="886"/>
      <c r="AJ105" s="887"/>
      <c r="AK105" s="1624" t="s">
        <v>1151</v>
      </c>
      <c r="AL105" s="1622"/>
      <c r="AM105" s="1622"/>
      <c r="AN105" s="1622"/>
      <c r="AO105" s="1622"/>
      <c r="AP105" s="1622"/>
      <c r="AQ105" s="1622"/>
    </row>
    <row r="106" spans="2:43" s="346" customFormat="1" ht="15.75" customHeight="1">
      <c r="B106" s="888">
        <v>61</v>
      </c>
      <c r="C106" s="1623" t="s">
        <v>1152</v>
      </c>
      <c r="D106" s="353" t="s">
        <v>243</v>
      </c>
      <c r="E106" s="353" t="s">
        <v>243</v>
      </c>
      <c r="F106" s="353" t="s">
        <v>1028</v>
      </c>
      <c r="G106" s="354">
        <v>2013</v>
      </c>
      <c r="H106" s="348"/>
      <c r="I106" s="354">
        <v>117</v>
      </c>
      <c r="J106" s="928">
        <v>3.1354746714435837</v>
      </c>
      <c r="K106" s="929">
        <v>3.1354746714435837</v>
      </c>
      <c r="L106" s="928">
        <v>0</v>
      </c>
      <c r="M106" s="355">
        <v>0</v>
      </c>
      <c r="N106" s="355">
        <v>0</v>
      </c>
      <c r="O106" s="355">
        <v>0</v>
      </c>
      <c r="P106" s="356">
        <v>0</v>
      </c>
      <c r="Q106" s="355">
        <v>1.5806750879950251</v>
      </c>
      <c r="R106" s="357">
        <v>0</v>
      </c>
      <c r="S106" s="357">
        <v>0</v>
      </c>
      <c r="T106" s="357">
        <v>0</v>
      </c>
      <c r="U106" s="356">
        <v>1.5547995834485584</v>
      </c>
      <c r="V106" s="349"/>
      <c r="W106" s="352"/>
      <c r="X106" s="352"/>
      <c r="Y106" s="352"/>
      <c r="Z106" s="351"/>
      <c r="AA106" s="349"/>
      <c r="AB106" s="352"/>
      <c r="AC106" s="352"/>
      <c r="AD106" s="352"/>
      <c r="AE106" s="351"/>
      <c r="AF106" s="350"/>
      <c r="AG106" s="352"/>
      <c r="AH106" s="352"/>
      <c r="AI106" s="886"/>
      <c r="AJ106" s="887"/>
      <c r="AK106" s="1624" t="s">
        <v>1153</v>
      </c>
      <c r="AL106" s="1622"/>
      <c r="AM106" s="1622"/>
      <c r="AN106" s="1622"/>
      <c r="AO106" s="1622"/>
      <c r="AP106" s="1622"/>
      <c r="AQ106" s="1622"/>
    </row>
    <row r="107" spans="2:43" s="346" customFormat="1" ht="15.75" customHeight="1">
      <c r="B107" s="888">
        <v>62</v>
      </c>
      <c r="C107" s="1623" t="s">
        <v>1154</v>
      </c>
      <c r="D107" s="353" t="s">
        <v>1027</v>
      </c>
      <c r="E107" s="353" t="s">
        <v>1027</v>
      </c>
      <c r="F107" s="353" t="s">
        <v>1028</v>
      </c>
      <c r="G107" s="354">
        <v>2007</v>
      </c>
      <c r="H107" s="348"/>
      <c r="I107" s="354">
        <v>18</v>
      </c>
      <c r="J107" s="928">
        <v>1.5806750879950251</v>
      </c>
      <c r="K107" s="929">
        <v>1.5806750879950251</v>
      </c>
      <c r="L107" s="928">
        <v>0</v>
      </c>
      <c r="M107" s="355">
        <v>0</v>
      </c>
      <c r="N107" s="355">
        <v>0</v>
      </c>
      <c r="O107" s="355">
        <v>0</v>
      </c>
      <c r="P107" s="356">
        <v>0</v>
      </c>
      <c r="Q107" s="355">
        <v>1.5806750879950251</v>
      </c>
      <c r="R107" s="357">
        <v>0</v>
      </c>
      <c r="S107" s="357">
        <v>0</v>
      </c>
      <c r="T107" s="357">
        <v>0</v>
      </c>
      <c r="U107" s="356">
        <v>0</v>
      </c>
      <c r="V107" s="349"/>
      <c r="W107" s="352"/>
      <c r="X107" s="352"/>
      <c r="Y107" s="352"/>
      <c r="Z107" s="351"/>
      <c r="AA107" s="349"/>
      <c r="AB107" s="352"/>
      <c r="AC107" s="352"/>
      <c r="AD107" s="352"/>
      <c r="AE107" s="351"/>
      <c r="AF107" s="350"/>
      <c r="AG107" s="352"/>
      <c r="AH107" s="352"/>
      <c r="AI107" s="886"/>
      <c r="AJ107" s="887"/>
      <c r="AK107" s="1624" t="s">
        <v>1155</v>
      </c>
      <c r="AL107" s="1622"/>
      <c r="AM107" s="1622"/>
      <c r="AN107" s="1622"/>
      <c r="AO107" s="1622"/>
      <c r="AP107" s="1622"/>
      <c r="AQ107" s="1622"/>
    </row>
    <row r="108" spans="2:43" s="346" customFormat="1" ht="15.75" customHeight="1">
      <c r="B108" s="888">
        <v>63</v>
      </c>
      <c r="C108" s="1623" t="s">
        <v>1156</v>
      </c>
      <c r="D108" s="353" t="s">
        <v>1033</v>
      </c>
      <c r="E108" s="353" t="s">
        <v>1033</v>
      </c>
      <c r="F108" s="353" t="s">
        <v>1024</v>
      </c>
      <c r="G108" s="354">
        <v>2008</v>
      </c>
      <c r="H108" s="348"/>
      <c r="I108" s="354">
        <v>4</v>
      </c>
      <c r="J108" s="928">
        <v>0.86050000000000004</v>
      </c>
      <c r="K108" s="929">
        <v>0.86050000000000004</v>
      </c>
      <c r="L108" s="928">
        <v>0</v>
      </c>
      <c r="M108" s="355">
        <v>0</v>
      </c>
      <c r="N108" s="355">
        <v>0</v>
      </c>
      <c r="O108" s="355">
        <v>0</v>
      </c>
      <c r="P108" s="356">
        <v>0</v>
      </c>
      <c r="Q108" s="355">
        <v>0.32550000000000001</v>
      </c>
      <c r="R108" s="357">
        <v>0.53500000000000003</v>
      </c>
      <c r="S108" s="357">
        <v>0</v>
      </c>
      <c r="T108" s="357">
        <v>0</v>
      </c>
      <c r="U108" s="356">
        <v>0</v>
      </c>
      <c r="V108" s="349"/>
      <c r="W108" s="352"/>
      <c r="X108" s="352"/>
      <c r="Y108" s="352"/>
      <c r="Z108" s="351"/>
      <c r="AA108" s="349"/>
      <c r="AB108" s="352"/>
      <c r="AC108" s="352"/>
      <c r="AD108" s="352"/>
      <c r="AE108" s="351"/>
      <c r="AF108" s="350"/>
      <c r="AG108" s="352"/>
      <c r="AH108" s="352"/>
      <c r="AI108" s="886"/>
      <c r="AJ108" s="887"/>
      <c r="AK108" s="1624" t="s">
        <v>1108</v>
      </c>
      <c r="AL108" s="1622"/>
      <c r="AM108" s="1622"/>
      <c r="AN108" s="1622"/>
      <c r="AO108" s="1622"/>
      <c r="AP108" s="1622"/>
      <c r="AQ108" s="1622"/>
    </row>
    <row r="109" spans="2:43" s="346" customFormat="1" ht="15.75" customHeight="1">
      <c r="B109" s="888">
        <v>64</v>
      </c>
      <c r="C109" s="1623" t="s">
        <v>1157</v>
      </c>
      <c r="D109" s="353" t="s">
        <v>243</v>
      </c>
      <c r="E109" s="353" t="s">
        <v>243</v>
      </c>
      <c r="F109" s="353" t="s">
        <v>1028</v>
      </c>
      <c r="G109" s="354">
        <v>2008</v>
      </c>
      <c r="H109" s="348"/>
      <c r="I109" s="354">
        <v>54</v>
      </c>
      <c r="J109" s="928">
        <v>1.5693987213088709</v>
      </c>
      <c r="K109" s="929">
        <v>1.5693987213088709</v>
      </c>
      <c r="L109" s="928">
        <v>0</v>
      </c>
      <c r="M109" s="355">
        <v>0</v>
      </c>
      <c r="N109" s="355">
        <v>0</v>
      </c>
      <c r="O109" s="355">
        <v>0</v>
      </c>
      <c r="P109" s="356">
        <v>0</v>
      </c>
      <c r="Q109" s="355">
        <v>1.0537833919966832</v>
      </c>
      <c r="R109" s="357">
        <v>0.51561532931218768</v>
      </c>
      <c r="S109" s="357">
        <v>0</v>
      </c>
      <c r="T109" s="357">
        <v>0</v>
      </c>
      <c r="U109" s="356">
        <v>0</v>
      </c>
      <c r="V109" s="349"/>
      <c r="W109" s="352"/>
      <c r="X109" s="352"/>
      <c r="Y109" s="352"/>
      <c r="Z109" s="351"/>
      <c r="AA109" s="349"/>
      <c r="AB109" s="352"/>
      <c r="AC109" s="352"/>
      <c r="AD109" s="352"/>
      <c r="AE109" s="351"/>
      <c r="AF109" s="350"/>
      <c r="AG109" s="352"/>
      <c r="AH109" s="352"/>
      <c r="AI109" s="886"/>
      <c r="AJ109" s="887"/>
      <c r="AK109" s="1624" t="s">
        <v>1158</v>
      </c>
      <c r="AL109" s="1622"/>
      <c r="AM109" s="1622"/>
      <c r="AN109" s="1622"/>
      <c r="AO109" s="1622"/>
      <c r="AP109" s="1622"/>
      <c r="AQ109" s="1622"/>
    </row>
    <row r="110" spans="2:43" s="346" customFormat="1" ht="15.75" customHeight="1">
      <c r="B110" s="888">
        <v>65</v>
      </c>
      <c r="C110" s="1623" t="s">
        <v>1159</v>
      </c>
      <c r="D110" s="353" t="s">
        <v>243</v>
      </c>
      <c r="E110" s="353" t="s">
        <v>243</v>
      </c>
      <c r="F110" s="353" t="s">
        <v>1028</v>
      </c>
      <c r="G110" s="354">
        <v>2011</v>
      </c>
      <c r="H110" s="348"/>
      <c r="I110" s="354">
        <v>78</v>
      </c>
      <c r="J110" s="928">
        <v>2.0590757820926471</v>
      </c>
      <c r="K110" s="929">
        <v>2.0590757820926471</v>
      </c>
      <c r="L110" s="928">
        <v>0</v>
      </c>
      <c r="M110" s="355">
        <v>0</v>
      </c>
      <c r="N110" s="355">
        <v>0</v>
      </c>
      <c r="O110" s="355">
        <v>0</v>
      </c>
      <c r="P110" s="356">
        <v>0</v>
      </c>
      <c r="Q110" s="355">
        <v>0</v>
      </c>
      <c r="R110" s="357">
        <v>0.51561532931218768</v>
      </c>
      <c r="S110" s="357">
        <v>1.5434604527804594</v>
      </c>
      <c r="T110" s="357">
        <v>0</v>
      </c>
      <c r="U110" s="356">
        <v>0</v>
      </c>
      <c r="V110" s="349"/>
      <c r="W110" s="352"/>
      <c r="X110" s="352"/>
      <c r="Y110" s="352"/>
      <c r="Z110" s="351"/>
      <c r="AA110" s="349"/>
      <c r="AB110" s="352"/>
      <c r="AC110" s="352"/>
      <c r="AD110" s="352"/>
      <c r="AE110" s="351"/>
      <c r="AF110" s="350"/>
      <c r="AG110" s="352"/>
      <c r="AH110" s="352"/>
      <c r="AI110" s="886"/>
      <c r="AJ110" s="887"/>
      <c r="AK110" s="1624" t="s">
        <v>1160</v>
      </c>
      <c r="AL110" s="1622"/>
      <c r="AM110" s="1622"/>
      <c r="AN110" s="1622"/>
      <c r="AO110" s="1622"/>
      <c r="AP110" s="1622"/>
      <c r="AQ110" s="1622"/>
    </row>
    <row r="111" spans="2:43" s="346" customFormat="1" ht="15.75" customHeight="1">
      <c r="B111" s="888">
        <v>66</v>
      </c>
      <c r="C111" s="1623" t="s">
        <v>1161</v>
      </c>
      <c r="D111" s="353" t="s">
        <v>1027</v>
      </c>
      <c r="E111" s="353" t="s">
        <v>1027</v>
      </c>
      <c r="F111" s="353" t="s">
        <v>1028</v>
      </c>
      <c r="G111" s="354">
        <v>2006</v>
      </c>
      <c r="H111" s="348"/>
      <c r="I111" s="354">
        <v>10.5</v>
      </c>
      <c r="J111" s="928">
        <v>1.3473656762233803</v>
      </c>
      <c r="K111" s="929">
        <v>1.3473656762233803</v>
      </c>
      <c r="L111" s="928">
        <v>0</v>
      </c>
      <c r="M111" s="355">
        <v>0</v>
      </c>
      <c r="N111" s="355">
        <v>0</v>
      </c>
      <c r="O111" s="355">
        <v>0</v>
      </c>
      <c r="P111" s="356">
        <v>0</v>
      </c>
      <c r="Q111" s="355">
        <v>0.31613501759900503</v>
      </c>
      <c r="R111" s="357">
        <v>1.0312306586243754</v>
      </c>
      <c r="S111" s="357">
        <v>0</v>
      </c>
      <c r="T111" s="357">
        <v>0</v>
      </c>
      <c r="U111" s="356">
        <v>0</v>
      </c>
      <c r="V111" s="349"/>
      <c r="W111" s="352"/>
      <c r="X111" s="352"/>
      <c r="Y111" s="352"/>
      <c r="Z111" s="351"/>
      <c r="AA111" s="349"/>
      <c r="AB111" s="352"/>
      <c r="AC111" s="352"/>
      <c r="AD111" s="352"/>
      <c r="AE111" s="351"/>
      <c r="AF111" s="350"/>
      <c r="AG111" s="352"/>
      <c r="AH111" s="352"/>
      <c r="AI111" s="886"/>
      <c r="AJ111" s="887"/>
      <c r="AK111" s="1624" t="s">
        <v>1162</v>
      </c>
      <c r="AL111" s="1622"/>
      <c r="AM111" s="1622"/>
      <c r="AN111" s="1622"/>
      <c r="AO111" s="1622"/>
      <c r="AP111" s="1622"/>
      <c r="AQ111" s="1622"/>
    </row>
    <row r="112" spans="2:43" s="346" customFormat="1" ht="15.75" customHeight="1">
      <c r="B112" s="888">
        <v>67</v>
      </c>
      <c r="C112" s="1623" t="s">
        <v>1163</v>
      </c>
      <c r="D112" s="353" t="s">
        <v>1027</v>
      </c>
      <c r="E112" s="353" t="s">
        <v>1027</v>
      </c>
      <c r="F112" s="353" t="s">
        <v>1024</v>
      </c>
      <c r="G112" s="354">
        <v>2007</v>
      </c>
      <c r="H112" s="348"/>
      <c r="I112" s="354">
        <v>2</v>
      </c>
      <c r="J112" s="928">
        <v>0.30936919758731257</v>
      </c>
      <c r="K112" s="929">
        <v>0.30936919758731257</v>
      </c>
      <c r="L112" s="928">
        <v>0</v>
      </c>
      <c r="M112" s="355">
        <v>0</v>
      </c>
      <c r="N112" s="355">
        <v>0</v>
      </c>
      <c r="O112" s="355">
        <v>0</v>
      </c>
      <c r="P112" s="356">
        <v>0</v>
      </c>
      <c r="Q112" s="355">
        <v>0</v>
      </c>
      <c r="R112" s="357">
        <v>0.30936919758731257</v>
      </c>
      <c r="S112" s="357">
        <v>0</v>
      </c>
      <c r="T112" s="357">
        <v>0</v>
      </c>
      <c r="U112" s="356">
        <v>0</v>
      </c>
      <c r="V112" s="349"/>
      <c r="W112" s="352"/>
      <c r="X112" s="352"/>
      <c r="Y112" s="352"/>
      <c r="Z112" s="351"/>
      <c r="AA112" s="349"/>
      <c r="AB112" s="352"/>
      <c r="AC112" s="352"/>
      <c r="AD112" s="352"/>
      <c r="AE112" s="351"/>
      <c r="AF112" s="350"/>
      <c r="AG112" s="352"/>
      <c r="AH112" s="352"/>
      <c r="AI112" s="886"/>
      <c r="AJ112" s="887"/>
      <c r="AK112" s="1624" t="s">
        <v>1164</v>
      </c>
      <c r="AL112" s="1622"/>
      <c r="AM112" s="1622"/>
      <c r="AN112" s="1622"/>
      <c r="AO112" s="1622"/>
      <c r="AP112" s="1622"/>
      <c r="AQ112" s="1622"/>
    </row>
    <row r="113" spans="2:43" s="346" customFormat="1" ht="15.75" customHeight="1">
      <c r="B113" s="888">
        <v>68</v>
      </c>
      <c r="C113" s="1623" t="s">
        <v>1165</v>
      </c>
      <c r="D113" s="353" t="s">
        <v>243</v>
      </c>
      <c r="E113" s="353" t="s">
        <v>243</v>
      </c>
      <c r="F113" s="353" t="s">
        <v>1044</v>
      </c>
      <c r="G113" s="354">
        <v>2010</v>
      </c>
      <c r="H113" s="348"/>
      <c r="I113" s="354">
        <v>39</v>
      </c>
      <c r="J113" s="928">
        <v>1.0289736351869729</v>
      </c>
      <c r="K113" s="929">
        <v>1.0289736351869729</v>
      </c>
      <c r="L113" s="928">
        <v>0</v>
      </c>
      <c r="M113" s="355">
        <v>0</v>
      </c>
      <c r="N113" s="355">
        <v>0</v>
      </c>
      <c r="O113" s="355">
        <v>0</v>
      </c>
      <c r="P113" s="356">
        <v>0</v>
      </c>
      <c r="Q113" s="355">
        <v>0</v>
      </c>
      <c r="R113" s="357">
        <v>0</v>
      </c>
      <c r="S113" s="357">
        <v>1.0289736351869729</v>
      </c>
      <c r="T113" s="357">
        <v>0</v>
      </c>
      <c r="U113" s="356">
        <v>0</v>
      </c>
      <c r="V113" s="349"/>
      <c r="W113" s="352"/>
      <c r="X113" s="352"/>
      <c r="Y113" s="352"/>
      <c r="Z113" s="351"/>
      <c r="AA113" s="349"/>
      <c r="AB113" s="352"/>
      <c r="AC113" s="352"/>
      <c r="AD113" s="352"/>
      <c r="AE113" s="351"/>
      <c r="AF113" s="350"/>
      <c r="AG113" s="352"/>
      <c r="AH113" s="352"/>
      <c r="AI113" s="886"/>
      <c r="AJ113" s="887"/>
      <c r="AK113" s="1624" t="s">
        <v>1166</v>
      </c>
      <c r="AL113" s="1622"/>
      <c r="AM113" s="1622"/>
      <c r="AN113" s="1622"/>
      <c r="AO113" s="1622"/>
      <c r="AP113" s="1622"/>
      <c r="AQ113" s="1622"/>
    </row>
    <row r="114" spans="2:43" ht="15.75" customHeight="1">
      <c r="B114" s="888">
        <v>69</v>
      </c>
      <c r="C114" s="1623" t="s">
        <v>1167</v>
      </c>
      <c r="D114" s="353" t="s">
        <v>1027</v>
      </c>
      <c r="E114" s="353" t="s">
        <v>1027</v>
      </c>
      <c r="F114" s="353" t="s">
        <v>1028</v>
      </c>
      <c r="G114" s="354">
        <v>2008</v>
      </c>
      <c r="H114" s="348"/>
      <c r="I114" s="354">
        <v>17.5</v>
      </c>
      <c r="J114" s="928">
        <v>1.6567348738106928</v>
      </c>
      <c r="K114" s="929">
        <v>1.6567348738106928</v>
      </c>
      <c r="L114" s="928">
        <v>0</v>
      </c>
      <c r="M114" s="355">
        <v>0</v>
      </c>
      <c r="N114" s="355">
        <v>0</v>
      </c>
      <c r="O114" s="355">
        <v>0</v>
      </c>
      <c r="P114" s="356">
        <v>0</v>
      </c>
      <c r="Q114" s="355">
        <v>0.31613501759900503</v>
      </c>
      <c r="R114" s="357">
        <v>1.3405998562116879</v>
      </c>
      <c r="S114" s="357">
        <v>0</v>
      </c>
      <c r="T114" s="357">
        <v>0</v>
      </c>
      <c r="U114" s="356">
        <v>0</v>
      </c>
      <c r="V114" s="349"/>
      <c r="W114" s="352"/>
      <c r="X114" s="352"/>
      <c r="Y114" s="352"/>
      <c r="Z114" s="351"/>
      <c r="AA114" s="349"/>
      <c r="AB114" s="352"/>
      <c r="AC114" s="352"/>
      <c r="AD114" s="352"/>
      <c r="AE114" s="351"/>
      <c r="AF114" s="350"/>
      <c r="AG114" s="352"/>
      <c r="AH114" s="352"/>
      <c r="AI114" s="886"/>
      <c r="AJ114" s="887"/>
      <c r="AK114" s="1624" t="s">
        <v>1168</v>
      </c>
      <c r="AL114" s="1625"/>
      <c r="AM114" s="1625"/>
      <c r="AN114" s="1625"/>
      <c r="AO114" s="1625"/>
      <c r="AP114" s="1625"/>
      <c r="AQ114" s="1625"/>
    </row>
    <row r="115" spans="2:43" ht="15.75" customHeight="1">
      <c r="B115" s="888">
        <v>70</v>
      </c>
      <c r="C115" s="1623" t="s">
        <v>1169</v>
      </c>
      <c r="D115" s="353" t="s">
        <v>243</v>
      </c>
      <c r="E115" s="353" t="s">
        <v>243</v>
      </c>
      <c r="F115" s="353" t="s">
        <v>1044</v>
      </c>
      <c r="G115" s="354">
        <v>2009</v>
      </c>
      <c r="H115" s="348"/>
      <c r="I115" s="354">
        <v>0</v>
      </c>
      <c r="J115" s="928">
        <v>0.21075667839933671</v>
      </c>
      <c r="K115" s="929">
        <v>0.21075667839933671</v>
      </c>
      <c r="L115" s="928">
        <v>0</v>
      </c>
      <c r="M115" s="355">
        <v>0</v>
      </c>
      <c r="N115" s="355">
        <v>0</v>
      </c>
      <c r="O115" s="355">
        <v>0</v>
      </c>
      <c r="P115" s="356">
        <v>0</v>
      </c>
      <c r="Q115" s="355">
        <v>0.21075667839933671</v>
      </c>
      <c r="R115" s="357">
        <v>0</v>
      </c>
      <c r="S115" s="357">
        <v>0</v>
      </c>
      <c r="T115" s="357">
        <v>0</v>
      </c>
      <c r="U115" s="356">
        <v>0</v>
      </c>
      <c r="V115" s="349"/>
      <c r="W115" s="352"/>
      <c r="X115" s="352"/>
      <c r="Y115" s="352"/>
      <c r="Z115" s="351"/>
      <c r="AA115" s="349"/>
      <c r="AB115" s="352"/>
      <c r="AC115" s="352"/>
      <c r="AD115" s="352"/>
      <c r="AE115" s="351"/>
      <c r="AF115" s="350"/>
      <c r="AG115" s="352"/>
      <c r="AH115" s="352"/>
      <c r="AI115" s="886"/>
      <c r="AJ115" s="887"/>
      <c r="AK115" s="1624" t="s">
        <v>1170</v>
      </c>
      <c r="AL115" s="1625"/>
      <c r="AM115" s="1625"/>
      <c r="AN115" s="1625"/>
      <c r="AO115" s="1625"/>
      <c r="AP115" s="1625"/>
      <c r="AQ115" s="1625"/>
    </row>
    <row r="116" spans="2:43" ht="15.75" customHeight="1">
      <c r="B116" s="888">
        <v>71</v>
      </c>
      <c r="C116" s="1623" t="s">
        <v>1171</v>
      </c>
      <c r="D116" s="353" t="s">
        <v>1027</v>
      </c>
      <c r="E116" s="353" t="s">
        <v>1027</v>
      </c>
      <c r="F116" s="353" t="s">
        <v>1172</v>
      </c>
      <c r="G116" s="354">
        <v>2010</v>
      </c>
      <c r="H116" s="348"/>
      <c r="I116" s="354">
        <v>31</v>
      </c>
      <c r="J116" s="928">
        <v>5.4603879789772005</v>
      </c>
      <c r="K116" s="929">
        <v>5.4603879789772005</v>
      </c>
      <c r="L116" s="928">
        <v>0</v>
      </c>
      <c r="M116" s="355">
        <v>0</v>
      </c>
      <c r="N116" s="355">
        <v>0</v>
      </c>
      <c r="O116" s="355">
        <v>0</v>
      </c>
      <c r="P116" s="356">
        <v>0</v>
      </c>
      <c r="Q116" s="355">
        <v>0</v>
      </c>
      <c r="R116" s="357">
        <v>0</v>
      </c>
      <c r="S116" s="357">
        <v>1.9550499068552485</v>
      </c>
      <c r="T116" s="357">
        <v>1.9505384886733943</v>
      </c>
      <c r="U116" s="356">
        <v>1.5547995834485584</v>
      </c>
      <c r="V116" s="349"/>
      <c r="W116" s="352"/>
      <c r="X116" s="352"/>
      <c r="Y116" s="352"/>
      <c r="Z116" s="351"/>
      <c r="AA116" s="349"/>
      <c r="AB116" s="352"/>
      <c r="AC116" s="352"/>
      <c r="AD116" s="352"/>
      <c r="AE116" s="351"/>
      <c r="AF116" s="350"/>
      <c r="AG116" s="352"/>
      <c r="AH116" s="352"/>
      <c r="AI116" s="886"/>
      <c r="AJ116" s="887"/>
      <c r="AK116" s="1624" t="s">
        <v>1173</v>
      </c>
      <c r="AL116" s="1625"/>
      <c r="AM116" s="1625"/>
      <c r="AN116" s="1625"/>
      <c r="AO116" s="1625"/>
      <c r="AP116" s="1625"/>
      <c r="AQ116" s="1625"/>
    </row>
    <row r="117" spans="2:43" ht="15.75" customHeight="1">
      <c r="B117" s="888">
        <v>72</v>
      </c>
      <c r="C117" s="1623" t="s">
        <v>1174</v>
      </c>
      <c r="D117" s="353" t="s">
        <v>1027</v>
      </c>
      <c r="E117" s="353" t="s">
        <v>1027</v>
      </c>
      <c r="F117" s="353" t="s">
        <v>1175</v>
      </c>
      <c r="G117" s="354">
        <v>2007</v>
      </c>
      <c r="H117" s="348"/>
      <c r="I117" s="354">
        <v>14</v>
      </c>
      <c r="J117" s="928">
        <v>0.41474753678698095</v>
      </c>
      <c r="K117" s="929">
        <v>0.41474753678698095</v>
      </c>
      <c r="L117" s="928">
        <v>0</v>
      </c>
      <c r="M117" s="355">
        <v>0</v>
      </c>
      <c r="N117" s="355">
        <v>0</v>
      </c>
      <c r="O117" s="355">
        <v>0</v>
      </c>
      <c r="P117" s="356">
        <v>0</v>
      </c>
      <c r="Q117" s="355">
        <v>0.10537833919966835</v>
      </c>
      <c r="R117" s="357">
        <v>0.30936919758731257</v>
      </c>
      <c r="S117" s="357">
        <v>0</v>
      </c>
      <c r="T117" s="357">
        <v>0</v>
      </c>
      <c r="U117" s="356">
        <v>0</v>
      </c>
      <c r="V117" s="349"/>
      <c r="W117" s="352"/>
      <c r="X117" s="352"/>
      <c r="Y117" s="352"/>
      <c r="Z117" s="351"/>
      <c r="AA117" s="349"/>
      <c r="AB117" s="352"/>
      <c r="AC117" s="352"/>
      <c r="AD117" s="352"/>
      <c r="AE117" s="351"/>
      <c r="AF117" s="350"/>
      <c r="AG117" s="352"/>
      <c r="AH117" s="352"/>
      <c r="AI117" s="886"/>
      <c r="AJ117" s="887"/>
      <c r="AK117" s="1624" t="s">
        <v>1176</v>
      </c>
      <c r="AL117" s="1625"/>
      <c r="AM117" s="1625"/>
      <c r="AN117" s="1625"/>
      <c r="AO117" s="1625"/>
      <c r="AP117" s="1625"/>
      <c r="AQ117" s="1625"/>
    </row>
    <row r="118" spans="2:43" ht="15.75" customHeight="1">
      <c r="B118" s="888">
        <v>73</v>
      </c>
      <c r="C118" s="1623" t="s">
        <v>1177</v>
      </c>
      <c r="D118" s="353" t="s">
        <v>243</v>
      </c>
      <c r="E118" s="353" t="s">
        <v>243</v>
      </c>
      <c r="F118" s="353" t="s">
        <v>1172</v>
      </c>
      <c r="G118" s="354">
        <v>2012</v>
      </c>
      <c r="H118" s="348"/>
      <c r="I118" s="354">
        <v>150</v>
      </c>
      <c r="J118" s="928">
        <v>9.0652555988890811</v>
      </c>
      <c r="K118" s="929">
        <v>9.0652555988890811</v>
      </c>
      <c r="L118" s="928">
        <v>0</v>
      </c>
      <c r="M118" s="355">
        <v>0</v>
      </c>
      <c r="N118" s="355">
        <v>0</v>
      </c>
      <c r="O118" s="355">
        <v>0</v>
      </c>
      <c r="P118" s="356">
        <v>0</v>
      </c>
      <c r="Q118" s="355">
        <v>0</v>
      </c>
      <c r="R118" s="357">
        <v>0</v>
      </c>
      <c r="S118" s="357">
        <v>1.0289736351869729</v>
      </c>
      <c r="T118" s="357">
        <v>5.0303361023682278</v>
      </c>
      <c r="U118" s="356">
        <v>3.0059458613338794</v>
      </c>
      <c r="V118" s="349"/>
      <c r="W118" s="352"/>
      <c r="X118" s="352"/>
      <c r="Y118" s="352"/>
      <c r="Z118" s="351"/>
      <c r="AA118" s="349"/>
      <c r="AB118" s="352"/>
      <c r="AC118" s="352"/>
      <c r="AD118" s="352"/>
      <c r="AE118" s="351"/>
      <c r="AF118" s="350"/>
      <c r="AG118" s="352"/>
      <c r="AH118" s="352"/>
      <c r="AI118" s="886"/>
      <c r="AJ118" s="887"/>
      <c r="AK118" s="1624" t="s">
        <v>1178</v>
      </c>
      <c r="AL118" s="1625"/>
      <c r="AM118" s="1625"/>
      <c r="AN118" s="1625"/>
      <c r="AO118" s="1625"/>
      <c r="AP118" s="1625"/>
      <c r="AQ118" s="1625"/>
    </row>
    <row r="119" spans="2:43" ht="15.75" customHeight="1">
      <c r="B119" s="888">
        <v>74</v>
      </c>
      <c r="C119" s="1623" t="s">
        <v>1179</v>
      </c>
      <c r="D119" s="353" t="s">
        <v>1027</v>
      </c>
      <c r="E119" s="353" t="s">
        <v>1027</v>
      </c>
      <c r="F119" s="353" t="s">
        <v>1028</v>
      </c>
      <c r="G119" s="354">
        <v>2008</v>
      </c>
      <c r="H119" s="348"/>
      <c r="I119" s="354">
        <v>14.25</v>
      </c>
      <c r="J119" s="928">
        <v>1.0425070253105293</v>
      </c>
      <c r="K119" s="929">
        <v>1.0425070253105293</v>
      </c>
      <c r="L119" s="928">
        <v>0</v>
      </c>
      <c r="M119" s="355">
        <v>0</v>
      </c>
      <c r="N119" s="355">
        <v>0</v>
      </c>
      <c r="O119" s="355">
        <v>0</v>
      </c>
      <c r="P119" s="356">
        <v>0</v>
      </c>
      <c r="Q119" s="355">
        <v>0.52689169599834162</v>
      </c>
      <c r="R119" s="357">
        <v>0.51561532931218768</v>
      </c>
      <c r="S119" s="357">
        <v>0</v>
      </c>
      <c r="T119" s="357">
        <v>0</v>
      </c>
      <c r="U119" s="356">
        <v>0</v>
      </c>
      <c r="V119" s="349"/>
      <c r="W119" s="352"/>
      <c r="X119" s="352"/>
      <c r="Y119" s="352"/>
      <c r="Z119" s="351"/>
      <c r="AA119" s="349"/>
      <c r="AB119" s="352"/>
      <c r="AC119" s="352"/>
      <c r="AD119" s="352"/>
      <c r="AE119" s="351"/>
      <c r="AF119" s="350"/>
      <c r="AG119" s="352"/>
      <c r="AH119" s="352"/>
      <c r="AI119" s="886"/>
      <c r="AJ119" s="887"/>
      <c r="AK119" s="1624" t="s">
        <v>1180</v>
      </c>
      <c r="AL119" s="1625"/>
      <c r="AM119" s="1625"/>
      <c r="AN119" s="1625"/>
      <c r="AO119" s="1625"/>
      <c r="AP119" s="1625"/>
      <c r="AQ119" s="1625"/>
    </row>
    <row r="120" spans="2:43" ht="15.75" customHeight="1">
      <c r="B120" s="888">
        <v>75</v>
      </c>
      <c r="C120" s="1623"/>
      <c r="D120" s="353"/>
      <c r="E120" s="353"/>
      <c r="F120" s="353"/>
      <c r="G120" s="354"/>
      <c r="H120" s="348"/>
      <c r="I120" s="354"/>
      <c r="J120" s="928"/>
      <c r="K120" s="929"/>
      <c r="L120" s="928"/>
      <c r="M120" s="355"/>
      <c r="N120" s="355"/>
      <c r="O120" s="355"/>
      <c r="P120" s="356"/>
      <c r="Q120" s="355"/>
      <c r="R120" s="357"/>
      <c r="S120" s="357"/>
      <c r="T120" s="357"/>
      <c r="U120" s="356"/>
      <c r="V120" s="349"/>
      <c r="W120" s="352"/>
      <c r="X120" s="352"/>
      <c r="Y120" s="352"/>
      <c r="Z120" s="351"/>
      <c r="AA120" s="349"/>
      <c r="AB120" s="352"/>
      <c r="AC120" s="352"/>
      <c r="AD120" s="352"/>
      <c r="AE120" s="351"/>
      <c r="AF120" s="350"/>
      <c r="AG120" s="352"/>
      <c r="AH120" s="352"/>
      <c r="AI120" s="886"/>
      <c r="AJ120" s="887"/>
      <c r="AK120" s="1624"/>
      <c r="AL120" s="1625"/>
      <c r="AM120" s="1625"/>
      <c r="AN120" s="1625"/>
      <c r="AO120" s="1625"/>
      <c r="AP120" s="1625"/>
      <c r="AQ120" s="1625"/>
    </row>
    <row r="121" spans="2:43" s="346" customFormat="1" ht="15.75" customHeight="1">
      <c r="B121" s="1626"/>
      <c r="C121" s="1626"/>
      <c r="D121" s="1627"/>
      <c r="E121" s="1627"/>
      <c r="F121" s="1627"/>
      <c r="G121" s="1627"/>
      <c r="H121" s="1626"/>
      <c r="I121" s="1626">
        <f>SUM(I46:I120)</f>
        <v>2633.25</v>
      </c>
      <c r="J121" s="1626">
        <f t="shared" ref="J121:AH121" si="9">SUM(J46:J120)</f>
        <v>133.57112682216822</v>
      </c>
      <c r="K121" s="1626">
        <f t="shared" si="9"/>
        <v>128.31212682216821</v>
      </c>
      <c r="L121" s="1626">
        <f t="shared" si="9"/>
        <v>0</v>
      </c>
      <c r="M121" s="1626">
        <f t="shared" si="9"/>
        <v>0</v>
      </c>
      <c r="N121" s="1626">
        <f t="shared" si="9"/>
        <v>0</v>
      </c>
      <c r="O121" s="1626">
        <f t="shared" si="9"/>
        <v>1.4</v>
      </c>
      <c r="P121" s="1626">
        <f t="shared" si="9"/>
        <v>3.859</v>
      </c>
      <c r="Q121" s="1626">
        <f t="shared" si="9"/>
        <v>24.277599606328032</v>
      </c>
      <c r="R121" s="1626">
        <f t="shared" si="9"/>
        <v>26.418889531471816</v>
      </c>
      <c r="S121" s="1626">
        <f t="shared" si="9"/>
        <v>25.312751425599526</v>
      </c>
      <c r="T121" s="1626">
        <f t="shared" si="9"/>
        <v>25.767640034580104</v>
      </c>
      <c r="U121" s="1626">
        <f t="shared" si="9"/>
        <v>26.535246224188732</v>
      </c>
      <c r="V121" s="1628">
        <f t="shared" si="9"/>
        <v>0</v>
      </c>
      <c r="W121" s="1628">
        <f t="shared" si="9"/>
        <v>0</v>
      </c>
      <c r="X121" s="1628">
        <f t="shared" si="9"/>
        <v>0</v>
      </c>
      <c r="Y121" s="1628">
        <f t="shared" si="9"/>
        <v>0</v>
      </c>
      <c r="Z121" s="1628">
        <f t="shared" si="9"/>
        <v>0</v>
      </c>
      <c r="AA121" s="1628">
        <f t="shared" si="9"/>
        <v>0</v>
      </c>
      <c r="AB121" s="1628">
        <f t="shared" si="9"/>
        <v>0</v>
      </c>
      <c r="AC121" s="1628">
        <f t="shared" si="9"/>
        <v>0</v>
      </c>
      <c r="AD121" s="1628">
        <f t="shared" si="9"/>
        <v>0</v>
      </c>
      <c r="AE121" s="1628">
        <f t="shared" si="9"/>
        <v>0</v>
      </c>
      <c r="AF121" s="1628">
        <f t="shared" si="9"/>
        <v>0</v>
      </c>
      <c r="AG121" s="1628">
        <f t="shared" si="9"/>
        <v>0</v>
      </c>
      <c r="AH121" s="1628">
        <f t="shared" si="9"/>
        <v>0</v>
      </c>
      <c r="AI121" s="1629"/>
      <c r="AJ121" s="1630"/>
      <c r="AK121" s="1631"/>
      <c r="AL121" s="1622"/>
      <c r="AM121" s="1622"/>
      <c r="AN121" s="1622"/>
      <c r="AO121" s="1622"/>
      <c r="AP121" s="1622"/>
      <c r="AQ121" s="1622"/>
    </row>
    <row r="122" spans="2:43" s="1632" customFormat="1">
      <c r="C122" s="1633"/>
      <c r="D122" s="1634"/>
      <c r="E122" s="1634"/>
      <c r="F122" s="1634"/>
      <c r="G122" s="1634"/>
      <c r="I122" s="1634"/>
      <c r="J122" s="1635"/>
      <c r="K122" s="1636"/>
      <c r="L122" s="1635"/>
      <c r="M122" s="1635"/>
      <c r="N122" s="1635"/>
      <c r="O122" s="1635"/>
      <c r="P122" s="1635"/>
      <c r="Q122" s="1635"/>
      <c r="R122" s="1635"/>
      <c r="S122" s="1635"/>
      <c r="T122" s="1635"/>
      <c r="U122" s="1635"/>
      <c r="AK122" s="1637"/>
      <c r="AL122" s="1637"/>
      <c r="AM122" s="1637"/>
      <c r="AN122" s="1637"/>
      <c r="AO122" s="1637"/>
      <c r="AP122" s="1637"/>
      <c r="AQ122" s="1637"/>
    </row>
    <row r="123" spans="2:43" s="1632" customFormat="1">
      <c r="C123" s="1633"/>
      <c r="D123" s="1634"/>
      <c r="E123" s="1634"/>
      <c r="F123" s="1634"/>
      <c r="G123" s="1634"/>
      <c r="I123" s="1634"/>
      <c r="J123" s="1635"/>
      <c r="K123" s="1636"/>
      <c r="L123" s="1635"/>
      <c r="M123" s="1635"/>
      <c r="N123" s="1635"/>
      <c r="O123" s="1635"/>
      <c r="P123" s="1635"/>
      <c r="Q123" s="1635"/>
      <c r="R123" s="1635"/>
      <c r="S123" s="1635"/>
      <c r="T123" s="1635"/>
      <c r="U123" s="1635"/>
      <c r="AK123" s="1637"/>
      <c r="AL123" s="1637"/>
      <c r="AM123" s="1637"/>
      <c r="AN123" s="1637"/>
      <c r="AO123" s="1637"/>
      <c r="AP123" s="1637"/>
      <c r="AQ123" s="1637"/>
    </row>
    <row r="124" spans="2:43" s="1632" customFormat="1">
      <c r="C124" s="1633"/>
      <c r="D124" s="1634"/>
      <c r="E124" s="1634"/>
      <c r="F124" s="1634"/>
      <c r="G124" s="1634"/>
      <c r="I124" s="1634"/>
      <c r="J124" s="1635"/>
      <c r="K124" s="1636"/>
      <c r="L124" s="1635"/>
      <c r="M124" s="1635"/>
      <c r="N124" s="1635"/>
      <c r="O124" s="1635"/>
      <c r="P124" s="1635"/>
      <c r="Q124" s="1635"/>
      <c r="R124" s="1635"/>
      <c r="S124" s="1635"/>
      <c r="T124" s="1635"/>
      <c r="U124" s="1635"/>
      <c r="AK124" s="1637"/>
      <c r="AL124" s="1637"/>
      <c r="AM124" s="1637"/>
      <c r="AN124" s="1637"/>
      <c r="AO124" s="1637"/>
      <c r="AP124" s="1637"/>
      <c r="AQ124" s="1637"/>
    </row>
    <row r="125" spans="2:43" s="346" customFormat="1"/>
    <row r="126" spans="2:43" s="346" customFormat="1"/>
    <row r="127" spans="2:43" s="346" customFormat="1"/>
    <row r="128" spans="2:43" s="346" customFormat="1"/>
    <row r="129" s="346" customFormat="1"/>
    <row r="130" s="346" customFormat="1"/>
    <row r="131" s="346"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1459" t="s">
        <v>858</v>
      </c>
      <c r="F1" s="253" t="s">
        <v>216</v>
      </c>
    </row>
    <row r="2" spans="1:19">
      <c r="A2" s="1459"/>
    </row>
    <row r="3" spans="1:19">
      <c r="A3" s="1459" t="s">
        <v>492</v>
      </c>
    </row>
    <row r="6" spans="1:19">
      <c r="B6" s="1490" t="s">
        <v>493</v>
      </c>
      <c r="C6" s="531"/>
      <c r="D6" s="531"/>
      <c r="E6" s="531"/>
      <c r="F6" s="531"/>
      <c r="G6" s="531"/>
      <c r="H6" s="531"/>
      <c r="I6" s="531"/>
      <c r="J6" s="531"/>
      <c r="K6" s="531"/>
      <c r="L6" s="531"/>
      <c r="M6" s="531"/>
      <c r="N6" s="531"/>
      <c r="O6" s="531"/>
      <c r="P6" s="531"/>
      <c r="Q6" s="531"/>
      <c r="R6" s="531"/>
      <c r="S6" s="531"/>
    </row>
    <row r="7" spans="1:19" ht="13.5" thickBot="1">
      <c r="B7" s="531"/>
      <c r="C7" s="531"/>
      <c r="D7" s="531"/>
      <c r="E7" s="531"/>
      <c r="F7" s="531"/>
      <c r="G7" s="531"/>
      <c r="H7" s="531"/>
      <c r="I7" s="531"/>
      <c r="J7" s="531"/>
      <c r="K7" s="531"/>
      <c r="L7" s="531"/>
      <c r="M7" s="531"/>
      <c r="N7" s="531"/>
      <c r="O7" s="531"/>
      <c r="P7" s="531"/>
      <c r="Q7" s="531"/>
      <c r="R7" s="531"/>
      <c r="S7" s="531"/>
    </row>
    <row r="8" spans="1:19" ht="15" customHeight="1">
      <c r="B8" s="1947"/>
      <c r="C8" s="1948"/>
      <c r="D8" s="1147" t="s">
        <v>494</v>
      </c>
      <c r="E8" s="533"/>
      <c r="F8" s="534"/>
      <c r="G8" s="532" t="s">
        <v>477</v>
      </c>
      <c r="H8" s="533"/>
      <c r="I8" s="534"/>
      <c r="J8" s="531"/>
      <c r="K8" s="531"/>
      <c r="L8" s="531"/>
      <c r="M8" s="531"/>
      <c r="N8" s="531"/>
      <c r="O8" s="531"/>
      <c r="P8" s="531"/>
      <c r="Q8" s="531"/>
      <c r="R8" s="531"/>
      <c r="S8" s="531"/>
    </row>
    <row r="9" spans="1:19" ht="15" customHeight="1">
      <c r="B9" s="1949"/>
      <c r="C9" s="1950"/>
      <c r="D9" s="1148" t="s">
        <v>243</v>
      </c>
      <c r="E9" s="535" t="s">
        <v>245</v>
      </c>
      <c r="F9" s="1451" t="s">
        <v>239</v>
      </c>
      <c r="G9" s="1450" t="s">
        <v>243</v>
      </c>
      <c r="H9" s="535" t="s">
        <v>245</v>
      </c>
      <c r="I9" s="1451" t="s">
        <v>239</v>
      </c>
      <c r="J9" s="531"/>
      <c r="K9" s="531"/>
      <c r="L9" s="531"/>
      <c r="M9" s="531"/>
      <c r="N9" s="531"/>
      <c r="O9" s="531"/>
      <c r="P9" s="531"/>
      <c r="Q9" s="531"/>
      <c r="R9" s="531"/>
      <c r="S9" s="531"/>
    </row>
    <row r="10" spans="1:19" ht="15" customHeight="1">
      <c r="B10" s="1953" t="s">
        <v>726</v>
      </c>
      <c r="C10" s="1954"/>
      <c r="D10" s="358">
        <v>50</v>
      </c>
      <c r="E10" s="359">
        <v>175</v>
      </c>
      <c r="F10" s="360">
        <v>411</v>
      </c>
      <c r="G10" s="358">
        <v>51</v>
      </c>
      <c r="H10" s="359">
        <v>177</v>
      </c>
      <c r="I10" s="360">
        <v>420</v>
      </c>
      <c r="J10" s="531"/>
      <c r="K10" s="531"/>
      <c r="L10" s="531"/>
      <c r="M10" s="531"/>
      <c r="N10" s="531"/>
      <c r="O10" s="531"/>
      <c r="P10" s="531"/>
      <c r="Q10" s="531"/>
      <c r="R10" s="531"/>
      <c r="S10" s="531"/>
    </row>
    <row r="11" spans="1:19" ht="27" customHeight="1">
      <c r="B11" s="1951" t="s">
        <v>464</v>
      </c>
      <c r="C11" s="1952"/>
      <c r="D11" s="361">
        <v>5</v>
      </c>
      <c r="E11" s="362">
        <v>12</v>
      </c>
      <c r="F11" s="363">
        <v>32</v>
      </c>
      <c r="G11" s="361">
        <v>5</v>
      </c>
      <c r="H11" s="362">
        <v>10</v>
      </c>
      <c r="I11" s="363">
        <v>30</v>
      </c>
      <c r="J11" s="531"/>
      <c r="K11" s="531"/>
      <c r="L11" s="531"/>
      <c r="M11" s="531"/>
      <c r="N11" s="531"/>
      <c r="O11" s="531"/>
      <c r="P11" s="531"/>
      <c r="Q11" s="531"/>
      <c r="R11" s="531"/>
      <c r="S11" s="531"/>
    </row>
    <row r="12" spans="1:19" ht="30" customHeight="1" thickBot="1">
      <c r="B12" s="1955" t="s">
        <v>613</v>
      </c>
      <c r="C12" s="1956"/>
      <c r="D12" s="364">
        <v>5</v>
      </c>
      <c r="E12" s="1638">
        <v>12</v>
      </c>
      <c r="F12" s="365">
        <v>32</v>
      </c>
      <c r="G12" s="364">
        <v>5</v>
      </c>
      <c r="H12" s="1638">
        <v>10</v>
      </c>
      <c r="I12" s="365">
        <v>30</v>
      </c>
      <c r="J12" s="531"/>
      <c r="K12" s="531"/>
      <c r="L12" s="531"/>
      <c r="M12" s="531"/>
      <c r="N12" s="531"/>
      <c r="O12" s="531"/>
      <c r="P12" s="531"/>
      <c r="Q12" s="531"/>
      <c r="R12" s="531"/>
      <c r="S12" s="531"/>
    </row>
    <row r="13" spans="1:19">
      <c r="B13" s="531"/>
      <c r="C13" s="531"/>
      <c r="D13" s="531"/>
      <c r="E13" s="531"/>
      <c r="F13" s="531"/>
      <c r="G13" s="531"/>
      <c r="H13" s="531"/>
      <c r="I13" s="531"/>
      <c r="J13" s="531"/>
      <c r="K13" s="531"/>
      <c r="L13" s="531"/>
      <c r="M13" s="531"/>
      <c r="N13" s="531"/>
      <c r="O13" s="531"/>
      <c r="P13" s="531"/>
      <c r="Q13" s="531"/>
      <c r="R13" s="531"/>
      <c r="S13" s="531"/>
    </row>
    <row r="14" spans="1:19">
      <c r="B14" s="1490" t="s">
        <v>614</v>
      </c>
      <c r="C14" s="531"/>
      <c r="D14" s="531"/>
      <c r="E14" s="531"/>
      <c r="F14" s="531"/>
      <c r="G14" s="531"/>
      <c r="H14" s="531"/>
      <c r="I14" s="531"/>
      <c r="J14" s="531"/>
      <c r="K14" s="531"/>
      <c r="L14" s="531"/>
      <c r="M14" s="531"/>
      <c r="N14" s="531"/>
      <c r="O14" s="531"/>
      <c r="P14" s="531"/>
      <c r="Q14" s="531"/>
      <c r="R14" s="531"/>
      <c r="S14" s="531"/>
    </row>
    <row r="15" spans="1:19" ht="13.5" thickBot="1">
      <c r="B15" s="531"/>
      <c r="C15" s="531"/>
      <c r="D15" s="531"/>
      <c r="E15" s="531"/>
      <c r="F15" s="531"/>
      <c r="G15" s="531"/>
      <c r="H15" s="531"/>
      <c r="I15" s="531"/>
      <c r="J15" s="531"/>
      <c r="K15" s="531"/>
      <c r="L15" s="531"/>
      <c r="M15" s="531"/>
      <c r="N15" s="531"/>
      <c r="O15" s="531"/>
      <c r="P15" s="531"/>
      <c r="Q15" s="531"/>
      <c r="R15" s="531"/>
      <c r="S15" s="531"/>
    </row>
    <row r="16" spans="1:19">
      <c r="B16" s="1957" t="s">
        <v>486</v>
      </c>
      <c r="C16" s="1958"/>
      <c r="D16" s="532" t="s">
        <v>116</v>
      </c>
      <c r="E16" s="533"/>
      <c r="F16" s="534"/>
      <c r="G16" s="532" t="s">
        <v>117</v>
      </c>
      <c r="H16" s="533"/>
      <c r="I16" s="534"/>
      <c r="J16" s="531"/>
      <c r="K16" s="531"/>
      <c r="L16" s="531"/>
      <c r="M16" s="531"/>
      <c r="N16" s="531"/>
      <c r="O16" s="531"/>
      <c r="P16" s="531"/>
      <c r="Q16" s="531"/>
      <c r="R16" s="531"/>
      <c r="S16" s="531"/>
    </row>
    <row r="17" spans="2:19">
      <c r="B17" s="1959"/>
      <c r="C17" s="1960"/>
      <c r="D17" s="1450" t="s">
        <v>243</v>
      </c>
      <c r="E17" s="535" t="s">
        <v>245</v>
      </c>
      <c r="F17" s="1451" t="s">
        <v>239</v>
      </c>
      <c r="G17" s="1450" t="s">
        <v>243</v>
      </c>
      <c r="H17" s="535" t="s">
        <v>245</v>
      </c>
      <c r="I17" s="1451" t="s">
        <v>239</v>
      </c>
      <c r="J17" s="531"/>
      <c r="K17" s="531"/>
      <c r="L17" s="531"/>
      <c r="M17" s="531"/>
      <c r="N17" s="531"/>
      <c r="O17" s="531"/>
      <c r="P17" s="531"/>
      <c r="Q17" s="531"/>
      <c r="R17" s="531"/>
      <c r="S17" s="531"/>
    </row>
    <row r="18" spans="2:19" ht="15" customHeight="1">
      <c r="B18" s="1943" t="s">
        <v>487</v>
      </c>
      <c r="C18" s="1944"/>
      <c r="D18" s="361">
        <v>0</v>
      </c>
      <c r="E18" s="362">
        <v>0</v>
      </c>
      <c r="F18" s="366">
        <v>0</v>
      </c>
      <c r="G18" s="361">
        <v>4</v>
      </c>
      <c r="H18" s="362">
        <v>3</v>
      </c>
      <c r="I18" s="366">
        <v>0</v>
      </c>
      <c r="J18" s="531"/>
      <c r="K18" s="531"/>
      <c r="L18" s="531"/>
      <c r="M18" s="531"/>
      <c r="N18" s="531"/>
      <c r="O18" s="531"/>
      <c r="P18" s="531"/>
      <c r="Q18" s="531"/>
      <c r="R18" s="531"/>
      <c r="S18" s="531"/>
    </row>
    <row r="19" spans="2:19" ht="15" customHeight="1">
      <c r="B19" s="1943" t="s">
        <v>651</v>
      </c>
      <c r="C19" s="1944"/>
      <c r="D19" s="361">
        <v>0</v>
      </c>
      <c r="E19" s="362">
        <v>0</v>
      </c>
      <c r="F19" s="366">
        <v>0</v>
      </c>
      <c r="G19" s="361">
        <v>0</v>
      </c>
      <c r="H19" s="362">
        <v>0</v>
      </c>
      <c r="I19" s="366">
        <v>0</v>
      </c>
      <c r="J19" s="531"/>
      <c r="K19" s="531"/>
      <c r="L19" s="531"/>
      <c r="M19" s="531"/>
      <c r="N19" s="531"/>
      <c r="O19" s="531"/>
      <c r="P19" s="531"/>
      <c r="Q19" s="531"/>
      <c r="R19" s="531"/>
      <c r="S19" s="531"/>
    </row>
    <row r="20" spans="2:19" ht="15" customHeight="1" thickBot="1">
      <c r="B20" s="1945" t="s">
        <v>652</v>
      </c>
      <c r="C20" s="1946"/>
      <c r="D20" s="364">
        <v>0</v>
      </c>
      <c r="E20" s="367">
        <v>0</v>
      </c>
      <c r="F20" s="365">
        <v>0</v>
      </c>
      <c r="G20" s="364">
        <v>0</v>
      </c>
      <c r="H20" s="367">
        <v>0</v>
      </c>
      <c r="I20" s="365">
        <v>0</v>
      </c>
      <c r="J20" s="531"/>
      <c r="K20" s="531"/>
      <c r="L20" s="531"/>
      <c r="M20" s="531"/>
      <c r="N20" s="531"/>
      <c r="O20" s="531"/>
      <c r="P20" s="531"/>
      <c r="Q20" s="531"/>
      <c r="R20" s="531"/>
      <c r="S20" s="531"/>
    </row>
    <row r="21" spans="2:19">
      <c r="B21" s="531"/>
      <c r="C21" s="531"/>
      <c r="D21" s="531"/>
      <c r="E21" s="531"/>
      <c r="F21" s="531"/>
      <c r="G21" s="531"/>
      <c r="H21" s="531"/>
      <c r="I21" s="531"/>
      <c r="J21" s="531"/>
      <c r="K21" s="531"/>
      <c r="L21" s="531"/>
      <c r="M21" s="531"/>
      <c r="N21" s="531"/>
      <c r="O21" s="531"/>
      <c r="P21" s="531"/>
      <c r="Q21" s="531"/>
      <c r="R21" s="531"/>
      <c r="S21" s="531"/>
    </row>
    <row r="22" spans="2:19">
      <c r="B22" s="1490" t="s">
        <v>653</v>
      </c>
      <c r="C22" s="531"/>
      <c r="D22" s="531"/>
      <c r="E22" s="531"/>
      <c r="F22" s="531"/>
      <c r="G22" s="531"/>
      <c r="H22" s="531"/>
      <c r="I22" s="531"/>
      <c r="J22" s="531"/>
      <c r="K22" s="531"/>
      <c r="L22" s="531"/>
      <c r="M22" s="531"/>
      <c r="N22" s="531"/>
      <c r="O22" s="531"/>
      <c r="P22" s="531"/>
      <c r="Q22" s="531"/>
      <c r="R22" s="531"/>
      <c r="S22" s="531"/>
    </row>
    <row r="23" spans="2:19" ht="13.5" thickBot="1">
      <c r="B23" s="1490"/>
      <c r="C23" s="531"/>
      <c r="D23" s="531"/>
      <c r="E23" s="531"/>
      <c r="F23" s="531"/>
      <c r="G23" s="531"/>
      <c r="H23" s="531"/>
      <c r="I23" s="531"/>
      <c r="J23" s="531"/>
      <c r="K23" s="531"/>
      <c r="L23" s="531"/>
      <c r="M23" s="531"/>
      <c r="N23" s="531"/>
      <c r="O23" s="531"/>
      <c r="P23" s="531"/>
      <c r="Q23" s="531"/>
      <c r="R23" s="531"/>
      <c r="S23" s="531"/>
    </row>
    <row r="24" spans="2:19">
      <c r="B24" s="1937"/>
      <c r="C24" s="1461" t="s">
        <v>116</v>
      </c>
      <c r="D24" s="1462"/>
      <c r="E24" s="1462"/>
      <c r="F24" s="1462"/>
      <c r="G24" s="536"/>
      <c r="H24" s="1461" t="s">
        <v>117</v>
      </c>
      <c r="I24" s="537"/>
      <c r="J24" s="537"/>
      <c r="K24" s="537"/>
      <c r="L24" s="536"/>
      <c r="M24" s="368"/>
      <c r="N24" s="1463" t="s">
        <v>116</v>
      </c>
      <c r="O24" s="1464"/>
      <c r="P24" s="1465"/>
      <c r="Q24" s="368"/>
      <c r="R24" s="1463" t="s">
        <v>117</v>
      </c>
      <c r="S24" s="1465"/>
    </row>
    <row r="25" spans="2:19">
      <c r="B25" s="1938"/>
      <c r="C25" s="1470" t="s">
        <v>32</v>
      </c>
      <c r="D25" s="1471" t="s">
        <v>33</v>
      </c>
      <c r="E25" s="1471" t="s">
        <v>29</v>
      </c>
      <c r="F25" s="1471" t="s">
        <v>34</v>
      </c>
      <c r="G25" s="1472" t="s">
        <v>35</v>
      </c>
      <c r="H25" s="1470" t="s">
        <v>118</v>
      </c>
      <c r="I25" s="1471" t="s">
        <v>136</v>
      </c>
      <c r="J25" s="1471" t="s">
        <v>137</v>
      </c>
      <c r="K25" s="1471" t="s">
        <v>138</v>
      </c>
      <c r="L25" s="1472" t="s">
        <v>139</v>
      </c>
      <c r="M25" s="368"/>
      <c r="N25" s="1470" t="s">
        <v>126</v>
      </c>
      <c r="O25" s="1471" t="s">
        <v>127</v>
      </c>
      <c r="P25" s="1472" t="s">
        <v>246</v>
      </c>
      <c r="Q25" s="368"/>
      <c r="R25" s="1470" t="s">
        <v>127</v>
      </c>
      <c r="S25" s="1472" t="s">
        <v>128</v>
      </c>
    </row>
    <row r="26" spans="2:19">
      <c r="B26" s="1939"/>
      <c r="C26" s="1564" t="s">
        <v>735</v>
      </c>
      <c r="D26" s="1565" t="s">
        <v>735</v>
      </c>
      <c r="E26" s="1565" t="s">
        <v>735</v>
      </c>
      <c r="F26" s="1565" t="s">
        <v>735</v>
      </c>
      <c r="G26" s="1566" t="s">
        <v>735</v>
      </c>
      <c r="H26" s="1564" t="s">
        <v>735</v>
      </c>
      <c r="I26" s="1565" t="s">
        <v>735</v>
      </c>
      <c r="J26" s="1565" t="s">
        <v>735</v>
      </c>
      <c r="K26" s="1565" t="s">
        <v>735</v>
      </c>
      <c r="L26" s="1566" t="s">
        <v>735</v>
      </c>
      <c r="M26" s="369"/>
      <c r="N26" s="1564" t="s">
        <v>735</v>
      </c>
      <c r="O26" s="1565" t="s">
        <v>735</v>
      </c>
      <c r="P26" s="1566" t="s">
        <v>735</v>
      </c>
      <c r="Q26" s="369"/>
      <c r="R26" s="1564" t="s">
        <v>735</v>
      </c>
      <c r="S26" s="1566" t="s">
        <v>735</v>
      </c>
    </row>
    <row r="27" spans="2:19">
      <c r="B27" s="1639" t="s">
        <v>736</v>
      </c>
      <c r="C27" s="538"/>
      <c r="D27" s="539"/>
      <c r="E27" s="539"/>
      <c r="F27" s="539"/>
      <c r="G27" s="540"/>
      <c r="H27" s="538"/>
      <c r="I27" s="539"/>
      <c r="J27" s="539"/>
      <c r="K27" s="539"/>
      <c r="L27" s="540"/>
      <c r="M27" s="369"/>
      <c r="N27" s="538"/>
      <c r="O27" s="541"/>
      <c r="P27" s="542"/>
      <c r="Q27" s="369"/>
      <c r="R27" s="538"/>
      <c r="S27" s="530"/>
    </row>
    <row r="28" spans="2:19">
      <c r="B28" s="1149" t="s">
        <v>737</v>
      </c>
      <c r="C28" s="305">
        <v>0</v>
      </c>
      <c r="D28" s="306">
        <v>0</v>
      </c>
      <c r="E28" s="306">
        <v>0</v>
      </c>
      <c r="F28" s="306">
        <v>0</v>
      </c>
      <c r="G28" s="307">
        <v>0</v>
      </c>
      <c r="H28" s="305">
        <v>0</v>
      </c>
      <c r="I28" s="308">
        <v>0</v>
      </c>
      <c r="J28" s="308">
        <v>0</v>
      </c>
      <c r="K28" s="308">
        <v>0</v>
      </c>
      <c r="L28" s="307">
        <v>0</v>
      </c>
      <c r="M28" s="368"/>
      <c r="N28" s="543">
        <v>0</v>
      </c>
      <c r="O28" s="544">
        <v>0</v>
      </c>
      <c r="P28" s="545">
        <v>0</v>
      </c>
      <c r="Q28" s="368"/>
      <c r="R28" s="543">
        <v>0</v>
      </c>
      <c r="S28" s="1477" t="s">
        <v>1022</v>
      </c>
    </row>
    <row r="29" spans="2:19">
      <c r="B29" s="1149" t="s">
        <v>239</v>
      </c>
      <c r="C29" s="305">
        <v>0</v>
      </c>
      <c r="D29" s="306">
        <v>0</v>
      </c>
      <c r="E29" s="306">
        <v>0</v>
      </c>
      <c r="F29" s="306">
        <v>0</v>
      </c>
      <c r="G29" s="307">
        <v>0</v>
      </c>
      <c r="H29" s="305">
        <v>0</v>
      </c>
      <c r="I29" s="308">
        <v>0</v>
      </c>
      <c r="J29" s="308">
        <v>0</v>
      </c>
      <c r="K29" s="308">
        <v>0</v>
      </c>
      <c r="L29" s="307">
        <v>0</v>
      </c>
      <c r="M29" s="368"/>
      <c r="N29" s="543">
        <v>0</v>
      </c>
      <c r="O29" s="544">
        <v>0</v>
      </c>
      <c r="P29" s="545">
        <v>0</v>
      </c>
      <c r="Q29" s="368"/>
      <c r="R29" s="543">
        <v>0</v>
      </c>
      <c r="S29" s="1477" t="s">
        <v>1022</v>
      </c>
    </row>
    <row r="30" spans="2:19">
      <c r="B30" s="1149" t="s">
        <v>738</v>
      </c>
      <c r="C30" s="305">
        <v>0</v>
      </c>
      <c r="D30" s="306">
        <v>0</v>
      </c>
      <c r="E30" s="306">
        <v>0</v>
      </c>
      <c r="F30" s="306">
        <v>0</v>
      </c>
      <c r="G30" s="307">
        <v>0</v>
      </c>
      <c r="H30" s="305">
        <v>0</v>
      </c>
      <c r="I30" s="308">
        <v>1.2374767903492503</v>
      </c>
      <c r="J30" s="308">
        <v>1.7492551798178539</v>
      </c>
      <c r="K30" s="308">
        <v>1.2319190454779334</v>
      </c>
      <c r="L30" s="307">
        <v>0</v>
      </c>
      <c r="M30" s="368"/>
      <c r="N30" s="543">
        <v>0</v>
      </c>
      <c r="O30" s="544">
        <v>0</v>
      </c>
      <c r="P30" s="545">
        <v>0</v>
      </c>
      <c r="Q30" s="368"/>
      <c r="R30" s="543">
        <v>4.2186510156450376</v>
      </c>
      <c r="S30" s="1477" t="s">
        <v>1022</v>
      </c>
    </row>
    <row r="31" spans="2:19">
      <c r="B31" s="1149" t="s">
        <v>739</v>
      </c>
      <c r="C31" s="305">
        <v>0</v>
      </c>
      <c r="D31" s="306">
        <v>0</v>
      </c>
      <c r="E31" s="306">
        <v>0</v>
      </c>
      <c r="F31" s="306">
        <v>0</v>
      </c>
      <c r="G31" s="307">
        <v>0</v>
      </c>
      <c r="H31" s="305">
        <v>0</v>
      </c>
      <c r="I31" s="308">
        <v>0</v>
      </c>
      <c r="J31" s="308">
        <v>4.0129971772291944</v>
      </c>
      <c r="K31" s="308">
        <v>5.0303361023682278</v>
      </c>
      <c r="L31" s="307">
        <v>6.011891722667758</v>
      </c>
      <c r="M31" s="368"/>
      <c r="N31" s="543">
        <v>0</v>
      </c>
      <c r="O31" s="544">
        <v>0</v>
      </c>
      <c r="P31" s="545">
        <v>0</v>
      </c>
      <c r="Q31" s="368"/>
      <c r="R31" s="543">
        <v>15.055225002265182</v>
      </c>
      <c r="S31" s="1477" t="s">
        <v>1022</v>
      </c>
    </row>
    <row r="32" spans="2:19" ht="13.5" thickBot="1">
      <c r="B32" s="1640" t="s">
        <v>740</v>
      </c>
      <c r="C32" s="923">
        <v>0</v>
      </c>
      <c r="D32" s="924">
        <v>0</v>
      </c>
      <c r="E32" s="924">
        <v>0</v>
      </c>
      <c r="F32" s="924">
        <v>0</v>
      </c>
      <c r="G32" s="925">
        <v>0</v>
      </c>
      <c r="H32" s="923">
        <v>0</v>
      </c>
      <c r="I32" s="926">
        <v>1.2374767903492503</v>
      </c>
      <c r="J32" s="926">
        <v>5.7622523570470481</v>
      </c>
      <c r="K32" s="926">
        <v>6.2622551478461617</v>
      </c>
      <c r="L32" s="925">
        <v>6.011891722667758</v>
      </c>
      <c r="M32" s="370"/>
      <c r="N32" s="923">
        <v>0</v>
      </c>
      <c r="O32" s="926">
        <v>0</v>
      </c>
      <c r="P32" s="925">
        <v>0</v>
      </c>
      <c r="Q32" s="370"/>
      <c r="R32" s="923">
        <v>19.273876017910219</v>
      </c>
      <c r="S32" s="1547" t="s">
        <v>1022</v>
      </c>
    </row>
    <row r="33" spans="2:19">
      <c r="B33" s="254"/>
      <c r="C33" s="254"/>
      <c r="D33" s="254"/>
      <c r="E33" s="254"/>
      <c r="F33" s="254"/>
      <c r="G33" s="254"/>
      <c r="H33" s="254"/>
      <c r="I33" s="254"/>
      <c r="J33" s="254"/>
      <c r="K33" s="254"/>
      <c r="L33" s="254"/>
      <c r="M33" s="258"/>
      <c r="N33" s="254"/>
      <c r="O33" s="254"/>
      <c r="P33" s="254"/>
      <c r="Q33" s="258"/>
      <c r="R33" s="254"/>
      <c r="S33" s="254"/>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topLeftCell="A58" zoomScale="80" workbookViewId="0">
      <selection activeCell="A58" sqref="A1:XFD1048576"/>
    </sheetView>
  </sheetViews>
  <sheetFormatPr defaultRowHeight="14.25"/>
  <cols>
    <col min="1" max="1" width="4.28515625" style="1699" customWidth="1"/>
    <col min="2" max="2" width="45.85546875" style="1701" customWidth="1"/>
    <col min="3" max="3" width="40.28515625" style="1701" customWidth="1"/>
    <col min="4" max="8" width="10.28515625" style="1701" customWidth="1"/>
    <col min="9" max="13" width="10.28515625" style="1702" customWidth="1"/>
    <col min="14" max="14" width="4.140625" style="1702" customWidth="1"/>
    <col min="15" max="17" width="13.7109375" style="1702" customWidth="1"/>
    <col min="18" max="18" width="4.28515625" style="1702" customWidth="1"/>
    <col min="19" max="20" width="11.85546875" style="1702" customWidth="1"/>
    <col min="21" max="23" width="9.140625" style="1702"/>
    <col min="24" max="16384" width="9.140625" style="1701"/>
  </cols>
  <sheetData>
    <row r="1" spans="1:20" s="814" customFormat="1" ht="20.25">
      <c r="A1" s="813" t="s">
        <v>167</v>
      </c>
      <c r="G1" s="813" t="s">
        <v>859</v>
      </c>
    </row>
    <row r="2" spans="1:20" s="814" customFormat="1" ht="20.25">
      <c r="A2" s="815" t="s">
        <v>168</v>
      </c>
      <c r="B2" s="813"/>
    </row>
    <row r="3" spans="1:20" s="817" customFormat="1" ht="21" thickBot="1">
      <c r="A3" s="816" t="s">
        <v>860</v>
      </c>
    </row>
    <row r="4" spans="1:20" s="818" customFormat="1" ht="12.75">
      <c r="A4" s="1641"/>
      <c r="S4" s="368"/>
      <c r="T4" s="368"/>
    </row>
    <row r="5" spans="1:20" s="1150" customFormat="1" ht="12.75">
      <c r="A5" s="1642"/>
      <c r="B5" s="1155" t="s">
        <v>112</v>
      </c>
      <c r="O5" s="1151"/>
      <c r="P5" s="1151"/>
      <c r="Q5" s="1151"/>
      <c r="R5" s="1151"/>
      <c r="S5" s="1151"/>
      <c r="T5" s="1151"/>
    </row>
    <row r="6" spans="1:20" s="1645" customFormat="1" ht="13.5" thickBot="1">
      <c r="A6" s="1643"/>
      <c r="B6" s="1596"/>
      <c r="C6" s="1596"/>
      <c r="D6" s="1596"/>
      <c r="E6" s="1596"/>
      <c r="F6" s="1596"/>
      <c r="G6" s="1596"/>
      <c r="H6" s="1596"/>
      <c r="I6" s="1596"/>
      <c r="J6" s="1596"/>
      <c r="K6" s="1596"/>
      <c r="L6" s="1596"/>
      <c r="M6" s="1596"/>
      <c r="N6" s="1151"/>
      <c r="O6" s="1644"/>
      <c r="P6" s="1644"/>
      <c r="Q6" s="1644"/>
      <c r="R6" s="1151"/>
      <c r="S6" s="1644"/>
      <c r="T6" s="1644"/>
    </row>
    <row r="7" spans="1:20" s="1645" customFormat="1" ht="15" customHeight="1">
      <c r="A7" s="1643"/>
      <c r="B7" s="1961" t="s">
        <v>113</v>
      </c>
      <c r="C7" s="1962"/>
      <c r="D7" s="1646" t="s">
        <v>114</v>
      </c>
      <c r="E7" s="1647"/>
      <c r="F7" s="1647"/>
      <c r="G7" s="1647"/>
      <c r="H7" s="1648"/>
      <c r="I7" s="1646" t="s">
        <v>115</v>
      </c>
      <c r="J7" s="1647"/>
      <c r="K7" s="1647"/>
      <c r="L7" s="1647"/>
      <c r="M7" s="1648"/>
      <c r="N7" s="1151"/>
      <c r="O7" s="1463" t="s">
        <v>116</v>
      </c>
      <c r="P7" s="1464"/>
      <c r="Q7" s="1465"/>
      <c r="R7" s="1151"/>
      <c r="S7" s="1463" t="s">
        <v>117</v>
      </c>
      <c r="T7" s="1465"/>
    </row>
    <row r="8" spans="1:20" s="1645" customFormat="1" ht="15" customHeight="1">
      <c r="A8" s="1643"/>
      <c r="B8" s="1963"/>
      <c r="C8" s="1964"/>
      <c r="D8" s="1649" t="s">
        <v>32</v>
      </c>
      <c r="E8" s="1650" t="s">
        <v>33</v>
      </c>
      <c r="F8" s="1650" t="s">
        <v>29</v>
      </c>
      <c r="G8" s="1650" t="s">
        <v>34</v>
      </c>
      <c r="H8" s="1651" t="s">
        <v>35</v>
      </c>
      <c r="I8" s="1649" t="s">
        <v>118</v>
      </c>
      <c r="J8" s="1650" t="s">
        <v>136</v>
      </c>
      <c r="K8" s="1650" t="s">
        <v>137</v>
      </c>
      <c r="L8" s="1650" t="s">
        <v>138</v>
      </c>
      <c r="M8" s="1651" t="s">
        <v>139</v>
      </c>
      <c r="N8" s="1151"/>
      <c r="O8" s="1470" t="s">
        <v>126</v>
      </c>
      <c r="P8" s="1471" t="s">
        <v>127</v>
      </c>
      <c r="Q8" s="1472" t="s">
        <v>246</v>
      </c>
      <c r="R8" s="1151"/>
      <c r="S8" s="1470" t="s">
        <v>127</v>
      </c>
      <c r="T8" s="1472" t="s">
        <v>128</v>
      </c>
    </row>
    <row r="9" spans="1:20" s="1645" customFormat="1" ht="15" customHeight="1">
      <c r="A9" s="1643"/>
      <c r="B9" s="1965"/>
      <c r="C9" s="1966"/>
      <c r="D9" s="1649" t="s">
        <v>14</v>
      </c>
      <c r="E9" s="1650" t="s">
        <v>14</v>
      </c>
      <c r="F9" s="1650" t="s">
        <v>14</v>
      </c>
      <c r="G9" s="1650" t="s">
        <v>14</v>
      </c>
      <c r="H9" s="1651" t="s">
        <v>14</v>
      </c>
      <c r="I9" s="1652" t="s">
        <v>14</v>
      </c>
      <c r="J9" s="1650" t="s">
        <v>14</v>
      </c>
      <c r="K9" s="1650" t="s">
        <v>14</v>
      </c>
      <c r="L9" s="1650" t="s">
        <v>14</v>
      </c>
      <c r="M9" s="1651" t="s">
        <v>14</v>
      </c>
      <c r="N9" s="1596"/>
      <c r="O9" s="1543"/>
      <c r="P9" s="1544"/>
      <c r="Q9" s="1545"/>
      <c r="R9" s="1151"/>
      <c r="S9" s="1653"/>
      <c r="T9" s="1654"/>
    </row>
    <row r="10" spans="1:20" s="1645" customFormat="1" ht="15" customHeight="1">
      <c r="A10" s="1643"/>
      <c r="B10" s="1972" t="s">
        <v>103</v>
      </c>
      <c r="C10" s="1655" t="s">
        <v>104</v>
      </c>
      <c r="D10" s="896">
        <v>0.29829754130088582</v>
      </c>
      <c r="E10" s="897">
        <v>0</v>
      </c>
      <c r="F10" s="897">
        <v>0.19930757130482524</v>
      </c>
      <c r="G10" s="897">
        <v>0.89307592869675823</v>
      </c>
      <c r="H10" s="898">
        <v>1.1117532404936123</v>
      </c>
      <c r="I10" s="896">
        <v>2.3315957022593938</v>
      </c>
      <c r="J10" s="897">
        <v>2.3858703688355409</v>
      </c>
      <c r="K10" s="897">
        <v>2.5898619825362434</v>
      </c>
      <c r="L10" s="897">
        <v>2.6870814154358671</v>
      </c>
      <c r="M10" s="898">
        <v>2.9234021642228014</v>
      </c>
      <c r="N10" s="1596"/>
      <c r="O10" s="543">
        <f>SUM(D10:G10)</f>
        <v>1.3906810413024693</v>
      </c>
      <c r="P10" s="544">
        <f>H10</f>
        <v>1.1117532404936123</v>
      </c>
      <c r="Q10" s="545">
        <f>SUM(D10:H10)</f>
        <v>2.5024342817960816</v>
      </c>
      <c r="R10" s="1151"/>
      <c r="S10" s="543">
        <f>SUM(I10:M10)</f>
        <v>12.917811633289846</v>
      </c>
      <c r="T10" s="1477">
        <f>IF(Q10&lt;&gt;0,(S10-Q10)/Q10,"0")</f>
        <v>4.162098252593589</v>
      </c>
    </row>
    <row r="11" spans="1:20" s="1645" customFormat="1" ht="15" customHeight="1">
      <c r="A11" s="1643"/>
      <c r="B11" s="1973"/>
      <c r="C11" s="1656" t="s">
        <v>105</v>
      </c>
      <c r="D11" s="899">
        <v>1.1931901652035435</v>
      </c>
      <c r="E11" s="900">
        <v>1.8921689777536406</v>
      </c>
      <c r="F11" s="900">
        <v>3.7868438547916794</v>
      </c>
      <c r="G11" s="900">
        <v>0.33490347326128433</v>
      </c>
      <c r="H11" s="901">
        <v>0.88940259239488995</v>
      </c>
      <c r="I11" s="899">
        <v>0.42392649131988985</v>
      </c>
      <c r="J11" s="900">
        <v>0.51866747148598735</v>
      </c>
      <c r="K11" s="900">
        <v>0.51797239650724869</v>
      </c>
      <c r="L11" s="900">
        <v>0.62009571125443097</v>
      </c>
      <c r="M11" s="901">
        <v>0.73085054105570035</v>
      </c>
      <c r="N11" s="1596"/>
      <c r="O11" s="543">
        <f t="shared" ref="O11:O35" si="0">SUM(D11:G11)</f>
        <v>7.2071064710101478</v>
      </c>
      <c r="P11" s="544">
        <f t="shared" ref="P11:P35" si="1">H11</f>
        <v>0.88940259239488995</v>
      </c>
      <c r="Q11" s="545">
        <f>SUM(D11:H11)</f>
        <v>8.096509063405037</v>
      </c>
      <c r="R11" s="1151"/>
      <c r="S11" s="543">
        <f>SUM(I11:M11)</f>
        <v>2.8115126116232574</v>
      </c>
      <c r="T11" s="1477">
        <f>IF(Q11&lt;&gt;0,(S11-Q11)/Q11,"0")</f>
        <v>-0.65275001984116121</v>
      </c>
    </row>
    <row r="12" spans="1:20" s="1645" customFormat="1" ht="15" customHeight="1">
      <c r="A12" s="1643"/>
      <c r="B12" s="1973" t="s">
        <v>106</v>
      </c>
      <c r="C12" s="1656" t="s">
        <v>104</v>
      </c>
      <c r="D12" s="899">
        <v>0</v>
      </c>
      <c r="E12" s="900">
        <v>0</v>
      </c>
      <c r="F12" s="900">
        <v>0</v>
      </c>
      <c r="G12" s="900">
        <v>0</v>
      </c>
      <c r="H12" s="901">
        <v>0</v>
      </c>
      <c r="I12" s="899">
        <v>0</v>
      </c>
      <c r="J12" s="900">
        <v>0</v>
      </c>
      <c r="K12" s="900">
        <v>0</v>
      </c>
      <c r="L12" s="900">
        <v>0</v>
      </c>
      <c r="M12" s="901">
        <v>0</v>
      </c>
      <c r="N12" s="1596"/>
      <c r="O12" s="543">
        <f t="shared" si="0"/>
        <v>0</v>
      </c>
      <c r="P12" s="544">
        <f t="shared" si="1"/>
        <v>0</v>
      </c>
      <c r="Q12" s="545">
        <f t="shared" ref="Q12:Q35" si="2">SUM(D12:H12)</f>
        <v>0</v>
      </c>
      <c r="R12" s="1151"/>
      <c r="S12" s="543">
        <f t="shared" ref="S12:S35" si="3">SUM(I12:M12)</f>
        <v>0</v>
      </c>
      <c r="T12" s="1477" t="str">
        <f t="shared" ref="T12:T35" si="4">IF(Q12&lt;&gt;0,(S12-Q12)/Q12,"0")</f>
        <v>0</v>
      </c>
    </row>
    <row r="13" spans="1:20" s="1645" customFormat="1" ht="15" customHeight="1">
      <c r="A13" s="1643"/>
      <c r="B13" s="1973"/>
      <c r="C13" s="1656" t="s">
        <v>105</v>
      </c>
      <c r="D13" s="899">
        <v>0</v>
      </c>
      <c r="E13" s="900">
        <v>0</v>
      </c>
      <c r="F13" s="900">
        <v>0</v>
      </c>
      <c r="G13" s="900">
        <v>0</v>
      </c>
      <c r="H13" s="901">
        <v>0</v>
      </c>
      <c r="I13" s="899">
        <v>0</v>
      </c>
      <c r="J13" s="900">
        <v>0</v>
      </c>
      <c r="K13" s="900">
        <v>0</v>
      </c>
      <c r="L13" s="900">
        <v>0</v>
      </c>
      <c r="M13" s="901">
        <v>0</v>
      </c>
      <c r="N13" s="1596"/>
      <c r="O13" s="543">
        <f t="shared" si="0"/>
        <v>0</v>
      </c>
      <c r="P13" s="544">
        <f t="shared" si="1"/>
        <v>0</v>
      </c>
      <c r="Q13" s="545">
        <f t="shared" si="2"/>
        <v>0</v>
      </c>
      <c r="R13" s="1151"/>
      <c r="S13" s="543">
        <f t="shared" si="3"/>
        <v>0</v>
      </c>
      <c r="T13" s="1477" t="str">
        <f t="shared" si="4"/>
        <v>0</v>
      </c>
    </row>
    <row r="14" spans="1:20" s="1645" customFormat="1" ht="15" customHeight="1">
      <c r="A14" s="1643"/>
      <c r="B14" s="1969" t="s">
        <v>848</v>
      </c>
      <c r="C14" s="1656" t="s">
        <v>129</v>
      </c>
      <c r="D14" s="899">
        <v>0</v>
      </c>
      <c r="E14" s="900">
        <v>0.59752704560641279</v>
      </c>
      <c r="F14" s="900">
        <v>0.59792271391447571</v>
      </c>
      <c r="G14" s="900">
        <v>1.5628828752193269</v>
      </c>
      <c r="H14" s="901">
        <v>1.7788051847897797</v>
      </c>
      <c r="I14" s="899">
        <v>2.8615038164092561</v>
      </c>
      <c r="J14" s="900">
        <v>3.0082713346187262</v>
      </c>
      <c r="K14" s="900">
        <v>3.3150233376463918</v>
      </c>
      <c r="L14" s="900">
        <v>3.5138756971084417</v>
      </c>
      <c r="M14" s="901">
        <v>3.7586599254293169</v>
      </c>
      <c r="N14" s="1596"/>
      <c r="O14" s="543">
        <f t="shared" si="0"/>
        <v>2.7583326347402153</v>
      </c>
      <c r="P14" s="544">
        <f t="shared" si="1"/>
        <v>1.7788051847897797</v>
      </c>
      <c r="Q14" s="545">
        <f t="shared" si="2"/>
        <v>4.5371378195299954</v>
      </c>
      <c r="R14" s="1151"/>
      <c r="S14" s="543">
        <f t="shared" si="3"/>
        <v>16.457334111212134</v>
      </c>
      <c r="T14" s="1477">
        <f t="shared" si="4"/>
        <v>2.6272502105560811</v>
      </c>
    </row>
    <row r="15" spans="1:20" s="1645" customFormat="1" ht="15" customHeight="1">
      <c r="A15" s="1643"/>
      <c r="B15" s="1969"/>
      <c r="C15" s="1656" t="s">
        <v>130</v>
      </c>
      <c r="D15" s="899">
        <v>1.5909202202713912</v>
      </c>
      <c r="E15" s="900">
        <v>1.9917568186880426</v>
      </c>
      <c r="F15" s="900">
        <v>5.4809582108826937</v>
      </c>
      <c r="G15" s="900">
        <v>4.6886486256579802</v>
      </c>
      <c r="H15" s="901">
        <v>5.7811168505667831</v>
      </c>
      <c r="I15" s="899">
        <v>4.9811362730087048</v>
      </c>
      <c r="J15" s="900">
        <v>6.1202761635346494</v>
      </c>
      <c r="K15" s="900">
        <v>7.4588025097043795</v>
      </c>
      <c r="L15" s="900">
        <v>8.6813399575620327</v>
      </c>
      <c r="M15" s="901">
        <v>10.231907574779804</v>
      </c>
      <c r="N15" s="1596"/>
      <c r="O15" s="543">
        <f t="shared" si="0"/>
        <v>13.752283875500108</v>
      </c>
      <c r="P15" s="544">
        <f t="shared" si="1"/>
        <v>5.7811168505667831</v>
      </c>
      <c r="Q15" s="545">
        <f t="shared" si="2"/>
        <v>19.53340072606689</v>
      </c>
      <c r="R15" s="1151"/>
      <c r="S15" s="543">
        <f t="shared" si="3"/>
        <v>37.473462478589568</v>
      </c>
      <c r="T15" s="1477">
        <f t="shared" si="4"/>
        <v>0.91843002680951824</v>
      </c>
    </row>
    <row r="16" spans="1:20" s="1645" customFormat="1" ht="15" customHeight="1">
      <c r="A16" s="1643"/>
      <c r="B16" s="1969"/>
      <c r="C16" s="1657" t="s">
        <v>224</v>
      </c>
      <c r="D16" s="899">
        <v>2.1875153028731629</v>
      </c>
      <c r="E16" s="900">
        <v>2.6888717052288578</v>
      </c>
      <c r="F16" s="900">
        <v>2.4913446413103153</v>
      </c>
      <c r="G16" s="900">
        <v>1.4512483841322323</v>
      </c>
      <c r="H16" s="901">
        <v>1.889980508839141</v>
      </c>
      <c r="I16" s="899">
        <v>2.1196324565994491</v>
      </c>
      <c r="J16" s="900">
        <v>2.1784033802411464</v>
      </c>
      <c r="K16" s="900">
        <v>2.1754840653304446</v>
      </c>
      <c r="L16" s="900">
        <v>2.2736842745995802</v>
      </c>
      <c r="M16" s="901">
        <v>2.4013660634687297</v>
      </c>
      <c r="N16" s="1596"/>
      <c r="O16" s="543">
        <f t="shared" si="0"/>
        <v>8.8189800335445696</v>
      </c>
      <c r="P16" s="544">
        <f t="shared" si="1"/>
        <v>1.889980508839141</v>
      </c>
      <c r="Q16" s="545">
        <f t="shared" si="2"/>
        <v>10.708960542383711</v>
      </c>
      <c r="R16" s="1151"/>
      <c r="S16" s="543">
        <f t="shared" si="3"/>
        <v>11.14857024023935</v>
      </c>
      <c r="T16" s="1477">
        <f t="shared" si="4"/>
        <v>4.1050641293873522E-2</v>
      </c>
    </row>
    <row r="17" spans="1:20" s="1645" customFormat="1" ht="15" customHeight="1">
      <c r="A17" s="1643"/>
      <c r="B17" s="1969" t="s">
        <v>239</v>
      </c>
      <c r="C17" s="1656" t="s">
        <v>225</v>
      </c>
      <c r="D17" s="899">
        <v>5.8665183122507543</v>
      </c>
      <c r="E17" s="900">
        <v>9.1620813659649958</v>
      </c>
      <c r="F17" s="900">
        <v>10.363993707850911</v>
      </c>
      <c r="G17" s="900">
        <v>12.503063001754613</v>
      </c>
      <c r="H17" s="901">
        <v>10.116954488491873</v>
      </c>
      <c r="I17" s="899">
        <v>9.9622725460174095</v>
      </c>
      <c r="J17" s="900">
        <v>9.0248140038561768</v>
      </c>
      <c r="K17" s="900">
        <v>8.3911528234174284</v>
      </c>
      <c r="L17" s="900">
        <v>7.8545456758894581</v>
      </c>
      <c r="M17" s="901">
        <v>7.4129126307078188</v>
      </c>
      <c r="N17" s="1596"/>
      <c r="O17" s="543">
        <f t="shared" si="0"/>
        <v>37.895656387821276</v>
      </c>
      <c r="P17" s="544">
        <f t="shared" si="1"/>
        <v>10.116954488491873</v>
      </c>
      <c r="Q17" s="545">
        <f t="shared" si="2"/>
        <v>48.012610876313147</v>
      </c>
      <c r="R17" s="1151"/>
      <c r="S17" s="543">
        <f t="shared" si="3"/>
        <v>42.645697679888301</v>
      </c>
      <c r="T17" s="1477">
        <f t="shared" si="4"/>
        <v>-0.11178132366620776</v>
      </c>
    </row>
    <row r="18" spans="1:20" s="1645" customFormat="1" ht="15" customHeight="1">
      <c r="A18" s="1643"/>
      <c r="B18" s="1969"/>
      <c r="C18" s="1656" t="s">
        <v>878</v>
      </c>
      <c r="D18" s="899">
        <v>1.1931901652035433</v>
      </c>
      <c r="E18" s="900">
        <v>1.4938176140160322</v>
      </c>
      <c r="F18" s="900">
        <v>4.6837279256633932</v>
      </c>
      <c r="G18" s="900">
        <v>1.1163449108709478</v>
      </c>
      <c r="H18" s="901">
        <v>1.4452792126416962</v>
      </c>
      <c r="I18" s="899">
        <v>0.8478529826397796</v>
      </c>
      <c r="J18" s="900">
        <v>1.0373349429719745</v>
      </c>
      <c r="K18" s="900">
        <v>1.4503227102202962</v>
      </c>
      <c r="L18" s="900">
        <v>1.5502392781360774</v>
      </c>
      <c r="M18" s="901">
        <v>1.6705155224130297</v>
      </c>
      <c r="N18" s="1596"/>
      <c r="O18" s="543">
        <f t="shared" si="0"/>
        <v>8.487080615753916</v>
      </c>
      <c r="P18" s="544">
        <f t="shared" si="1"/>
        <v>1.4452792126416962</v>
      </c>
      <c r="Q18" s="545">
        <f t="shared" si="2"/>
        <v>9.9323598283956116</v>
      </c>
      <c r="R18" s="1151"/>
      <c r="S18" s="543">
        <f t="shared" si="3"/>
        <v>6.5562654363811568</v>
      </c>
      <c r="T18" s="1477">
        <f t="shared" si="4"/>
        <v>-0.33990858671496604</v>
      </c>
    </row>
    <row r="19" spans="1:20" s="1645" customFormat="1" ht="15" customHeight="1">
      <c r="A19" s="1643"/>
      <c r="B19" s="1969"/>
      <c r="C19" s="1657" t="s">
        <v>120</v>
      </c>
      <c r="D19" s="899">
        <v>0</v>
      </c>
      <c r="E19" s="900">
        <v>0</v>
      </c>
      <c r="F19" s="900">
        <v>0</v>
      </c>
      <c r="G19" s="900">
        <v>0</v>
      </c>
      <c r="H19" s="901">
        <v>0</v>
      </c>
      <c r="I19" s="899">
        <v>0</v>
      </c>
      <c r="J19" s="900">
        <v>0</v>
      </c>
      <c r="K19" s="900">
        <v>0</v>
      </c>
      <c r="L19" s="900">
        <v>0</v>
      </c>
      <c r="M19" s="901">
        <v>0</v>
      </c>
      <c r="N19" s="1596"/>
      <c r="O19" s="543">
        <f t="shared" si="0"/>
        <v>0</v>
      </c>
      <c r="P19" s="544">
        <f t="shared" si="1"/>
        <v>0</v>
      </c>
      <c r="Q19" s="545">
        <f t="shared" si="2"/>
        <v>0</v>
      </c>
      <c r="R19" s="1151"/>
      <c r="S19" s="543">
        <f t="shared" si="3"/>
        <v>0</v>
      </c>
      <c r="T19" s="1477" t="str">
        <f t="shared" si="4"/>
        <v>0</v>
      </c>
    </row>
    <row r="20" spans="1:20" s="1645" customFormat="1" ht="15" customHeight="1">
      <c r="A20" s="1643"/>
      <c r="B20" s="1969"/>
      <c r="C20" s="1657" t="s">
        <v>224</v>
      </c>
      <c r="D20" s="899">
        <v>3.5795704956106302</v>
      </c>
      <c r="E20" s="900">
        <v>4.879804205785705</v>
      </c>
      <c r="F20" s="900">
        <v>4.1854589974013301</v>
      </c>
      <c r="G20" s="900">
        <v>4.8002831167450752</v>
      </c>
      <c r="H20" s="901">
        <v>4.7805389341225322</v>
      </c>
      <c r="I20" s="899">
        <v>5.7230076328185113</v>
      </c>
      <c r="J20" s="900">
        <v>7.1576111065066241</v>
      </c>
      <c r="K20" s="900">
        <v>7.8731804269101806</v>
      </c>
      <c r="L20" s="900">
        <v>6.511004968171525</v>
      </c>
      <c r="M20" s="901">
        <v>8.5613920523667755</v>
      </c>
      <c r="N20" s="1596"/>
      <c r="O20" s="543">
        <f t="shared" si="0"/>
        <v>17.44511681554274</v>
      </c>
      <c r="P20" s="544">
        <f t="shared" si="1"/>
        <v>4.7805389341225322</v>
      </c>
      <c r="Q20" s="545">
        <f t="shared" si="2"/>
        <v>22.225655749665272</v>
      </c>
      <c r="R20" s="1151"/>
      <c r="S20" s="543">
        <f t="shared" si="3"/>
        <v>35.826196186773622</v>
      </c>
      <c r="T20" s="1477">
        <f t="shared" si="4"/>
        <v>0.61192977117506109</v>
      </c>
    </row>
    <row r="21" spans="1:20" s="1645" customFormat="1" ht="15" customHeight="1">
      <c r="A21" s="1643"/>
      <c r="B21" s="1969"/>
      <c r="C21" s="1656" t="s">
        <v>868</v>
      </c>
      <c r="D21" s="899">
        <v>0.1988650275339239</v>
      </c>
      <c r="E21" s="900">
        <v>0.89629056840961918</v>
      </c>
      <c r="F21" s="900">
        <v>0.69757649956688828</v>
      </c>
      <c r="G21" s="900">
        <v>0.89307592869675811</v>
      </c>
      <c r="H21" s="901">
        <v>1.2229285645429737</v>
      </c>
      <c r="I21" s="899">
        <v>1.9076692109395044</v>
      </c>
      <c r="J21" s="900">
        <v>1.9709363916467515</v>
      </c>
      <c r="K21" s="900">
        <v>2.2790785446318944</v>
      </c>
      <c r="L21" s="900">
        <v>2.4803828450177234</v>
      </c>
      <c r="M21" s="901">
        <v>2.8189949440719873</v>
      </c>
      <c r="N21" s="1596"/>
      <c r="O21" s="543">
        <f t="shared" si="0"/>
        <v>2.6858080242071893</v>
      </c>
      <c r="P21" s="544">
        <f t="shared" si="1"/>
        <v>1.2229285645429737</v>
      </c>
      <c r="Q21" s="545">
        <f t="shared" si="2"/>
        <v>3.9087365887501631</v>
      </c>
      <c r="R21" s="1151"/>
      <c r="S21" s="543">
        <f t="shared" si="3"/>
        <v>11.457061936307861</v>
      </c>
      <c r="T21" s="1477">
        <f t="shared" si="4"/>
        <v>1.9311419882533734</v>
      </c>
    </row>
    <row r="22" spans="1:20" s="1645" customFormat="1" ht="15" customHeight="1">
      <c r="A22" s="1643"/>
      <c r="B22" s="1969"/>
      <c r="C22" s="1656" t="s">
        <v>869</v>
      </c>
      <c r="D22" s="899">
        <v>2.1875153028731629</v>
      </c>
      <c r="E22" s="900">
        <v>0.89629056840961918</v>
      </c>
      <c r="F22" s="900">
        <v>1.8934219273958397</v>
      </c>
      <c r="G22" s="900">
        <v>2.1210553306548006</v>
      </c>
      <c r="H22" s="901">
        <v>3.0017337493327538</v>
      </c>
      <c r="I22" s="899">
        <v>3.0734670620692013</v>
      </c>
      <c r="J22" s="900">
        <v>3.0082713346187262</v>
      </c>
      <c r="K22" s="900">
        <v>3.0042398997420423</v>
      </c>
      <c r="L22" s="900">
        <v>2.9971292710630824</v>
      </c>
      <c r="M22" s="901">
        <v>3.0278093843736156</v>
      </c>
      <c r="N22" s="1596"/>
      <c r="O22" s="543">
        <f t="shared" si="0"/>
        <v>7.0982831293334216</v>
      </c>
      <c r="P22" s="544">
        <f t="shared" si="1"/>
        <v>3.0017337493327538</v>
      </c>
      <c r="Q22" s="545">
        <f t="shared" si="2"/>
        <v>10.100016878666175</v>
      </c>
      <c r="R22" s="1151"/>
      <c r="S22" s="543">
        <f t="shared" si="3"/>
        <v>15.110916951866667</v>
      </c>
      <c r="T22" s="1477">
        <f t="shared" si="4"/>
        <v>0.49612789101222177</v>
      </c>
    </row>
    <row r="23" spans="1:20" s="1645" customFormat="1" ht="15" customHeight="1">
      <c r="A23" s="1643"/>
      <c r="B23" s="1969" t="s">
        <v>245</v>
      </c>
      <c r="C23" s="1656" t="s">
        <v>225</v>
      </c>
      <c r="D23" s="899">
        <v>0.39773005506784781</v>
      </c>
      <c r="E23" s="900">
        <v>9.9587840934402136E-2</v>
      </c>
      <c r="F23" s="900">
        <v>0</v>
      </c>
      <c r="G23" s="900">
        <v>2.4559588039160856</v>
      </c>
      <c r="H23" s="901">
        <v>0.44470129619744503</v>
      </c>
      <c r="I23" s="899">
        <v>0.42392649131988985</v>
      </c>
      <c r="J23" s="900">
        <v>4.0456062775907</v>
      </c>
      <c r="K23" s="900">
        <v>3.8329957341536405</v>
      </c>
      <c r="L23" s="900">
        <v>6.5110049681715232</v>
      </c>
      <c r="M23" s="901">
        <v>2.5057732836195439</v>
      </c>
      <c r="N23" s="1596"/>
      <c r="O23" s="543">
        <f t="shared" si="0"/>
        <v>2.9532766999183355</v>
      </c>
      <c r="P23" s="544">
        <f t="shared" si="1"/>
        <v>0.44470129619744503</v>
      </c>
      <c r="Q23" s="545">
        <f t="shared" si="2"/>
        <v>3.3979779961157806</v>
      </c>
      <c r="R23" s="1151"/>
      <c r="S23" s="543">
        <f t="shared" si="3"/>
        <v>17.319306754855297</v>
      </c>
      <c r="T23" s="1477">
        <f t="shared" si="4"/>
        <v>4.096944940388946</v>
      </c>
    </row>
    <row r="24" spans="1:20" s="1645" customFormat="1" ht="15" customHeight="1">
      <c r="A24" s="1643"/>
      <c r="B24" s="1969"/>
      <c r="C24" s="1656" t="s">
        <v>878</v>
      </c>
      <c r="D24" s="899">
        <v>0.79546011013569551</v>
      </c>
      <c r="E24" s="900">
        <v>1.0954662502784234</v>
      </c>
      <c r="F24" s="900">
        <v>1.1958454278289514</v>
      </c>
      <c r="G24" s="900">
        <v>0.11163449108709478</v>
      </c>
      <c r="H24" s="901">
        <v>0.11117532404936126</v>
      </c>
      <c r="I24" s="899">
        <v>3.0734670620692008</v>
      </c>
      <c r="J24" s="900">
        <v>1.5560024144579616</v>
      </c>
      <c r="K24" s="900">
        <v>0</v>
      </c>
      <c r="L24" s="900">
        <v>1.3435407077179335</v>
      </c>
      <c r="M24" s="901">
        <v>0.41762888060325742</v>
      </c>
      <c r="N24" s="1596"/>
      <c r="O24" s="543">
        <f t="shared" si="0"/>
        <v>3.1984062793301655</v>
      </c>
      <c r="P24" s="544">
        <f t="shared" si="1"/>
        <v>0.11117532404936126</v>
      </c>
      <c r="Q24" s="545">
        <f t="shared" si="2"/>
        <v>3.3095816033795269</v>
      </c>
      <c r="R24" s="1151"/>
      <c r="S24" s="543">
        <f t="shared" si="3"/>
        <v>6.3906390648483535</v>
      </c>
      <c r="T24" s="1477">
        <f t="shared" si="4"/>
        <v>0.93095074565396829</v>
      </c>
    </row>
    <row r="25" spans="1:20" s="1645" customFormat="1" ht="15" customHeight="1">
      <c r="A25" s="1643"/>
      <c r="B25" s="1969"/>
      <c r="C25" s="1656" t="s">
        <v>120</v>
      </c>
      <c r="D25" s="899">
        <v>0</v>
      </c>
      <c r="E25" s="900">
        <v>0</v>
      </c>
      <c r="F25" s="900">
        <v>0</v>
      </c>
      <c r="G25" s="900">
        <v>0</v>
      </c>
      <c r="H25" s="901">
        <v>0</v>
      </c>
      <c r="I25" s="899">
        <v>0</v>
      </c>
      <c r="J25" s="900">
        <v>0</v>
      </c>
      <c r="K25" s="900">
        <v>0</v>
      </c>
      <c r="L25" s="900">
        <v>0</v>
      </c>
      <c r="M25" s="901">
        <v>0</v>
      </c>
      <c r="N25" s="1596"/>
      <c r="O25" s="543">
        <f t="shared" si="0"/>
        <v>0</v>
      </c>
      <c r="P25" s="544">
        <f t="shared" si="1"/>
        <v>0</v>
      </c>
      <c r="Q25" s="545">
        <f t="shared" si="2"/>
        <v>0</v>
      </c>
      <c r="R25" s="1151"/>
      <c r="S25" s="543">
        <f t="shared" si="3"/>
        <v>0</v>
      </c>
      <c r="T25" s="1477" t="str">
        <f t="shared" si="4"/>
        <v>0</v>
      </c>
    </row>
    <row r="26" spans="1:20" s="1645" customFormat="1" ht="15" customHeight="1">
      <c r="A26" s="1643"/>
      <c r="B26" s="1969"/>
      <c r="C26" s="1656" t="s">
        <v>224</v>
      </c>
      <c r="D26" s="899">
        <v>0</v>
      </c>
      <c r="E26" s="900">
        <v>0.29876352280320639</v>
      </c>
      <c r="F26" s="900">
        <v>0</v>
      </c>
      <c r="G26" s="900">
        <v>2.6792277860902742</v>
      </c>
      <c r="H26" s="901">
        <v>0.88940259239489006</v>
      </c>
      <c r="I26" s="899">
        <v>1.483742719619614</v>
      </c>
      <c r="J26" s="900">
        <v>4.2530732661850958</v>
      </c>
      <c r="K26" s="900">
        <v>0.6215668758086984</v>
      </c>
      <c r="L26" s="900">
        <v>2.1703349893905082</v>
      </c>
      <c r="M26" s="901">
        <v>5.1159537873899028</v>
      </c>
      <c r="N26" s="1596"/>
      <c r="O26" s="543">
        <f t="shared" si="0"/>
        <v>2.9779913088934808</v>
      </c>
      <c r="P26" s="544">
        <f t="shared" si="1"/>
        <v>0.88940259239489006</v>
      </c>
      <c r="Q26" s="545">
        <f t="shared" si="2"/>
        <v>3.8673939012883709</v>
      </c>
      <c r="R26" s="1151"/>
      <c r="S26" s="543">
        <f t="shared" si="3"/>
        <v>13.64467163839382</v>
      </c>
      <c r="T26" s="1477">
        <f t="shared" si="4"/>
        <v>2.5281308257346842</v>
      </c>
    </row>
    <row r="27" spans="1:20" s="1645" customFormat="1" ht="15" customHeight="1">
      <c r="A27" s="1643"/>
      <c r="B27" s="1969"/>
      <c r="C27" s="1656" t="s">
        <v>868</v>
      </c>
      <c r="D27" s="899">
        <v>0.79546011013569562</v>
      </c>
      <c r="E27" s="900">
        <v>2.8880473870976617</v>
      </c>
      <c r="F27" s="900">
        <v>2.1923832843530775</v>
      </c>
      <c r="G27" s="900">
        <v>1.5628828752193269</v>
      </c>
      <c r="H27" s="901">
        <v>0.55587662024680617</v>
      </c>
      <c r="I27" s="899">
        <v>0.21196324565994493</v>
      </c>
      <c r="J27" s="900">
        <v>1.7634694030523566</v>
      </c>
      <c r="K27" s="900">
        <v>1.0359447930144974</v>
      </c>
      <c r="L27" s="900">
        <v>0.41339714083628726</v>
      </c>
      <c r="M27" s="901">
        <v>0.62644332090488597</v>
      </c>
      <c r="N27" s="1596"/>
      <c r="O27" s="543">
        <f t="shared" si="0"/>
        <v>7.4387736568057612</v>
      </c>
      <c r="P27" s="544">
        <f t="shared" si="1"/>
        <v>0.55587662024680617</v>
      </c>
      <c r="Q27" s="545">
        <f t="shared" si="2"/>
        <v>7.9946502770525676</v>
      </c>
      <c r="R27" s="1151"/>
      <c r="S27" s="543">
        <f t="shared" si="3"/>
        <v>4.0512179034679718</v>
      </c>
      <c r="T27" s="1477">
        <f t="shared" si="4"/>
        <v>-0.49325889650278021</v>
      </c>
    </row>
    <row r="28" spans="1:20" s="1645" customFormat="1" ht="15" customHeight="1">
      <c r="A28" s="1643"/>
      <c r="B28" s="1969"/>
      <c r="C28" s="1657" t="s">
        <v>869</v>
      </c>
      <c r="D28" s="899">
        <v>1.8892177615722769</v>
      </c>
      <c r="E28" s="900">
        <v>0.79670272747521709</v>
      </c>
      <c r="F28" s="900">
        <v>1.2954992134813641</v>
      </c>
      <c r="G28" s="900">
        <v>2.3443243128289906</v>
      </c>
      <c r="H28" s="901">
        <v>2.0011558328885024</v>
      </c>
      <c r="I28" s="899">
        <v>1.1657978511296969</v>
      </c>
      <c r="J28" s="900">
        <v>0.72613446008038218</v>
      </c>
      <c r="K28" s="900">
        <v>0.51797239650724869</v>
      </c>
      <c r="L28" s="900">
        <v>0.72344499646350269</v>
      </c>
      <c r="M28" s="901">
        <v>2.6101805037703589</v>
      </c>
      <c r="N28" s="1596"/>
      <c r="O28" s="543">
        <f t="shared" si="0"/>
        <v>6.3257440153578486</v>
      </c>
      <c r="P28" s="544">
        <f t="shared" si="1"/>
        <v>2.0011558328885024</v>
      </c>
      <c r="Q28" s="545">
        <f t="shared" si="2"/>
        <v>8.3268998482463505</v>
      </c>
      <c r="R28" s="1151"/>
      <c r="S28" s="543">
        <f t="shared" si="3"/>
        <v>5.7435302079511894</v>
      </c>
      <c r="T28" s="1477">
        <f t="shared" si="4"/>
        <v>-0.31024387075331766</v>
      </c>
    </row>
    <row r="29" spans="1:20" s="1645" customFormat="1" ht="15" customHeight="1">
      <c r="A29" s="1643"/>
      <c r="B29" s="1969" t="s">
        <v>243</v>
      </c>
      <c r="C29" s="1656" t="s">
        <v>225</v>
      </c>
      <c r="D29" s="899">
        <v>9.9432513766961952E-2</v>
      </c>
      <c r="E29" s="900">
        <v>4.5810406829824979</v>
      </c>
      <c r="F29" s="900">
        <v>6.9757649956688832</v>
      </c>
      <c r="G29" s="900">
        <v>12.503063001754615</v>
      </c>
      <c r="H29" s="901">
        <v>6.2258181467642295</v>
      </c>
      <c r="I29" s="899">
        <v>4.4512281588588438</v>
      </c>
      <c r="J29" s="900">
        <v>3.8381392889963055</v>
      </c>
      <c r="K29" s="900">
        <v>4.868940527168137</v>
      </c>
      <c r="L29" s="900">
        <v>4.2373206935719443</v>
      </c>
      <c r="M29" s="901">
        <v>2.0881444030162868</v>
      </c>
      <c r="N29" s="1596"/>
      <c r="O29" s="543">
        <f t="shared" si="0"/>
        <v>24.159301194172958</v>
      </c>
      <c r="P29" s="544">
        <f t="shared" si="1"/>
        <v>6.2258181467642295</v>
      </c>
      <c r="Q29" s="545">
        <f t="shared" si="2"/>
        <v>30.385119340937187</v>
      </c>
      <c r="R29" s="1151"/>
      <c r="S29" s="543">
        <f t="shared" si="3"/>
        <v>19.483773071611516</v>
      </c>
      <c r="T29" s="1477">
        <f t="shared" si="4"/>
        <v>-0.35877253424634514</v>
      </c>
    </row>
    <row r="30" spans="1:20" s="1645" customFormat="1" ht="15" customHeight="1">
      <c r="A30" s="1643"/>
      <c r="B30" s="1969"/>
      <c r="C30" s="1656" t="s">
        <v>878</v>
      </c>
      <c r="D30" s="899">
        <v>6.363680881085565</v>
      </c>
      <c r="E30" s="900">
        <v>9.8591962525058108</v>
      </c>
      <c r="F30" s="900">
        <v>3.9861514260965047</v>
      </c>
      <c r="G30" s="900">
        <v>0.11163449108709478</v>
      </c>
      <c r="H30" s="901">
        <v>1.4452792126416962</v>
      </c>
      <c r="I30" s="899">
        <v>6.6768422382882644</v>
      </c>
      <c r="J30" s="900">
        <v>0</v>
      </c>
      <c r="K30" s="900">
        <v>4.1437791720579895</v>
      </c>
      <c r="L30" s="900">
        <v>8.8880385279801768</v>
      </c>
      <c r="M30" s="901">
        <v>13.781753059907492</v>
      </c>
      <c r="N30" s="1596"/>
      <c r="O30" s="543">
        <f t="shared" si="0"/>
        <v>20.320663050774975</v>
      </c>
      <c r="P30" s="544">
        <f t="shared" si="1"/>
        <v>1.4452792126416962</v>
      </c>
      <c r="Q30" s="545">
        <f t="shared" si="2"/>
        <v>21.765942263416672</v>
      </c>
      <c r="R30" s="1151"/>
      <c r="S30" s="543">
        <f t="shared" si="3"/>
        <v>33.490412998233921</v>
      </c>
      <c r="T30" s="1477">
        <f t="shared" si="4"/>
        <v>0.53866129905725568</v>
      </c>
    </row>
    <row r="31" spans="1:20" s="1645" customFormat="1" ht="15" customHeight="1">
      <c r="A31" s="1643"/>
      <c r="B31" s="1969"/>
      <c r="C31" s="1657" t="s">
        <v>879</v>
      </c>
      <c r="D31" s="899">
        <v>0</v>
      </c>
      <c r="E31" s="900">
        <v>0</v>
      </c>
      <c r="F31" s="900">
        <v>0</v>
      </c>
      <c r="G31" s="900">
        <v>0</v>
      </c>
      <c r="H31" s="901">
        <v>0</v>
      </c>
      <c r="I31" s="899">
        <v>0</v>
      </c>
      <c r="J31" s="900">
        <v>0</v>
      </c>
      <c r="K31" s="900">
        <v>0</v>
      </c>
      <c r="L31" s="900">
        <v>0</v>
      </c>
      <c r="M31" s="901">
        <v>0</v>
      </c>
      <c r="N31" s="1596"/>
      <c r="O31" s="543">
        <f t="shared" si="0"/>
        <v>0</v>
      </c>
      <c r="P31" s="544">
        <f t="shared" si="1"/>
        <v>0</v>
      </c>
      <c r="Q31" s="545">
        <f t="shared" si="2"/>
        <v>0</v>
      </c>
      <c r="R31" s="1151"/>
      <c r="S31" s="543">
        <f t="shared" si="3"/>
        <v>0</v>
      </c>
      <c r="T31" s="1477" t="str">
        <f t="shared" si="4"/>
        <v>0</v>
      </c>
    </row>
    <row r="32" spans="1:20" s="1645" customFormat="1" ht="15" customHeight="1">
      <c r="A32" s="1643"/>
      <c r="B32" s="1969"/>
      <c r="C32" s="1657" t="s">
        <v>224</v>
      </c>
      <c r="D32" s="899">
        <v>9.7443863491622711</v>
      </c>
      <c r="E32" s="900">
        <v>3.0872230689664661</v>
      </c>
      <c r="F32" s="900">
        <v>11.858800492637101</v>
      </c>
      <c r="G32" s="900">
        <v>8.372586831532109</v>
      </c>
      <c r="H32" s="901">
        <v>0.33352597214808372</v>
      </c>
      <c r="I32" s="899">
        <v>8.1605849579078793</v>
      </c>
      <c r="J32" s="900">
        <v>7.157611106506625</v>
      </c>
      <c r="K32" s="900">
        <v>12.949309912681217</v>
      </c>
      <c r="L32" s="900">
        <v>10.644976376534398</v>
      </c>
      <c r="M32" s="901">
        <v>8.2481703919143321</v>
      </c>
      <c r="N32" s="1596"/>
      <c r="O32" s="543">
        <f t="shared" si="0"/>
        <v>33.062996742297948</v>
      </c>
      <c r="P32" s="544">
        <f t="shared" si="1"/>
        <v>0.33352597214808372</v>
      </c>
      <c r="Q32" s="545">
        <f t="shared" si="2"/>
        <v>33.396522714446029</v>
      </c>
      <c r="R32" s="1151"/>
      <c r="S32" s="543">
        <f t="shared" si="3"/>
        <v>47.160652745544454</v>
      </c>
      <c r="T32" s="1477">
        <f t="shared" si="4"/>
        <v>0.41214260983957474</v>
      </c>
    </row>
    <row r="33" spans="1:20" s="1645" customFormat="1" ht="15" customHeight="1">
      <c r="A33" s="1643"/>
      <c r="B33" s="1969"/>
      <c r="C33" s="1657" t="s">
        <v>868</v>
      </c>
      <c r="D33" s="899">
        <v>1.590920220271391</v>
      </c>
      <c r="E33" s="900">
        <v>8.6641421612929861</v>
      </c>
      <c r="F33" s="900">
        <v>2.8899597839199656</v>
      </c>
      <c r="G33" s="900">
        <v>1.3396138930451373</v>
      </c>
      <c r="H33" s="901">
        <v>0.55587662024680617</v>
      </c>
      <c r="I33" s="899">
        <v>2.6495405707493114</v>
      </c>
      <c r="J33" s="900">
        <v>8.0912125551814018</v>
      </c>
      <c r="K33" s="900">
        <v>10.359447930144972</v>
      </c>
      <c r="L33" s="900">
        <v>4.5473685491991596</v>
      </c>
      <c r="M33" s="901">
        <v>2.6101805037703585</v>
      </c>
      <c r="N33" s="1596"/>
      <c r="O33" s="543">
        <f t="shared" si="0"/>
        <v>14.484636058529478</v>
      </c>
      <c r="P33" s="544">
        <f t="shared" si="1"/>
        <v>0.55587662024680617</v>
      </c>
      <c r="Q33" s="545">
        <f t="shared" si="2"/>
        <v>15.040512678776285</v>
      </c>
      <c r="R33" s="1151"/>
      <c r="S33" s="543">
        <f t="shared" si="3"/>
        <v>28.257750109045201</v>
      </c>
      <c r="T33" s="1477">
        <f t="shared" si="4"/>
        <v>0.87877572477431587</v>
      </c>
    </row>
    <row r="34" spans="1:20" s="1645" customFormat="1" ht="15" customHeight="1">
      <c r="A34" s="1643"/>
      <c r="B34" s="1969"/>
      <c r="C34" s="1657" t="s">
        <v>869</v>
      </c>
      <c r="D34" s="899">
        <v>0.29829754130088582</v>
      </c>
      <c r="E34" s="900">
        <v>1.6929932958848362</v>
      </c>
      <c r="F34" s="900">
        <v>0</v>
      </c>
      <c r="G34" s="900">
        <v>0</v>
      </c>
      <c r="H34" s="901">
        <v>0</v>
      </c>
      <c r="I34" s="899">
        <v>1.1697794739596694</v>
      </c>
      <c r="J34" s="900">
        <v>0.67713446008038214</v>
      </c>
      <c r="K34" s="900">
        <v>0.48297239650724866</v>
      </c>
      <c r="L34" s="900">
        <v>0.77079428167257447</v>
      </c>
      <c r="M34" s="901">
        <v>0.48203610075407166</v>
      </c>
      <c r="N34" s="1596"/>
      <c r="O34" s="543">
        <f t="shared" si="0"/>
        <v>1.9912908371857219</v>
      </c>
      <c r="P34" s="544">
        <f t="shared" si="1"/>
        <v>0</v>
      </c>
      <c r="Q34" s="545">
        <f t="shared" si="2"/>
        <v>1.9912908371857219</v>
      </c>
      <c r="R34" s="1151"/>
      <c r="S34" s="543">
        <f t="shared" si="3"/>
        <v>3.5827167129739466</v>
      </c>
      <c r="T34" s="1477">
        <f t="shared" si="4"/>
        <v>0.79919308926132371</v>
      </c>
    </row>
    <row r="35" spans="1:20" s="1645" customFormat="1" ht="15" customHeight="1" thickBot="1">
      <c r="A35" s="1643"/>
      <c r="B35" s="1658" t="s">
        <v>880</v>
      </c>
      <c r="C35" s="1659"/>
      <c r="D35" s="1660">
        <v>40.270168075619587</v>
      </c>
      <c r="E35" s="1661">
        <v>57.561772060084429</v>
      </c>
      <c r="F35" s="1661">
        <v>64.774960674068197</v>
      </c>
      <c r="G35" s="1661">
        <v>61.845508062250516</v>
      </c>
      <c r="H35" s="1662">
        <v>44.581304943793853</v>
      </c>
      <c r="I35" s="1660">
        <v>63.69893694364341</v>
      </c>
      <c r="J35" s="1661">
        <v>68.51883973044751</v>
      </c>
      <c r="K35" s="1661">
        <v>77.868048434690195</v>
      </c>
      <c r="L35" s="1661">
        <v>79.419600325776244</v>
      </c>
      <c r="M35" s="1662">
        <v>82.024075038540076</v>
      </c>
      <c r="N35" s="1596"/>
      <c r="O35" s="1486">
        <f t="shared" si="0"/>
        <v>224.45240887202272</v>
      </c>
      <c r="P35" s="1487">
        <f t="shared" si="1"/>
        <v>44.581304943793853</v>
      </c>
      <c r="Q35" s="1488">
        <f t="shared" si="2"/>
        <v>269.03371381581655</v>
      </c>
      <c r="R35" s="1151"/>
      <c r="S35" s="1486">
        <f t="shared" si="3"/>
        <v>371.52950047309741</v>
      </c>
      <c r="T35" s="1489">
        <f t="shared" si="4"/>
        <v>0.3809774812366104</v>
      </c>
    </row>
    <row r="36" spans="1:20" s="1645" customFormat="1" ht="12.75">
      <c r="A36" s="1643"/>
      <c r="B36" s="1663"/>
      <c r="C36" s="1663"/>
      <c r="D36" s="819"/>
      <c r="E36" s="819"/>
      <c r="F36" s="819"/>
      <c r="G36" s="819"/>
      <c r="H36" s="819"/>
      <c r="I36" s="819"/>
      <c r="J36" s="819"/>
      <c r="K36" s="819"/>
      <c r="L36" s="819"/>
      <c r="M36" s="819"/>
      <c r="N36" s="1596"/>
      <c r="O36" s="1596"/>
      <c r="P36" s="1596"/>
      <c r="Q36" s="1596"/>
    </row>
    <row r="37" spans="1:20" s="1645" customFormat="1" ht="12.75">
      <c r="A37" s="1643"/>
      <c r="B37" s="1596"/>
      <c r="C37" s="1596"/>
      <c r="D37" s="1596"/>
      <c r="E37" s="1596"/>
      <c r="F37" s="1596"/>
      <c r="G37" s="1596"/>
      <c r="H37" s="1596"/>
      <c r="I37" s="1596"/>
      <c r="J37" s="1596"/>
      <c r="K37" s="1596"/>
      <c r="L37" s="1596"/>
      <c r="M37" s="1596"/>
      <c r="N37" s="1596"/>
      <c r="O37" s="1596"/>
      <c r="P37" s="1596"/>
      <c r="Q37" s="1596"/>
    </row>
    <row r="38" spans="1:20" s="1645" customFormat="1" ht="15" customHeight="1">
      <c r="A38" s="1643"/>
      <c r="B38" s="1155" t="s">
        <v>884</v>
      </c>
      <c r="C38" s="1596"/>
      <c r="D38" s="1596"/>
      <c r="E38" s="1596"/>
      <c r="F38" s="1596"/>
      <c r="G38" s="1596"/>
      <c r="H38" s="1596"/>
      <c r="I38" s="1596"/>
      <c r="J38" s="1596"/>
      <c r="K38" s="1596"/>
      <c r="L38" s="1596"/>
      <c r="M38" s="1596"/>
      <c r="O38" s="1596"/>
      <c r="P38" s="1596"/>
      <c r="Q38" s="1596"/>
    </row>
    <row r="39" spans="1:20" s="1645" customFormat="1" ht="13.5" thickBot="1">
      <c r="A39" s="1643"/>
      <c r="B39" s="1596"/>
      <c r="C39" s="1596"/>
      <c r="D39" s="1596"/>
      <c r="E39" s="1596"/>
      <c r="F39" s="1596"/>
      <c r="G39" s="1596"/>
      <c r="H39" s="1596"/>
      <c r="I39" s="1596"/>
      <c r="J39" s="1596"/>
      <c r="K39" s="1596"/>
      <c r="L39" s="1596"/>
      <c r="M39" s="1596"/>
      <c r="N39" s="1151"/>
      <c r="O39" s="1596"/>
      <c r="P39" s="1596"/>
      <c r="Q39" s="1596"/>
    </row>
    <row r="40" spans="1:20" s="1645" customFormat="1" ht="15" customHeight="1">
      <c r="A40" s="1643"/>
      <c r="B40" s="1961" t="s">
        <v>113</v>
      </c>
      <c r="C40" s="1962"/>
      <c r="D40" s="1647" t="s">
        <v>114</v>
      </c>
      <c r="E40" s="1647"/>
      <c r="F40" s="1647"/>
      <c r="G40" s="1647"/>
      <c r="H40" s="1648"/>
      <c r="I40" s="1646" t="s">
        <v>115</v>
      </c>
      <c r="J40" s="1647"/>
      <c r="K40" s="1647"/>
      <c r="L40" s="1647"/>
      <c r="M40" s="1648"/>
      <c r="N40" s="1151"/>
      <c r="O40" s="1463" t="s">
        <v>116</v>
      </c>
      <c r="P40" s="1464"/>
      <c r="Q40" s="1465"/>
      <c r="R40" s="1151"/>
      <c r="S40" s="1463" t="s">
        <v>117</v>
      </c>
      <c r="T40" s="1465"/>
    </row>
    <row r="41" spans="1:20" s="1645" customFormat="1" ht="15" customHeight="1">
      <c r="A41" s="1643"/>
      <c r="B41" s="1963"/>
      <c r="C41" s="1964"/>
      <c r="D41" s="1652" t="s">
        <v>32</v>
      </c>
      <c r="E41" s="1650" t="s">
        <v>33</v>
      </c>
      <c r="F41" s="1650" t="s">
        <v>29</v>
      </c>
      <c r="G41" s="1650" t="s">
        <v>34</v>
      </c>
      <c r="H41" s="1651" t="s">
        <v>35</v>
      </c>
      <c r="I41" s="1649" t="s">
        <v>118</v>
      </c>
      <c r="J41" s="1650" t="s">
        <v>136</v>
      </c>
      <c r="K41" s="1650" t="s">
        <v>137</v>
      </c>
      <c r="L41" s="1650" t="s">
        <v>138</v>
      </c>
      <c r="M41" s="1651" t="s">
        <v>139</v>
      </c>
      <c r="N41" s="1151"/>
      <c r="O41" s="1470" t="s">
        <v>126</v>
      </c>
      <c r="P41" s="1471" t="s">
        <v>127</v>
      </c>
      <c r="Q41" s="1472" t="s">
        <v>246</v>
      </c>
      <c r="R41" s="1151"/>
      <c r="S41" s="1470" t="s">
        <v>127</v>
      </c>
      <c r="T41" s="1472" t="s">
        <v>128</v>
      </c>
    </row>
    <row r="42" spans="1:20" s="1645" customFormat="1" ht="15" customHeight="1">
      <c r="A42" s="1643"/>
      <c r="B42" s="1965"/>
      <c r="C42" s="1966"/>
      <c r="D42" s="1652" t="s">
        <v>14</v>
      </c>
      <c r="E42" s="1650" t="s">
        <v>14</v>
      </c>
      <c r="F42" s="1650" t="s">
        <v>14</v>
      </c>
      <c r="G42" s="1650" t="s">
        <v>14</v>
      </c>
      <c r="H42" s="1651" t="s">
        <v>14</v>
      </c>
      <c r="I42" s="1652" t="s">
        <v>14</v>
      </c>
      <c r="J42" s="1650" t="s">
        <v>14</v>
      </c>
      <c r="K42" s="1650" t="s">
        <v>14</v>
      </c>
      <c r="L42" s="1650" t="s">
        <v>14</v>
      </c>
      <c r="M42" s="1651" t="s">
        <v>14</v>
      </c>
      <c r="N42" s="1596"/>
      <c r="O42" s="1543"/>
      <c r="P42" s="1544"/>
      <c r="Q42" s="1545"/>
      <c r="R42" s="1151"/>
      <c r="S42" s="1653"/>
      <c r="T42" s="1654"/>
    </row>
    <row r="43" spans="1:20" s="1645" customFormat="1" ht="15" customHeight="1">
      <c r="A43" s="1643"/>
      <c r="B43" s="1972" t="s">
        <v>103</v>
      </c>
      <c r="C43" s="1655" t="s">
        <v>104</v>
      </c>
      <c r="D43" s="902">
        <v>0.29829754130088582</v>
      </c>
      <c r="E43" s="902">
        <v>0</v>
      </c>
      <c r="F43" s="902">
        <v>0.19930757130482524</v>
      </c>
      <c r="G43" s="902">
        <v>0.89307592869675823</v>
      </c>
      <c r="H43" s="903">
        <v>1.1117532404936123</v>
      </c>
      <c r="I43" s="904">
        <v>2.3315957022593938</v>
      </c>
      <c r="J43" s="905">
        <v>2.3858703688355409</v>
      </c>
      <c r="K43" s="905">
        <v>2.5898619825362434</v>
      </c>
      <c r="L43" s="905">
        <v>2.6870814154358671</v>
      </c>
      <c r="M43" s="906">
        <v>2.9234021642228014</v>
      </c>
      <c r="N43" s="1596"/>
      <c r="O43" s="543">
        <f t="shared" ref="O43:O68" si="5">SUM(D43:G43)</f>
        <v>1.3906810413024693</v>
      </c>
      <c r="P43" s="544">
        <f t="shared" ref="P43:P68" si="6">H43</f>
        <v>1.1117532404936123</v>
      </c>
      <c r="Q43" s="545">
        <f t="shared" ref="Q43:Q68" si="7">SUM(D43:H43)</f>
        <v>2.5024342817960816</v>
      </c>
      <c r="R43" s="1151"/>
      <c r="S43" s="543">
        <f t="shared" ref="S43:S68" si="8">SUM(I43:M43)</f>
        <v>12.917811633289846</v>
      </c>
      <c r="T43" s="1477">
        <f t="shared" ref="T43:T68" si="9">IF(Q43&lt;&gt;0,(S43-Q43)/Q43,"0")</f>
        <v>4.162098252593589</v>
      </c>
    </row>
    <row r="44" spans="1:20" s="1645" customFormat="1" ht="15" customHeight="1">
      <c r="A44" s="1643"/>
      <c r="B44" s="1973"/>
      <c r="C44" s="1656" t="s">
        <v>105</v>
      </c>
      <c r="D44" s="907">
        <v>1.0937576514365814</v>
      </c>
      <c r="E44" s="907">
        <v>1.7925811368192384</v>
      </c>
      <c r="F44" s="907">
        <v>3.587536283486854</v>
      </c>
      <c r="G44" s="907">
        <v>0.22326898217418956</v>
      </c>
      <c r="H44" s="908">
        <v>0.77822726834552869</v>
      </c>
      <c r="I44" s="909">
        <v>0.31794486848991738</v>
      </c>
      <c r="J44" s="910">
        <v>0.41493397718878988</v>
      </c>
      <c r="K44" s="910">
        <v>0.41437791720579897</v>
      </c>
      <c r="L44" s="910">
        <v>0.51674642604535914</v>
      </c>
      <c r="M44" s="911">
        <v>0.62644332090488597</v>
      </c>
      <c r="N44" s="1596"/>
      <c r="O44" s="543">
        <f t="shared" si="5"/>
        <v>6.6971440539168636</v>
      </c>
      <c r="P44" s="544">
        <f t="shared" si="6"/>
        <v>0.77822726834552869</v>
      </c>
      <c r="Q44" s="545">
        <f t="shared" si="7"/>
        <v>7.4753713222623919</v>
      </c>
      <c r="R44" s="1151"/>
      <c r="S44" s="543">
        <f t="shared" si="8"/>
        <v>2.2904465098347515</v>
      </c>
      <c r="T44" s="1477">
        <f t="shared" si="9"/>
        <v>-0.69360097163152601</v>
      </c>
    </row>
    <row r="45" spans="1:20" s="1645" customFormat="1" ht="15" customHeight="1">
      <c r="A45" s="1643"/>
      <c r="B45" s="1973" t="s">
        <v>106</v>
      </c>
      <c r="C45" s="1656" t="s">
        <v>104</v>
      </c>
      <c r="D45" s="907">
        <v>0</v>
      </c>
      <c r="E45" s="907">
        <v>0</v>
      </c>
      <c r="F45" s="907">
        <v>0</v>
      </c>
      <c r="G45" s="907">
        <v>0</v>
      </c>
      <c r="H45" s="908">
        <v>0</v>
      </c>
      <c r="I45" s="909">
        <v>0</v>
      </c>
      <c r="J45" s="910">
        <v>0</v>
      </c>
      <c r="K45" s="910">
        <v>0</v>
      </c>
      <c r="L45" s="910">
        <v>0</v>
      </c>
      <c r="M45" s="911">
        <v>0</v>
      </c>
      <c r="N45" s="1596"/>
      <c r="O45" s="543">
        <f t="shared" si="5"/>
        <v>0</v>
      </c>
      <c r="P45" s="544">
        <f t="shared" si="6"/>
        <v>0</v>
      </c>
      <c r="Q45" s="545">
        <f t="shared" si="7"/>
        <v>0</v>
      </c>
      <c r="R45" s="1151"/>
      <c r="S45" s="543">
        <f t="shared" si="8"/>
        <v>0</v>
      </c>
      <c r="T45" s="1477" t="str">
        <f t="shared" si="9"/>
        <v>0</v>
      </c>
    </row>
    <row r="46" spans="1:20" s="1645" customFormat="1" ht="15" customHeight="1">
      <c r="A46" s="1643"/>
      <c r="B46" s="1973"/>
      <c r="C46" s="1656" t="s">
        <v>105</v>
      </c>
      <c r="D46" s="907">
        <v>0</v>
      </c>
      <c r="E46" s="910">
        <v>0</v>
      </c>
      <c r="F46" s="910">
        <v>0</v>
      </c>
      <c r="G46" s="910">
        <v>0</v>
      </c>
      <c r="H46" s="911">
        <v>0</v>
      </c>
      <c r="I46" s="909">
        <v>0</v>
      </c>
      <c r="J46" s="910">
        <v>0</v>
      </c>
      <c r="K46" s="910">
        <v>0</v>
      </c>
      <c r="L46" s="910">
        <v>0</v>
      </c>
      <c r="M46" s="911">
        <v>0</v>
      </c>
      <c r="N46" s="1596"/>
      <c r="O46" s="543">
        <f t="shared" si="5"/>
        <v>0</v>
      </c>
      <c r="P46" s="544">
        <f t="shared" si="6"/>
        <v>0</v>
      </c>
      <c r="Q46" s="545">
        <f t="shared" si="7"/>
        <v>0</v>
      </c>
      <c r="R46" s="1151"/>
      <c r="S46" s="543">
        <f t="shared" si="8"/>
        <v>0</v>
      </c>
      <c r="T46" s="1477" t="str">
        <f t="shared" si="9"/>
        <v>0</v>
      </c>
    </row>
    <row r="47" spans="1:20" s="1645" customFormat="1" ht="15" customHeight="1">
      <c r="A47" s="1643"/>
      <c r="B47" s="1969" t="s">
        <v>848</v>
      </c>
      <c r="C47" s="1656" t="s">
        <v>129</v>
      </c>
      <c r="D47" s="912">
        <v>0</v>
      </c>
      <c r="E47" s="913">
        <v>0.59752704560641279</v>
      </c>
      <c r="F47" s="913">
        <v>0.59792271391447571</v>
      </c>
      <c r="G47" s="913">
        <v>1.5628828752193269</v>
      </c>
      <c r="H47" s="914">
        <v>1.7788051847897797</v>
      </c>
      <c r="I47" s="915">
        <v>2.8615038164092561</v>
      </c>
      <c r="J47" s="913">
        <v>3.0082713346187262</v>
      </c>
      <c r="K47" s="913">
        <v>3.3150233376463918</v>
      </c>
      <c r="L47" s="913">
        <v>3.5138756971084417</v>
      </c>
      <c r="M47" s="914">
        <v>3.7586599254293169</v>
      </c>
      <c r="N47" s="1596"/>
      <c r="O47" s="543">
        <f t="shared" si="5"/>
        <v>2.7583326347402153</v>
      </c>
      <c r="P47" s="544">
        <f t="shared" si="6"/>
        <v>1.7788051847897797</v>
      </c>
      <c r="Q47" s="545">
        <f t="shared" si="7"/>
        <v>4.5371378195299954</v>
      </c>
      <c r="R47" s="1151"/>
      <c r="S47" s="543">
        <f t="shared" si="8"/>
        <v>16.457334111212134</v>
      </c>
      <c r="T47" s="1477">
        <f t="shared" si="9"/>
        <v>2.6272502105560811</v>
      </c>
    </row>
    <row r="48" spans="1:20" s="1645" customFormat="1" ht="15" customHeight="1">
      <c r="A48" s="1643"/>
      <c r="B48" s="1969"/>
      <c r="C48" s="1656" t="s">
        <v>130</v>
      </c>
      <c r="D48" s="907">
        <v>1.5909202202713912</v>
      </c>
      <c r="E48" s="910">
        <v>1.9917568186880426</v>
      </c>
      <c r="F48" s="910">
        <v>5.3813044252302813</v>
      </c>
      <c r="G48" s="910">
        <v>4.5770141345708852</v>
      </c>
      <c r="H48" s="911">
        <v>5.6699415265174222</v>
      </c>
      <c r="I48" s="909">
        <v>4.8751546501787324</v>
      </c>
      <c r="J48" s="910">
        <v>6.0165426692374524</v>
      </c>
      <c r="K48" s="910">
        <v>7.3552080304029301</v>
      </c>
      <c r="L48" s="910">
        <v>8.5779906723529606</v>
      </c>
      <c r="M48" s="911">
        <v>10.127500354628989</v>
      </c>
      <c r="N48" s="1664"/>
      <c r="O48" s="543">
        <f t="shared" si="5"/>
        <v>13.540995598760599</v>
      </c>
      <c r="P48" s="544">
        <f t="shared" si="6"/>
        <v>5.6699415265174222</v>
      </c>
      <c r="Q48" s="545">
        <f t="shared" si="7"/>
        <v>19.210937125278022</v>
      </c>
      <c r="R48" s="1151"/>
      <c r="S48" s="543">
        <f t="shared" si="8"/>
        <v>36.952396376801062</v>
      </c>
      <c r="T48" s="1477">
        <f t="shared" si="9"/>
        <v>0.92350826697457555</v>
      </c>
    </row>
    <row r="49" spans="1:20" s="1645" customFormat="1" ht="15" customHeight="1">
      <c r="A49" s="1643"/>
      <c r="B49" s="1969"/>
      <c r="C49" s="1657" t="s">
        <v>224</v>
      </c>
      <c r="D49" s="907">
        <v>1.988650275339239</v>
      </c>
      <c r="E49" s="910">
        <v>2.4896960233600534</v>
      </c>
      <c r="F49" s="910">
        <v>2.29203707000549</v>
      </c>
      <c r="G49" s="910">
        <v>1.2279794019580428</v>
      </c>
      <c r="H49" s="911">
        <v>1.6676298607404185</v>
      </c>
      <c r="I49" s="909">
        <v>1.9076692109395041</v>
      </c>
      <c r="J49" s="910">
        <v>1.9709363916467517</v>
      </c>
      <c r="K49" s="910">
        <v>1.9682951067275449</v>
      </c>
      <c r="L49" s="910">
        <v>2.0669857041814366</v>
      </c>
      <c r="M49" s="911">
        <v>2.1925516231671009</v>
      </c>
      <c r="N49" s="1664"/>
      <c r="O49" s="543">
        <f t="shared" si="5"/>
        <v>7.9983627706628244</v>
      </c>
      <c r="P49" s="544">
        <f t="shared" si="6"/>
        <v>1.6676298607404185</v>
      </c>
      <c r="Q49" s="545">
        <f t="shared" si="7"/>
        <v>9.6659926314032436</v>
      </c>
      <c r="R49" s="1151"/>
      <c r="S49" s="543">
        <f t="shared" si="8"/>
        <v>10.106438036662338</v>
      </c>
      <c r="T49" s="1477">
        <f t="shared" si="9"/>
        <v>4.5566495036232335E-2</v>
      </c>
    </row>
    <row r="50" spans="1:20" s="1645" customFormat="1" ht="15" customHeight="1">
      <c r="A50" s="1643"/>
      <c r="B50" s="1969" t="s">
        <v>239</v>
      </c>
      <c r="C50" s="1656" t="s">
        <v>225</v>
      </c>
      <c r="D50" s="912">
        <v>5.7670857984837927</v>
      </c>
      <c r="E50" s="913">
        <v>9.0624935250305931</v>
      </c>
      <c r="F50" s="913">
        <v>10.264339922198499</v>
      </c>
      <c r="G50" s="913">
        <v>12.391428510667518</v>
      </c>
      <c r="H50" s="914">
        <v>10.005779164442512</v>
      </c>
      <c r="I50" s="915">
        <v>9.8562909231874372</v>
      </c>
      <c r="J50" s="913">
        <v>8.9210805095589798</v>
      </c>
      <c r="K50" s="913">
        <v>8.287558344115979</v>
      </c>
      <c r="L50" s="913">
        <v>7.751196390680386</v>
      </c>
      <c r="M50" s="914">
        <v>7.3085054105570046</v>
      </c>
      <c r="N50" s="1596"/>
      <c r="O50" s="543">
        <f t="shared" si="5"/>
        <v>37.485347756380399</v>
      </c>
      <c r="P50" s="544">
        <f t="shared" si="6"/>
        <v>10.005779164442512</v>
      </c>
      <c r="Q50" s="545">
        <f t="shared" si="7"/>
        <v>47.491126920822907</v>
      </c>
      <c r="R50" s="1151"/>
      <c r="S50" s="543">
        <f t="shared" si="8"/>
        <v>42.124631578099788</v>
      </c>
      <c r="T50" s="1477">
        <f t="shared" si="9"/>
        <v>-0.1129999579009807</v>
      </c>
    </row>
    <row r="51" spans="1:20" s="1645" customFormat="1" ht="15" customHeight="1">
      <c r="A51" s="1643"/>
      <c r="B51" s="1969"/>
      <c r="C51" s="1656" t="s">
        <v>878</v>
      </c>
      <c r="D51" s="907">
        <v>0.89489262390265756</v>
      </c>
      <c r="E51" s="910">
        <v>1.0954662502784236</v>
      </c>
      <c r="F51" s="910">
        <v>3.4878824978344416</v>
      </c>
      <c r="G51" s="910">
        <v>0.55817245543547389</v>
      </c>
      <c r="H51" s="911">
        <v>0.88940259239489006</v>
      </c>
      <c r="I51" s="909">
        <v>0.31794486848991738</v>
      </c>
      <c r="J51" s="910">
        <v>0.51866747148598724</v>
      </c>
      <c r="K51" s="910">
        <v>0.93235031371304766</v>
      </c>
      <c r="L51" s="910">
        <v>1.0334928520907183</v>
      </c>
      <c r="M51" s="911">
        <v>1.148479421658958</v>
      </c>
      <c r="N51" s="1596"/>
      <c r="O51" s="543">
        <f t="shared" si="5"/>
        <v>6.0364138274509971</v>
      </c>
      <c r="P51" s="544">
        <f t="shared" si="6"/>
        <v>0.88940259239489006</v>
      </c>
      <c r="Q51" s="545">
        <f t="shared" si="7"/>
        <v>6.9258164198458871</v>
      </c>
      <c r="R51" s="1151"/>
      <c r="S51" s="543">
        <f t="shared" si="8"/>
        <v>3.9509349274386287</v>
      </c>
      <c r="T51" s="1477">
        <f t="shared" si="9"/>
        <v>-0.42953513521997966</v>
      </c>
    </row>
    <row r="52" spans="1:20" s="1645" customFormat="1" ht="15" customHeight="1">
      <c r="A52" s="1643"/>
      <c r="B52" s="1969"/>
      <c r="C52" s="1657" t="s">
        <v>120</v>
      </c>
      <c r="D52" s="907">
        <v>0</v>
      </c>
      <c r="E52" s="910">
        <v>0</v>
      </c>
      <c r="F52" s="910">
        <v>0</v>
      </c>
      <c r="G52" s="910">
        <v>0</v>
      </c>
      <c r="H52" s="911">
        <v>0</v>
      </c>
      <c r="I52" s="909">
        <v>0</v>
      </c>
      <c r="J52" s="910">
        <v>0</v>
      </c>
      <c r="K52" s="910">
        <v>0</v>
      </c>
      <c r="L52" s="910">
        <v>0</v>
      </c>
      <c r="M52" s="911">
        <v>0</v>
      </c>
      <c r="N52" s="1596"/>
      <c r="O52" s="543">
        <f t="shared" si="5"/>
        <v>0</v>
      </c>
      <c r="P52" s="544">
        <f t="shared" si="6"/>
        <v>0</v>
      </c>
      <c r="Q52" s="545">
        <f t="shared" si="7"/>
        <v>0</v>
      </c>
      <c r="R52" s="1151"/>
      <c r="S52" s="543">
        <f t="shared" si="8"/>
        <v>0</v>
      </c>
      <c r="T52" s="1477" t="str">
        <f t="shared" si="9"/>
        <v>0</v>
      </c>
    </row>
    <row r="53" spans="1:20" s="1645" customFormat="1" ht="15" customHeight="1">
      <c r="A53" s="1643"/>
      <c r="B53" s="1969"/>
      <c r="C53" s="1657" t="s">
        <v>224</v>
      </c>
      <c r="D53" s="907">
        <v>3.1818404405427825</v>
      </c>
      <c r="E53" s="910">
        <v>4.2822771601792917</v>
      </c>
      <c r="F53" s="910">
        <v>3.6871900691392669</v>
      </c>
      <c r="G53" s="910">
        <v>4.3537451523966961</v>
      </c>
      <c r="H53" s="911">
        <v>4.3358376379250876</v>
      </c>
      <c r="I53" s="909">
        <v>5.2990811414986219</v>
      </c>
      <c r="J53" s="910">
        <v>6.7426771293178343</v>
      </c>
      <c r="K53" s="910">
        <v>7.4588025097043813</v>
      </c>
      <c r="L53" s="910">
        <v>6.0976078273352377</v>
      </c>
      <c r="M53" s="911">
        <v>8.1437631717635188</v>
      </c>
      <c r="N53" s="1596"/>
      <c r="O53" s="543">
        <f t="shared" si="5"/>
        <v>15.505052822258039</v>
      </c>
      <c r="P53" s="544">
        <f t="shared" si="6"/>
        <v>4.3358376379250876</v>
      </c>
      <c r="Q53" s="545">
        <f t="shared" si="7"/>
        <v>19.840890460183125</v>
      </c>
      <c r="R53" s="1151"/>
      <c r="S53" s="543">
        <f t="shared" si="8"/>
        <v>33.741931779619591</v>
      </c>
      <c r="T53" s="1477">
        <f t="shared" si="9"/>
        <v>0.7006258790316493</v>
      </c>
    </row>
    <row r="54" spans="1:20" s="1645" customFormat="1" ht="15" customHeight="1">
      <c r="A54" s="1643"/>
      <c r="B54" s="1969"/>
      <c r="C54" s="1656" t="s">
        <v>868</v>
      </c>
      <c r="D54" s="907">
        <v>9.9432513766961952E-2</v>
      </c>
      <c r="E54" s="910">
        <v>0.49793920467201064</v>
      </c>
      <c r="F54" s="910">
        <v>0.39861514260965047</v>
      </c>
      <c r="G54" s="910">
        <v>0.66980694652256856</v>
      </c>
      <c r="H54" s="911">
        <v>1.0005779164442512</v>
      </c>
      <c r="I54" s="909">
        <v>1.3777610967896421</v>
      </c>
      <c r="J54" s="910">
        <v>1.4522689201607644</v>
      </c>
      <c r="K54" s="910">
        <v>1.6575116688231959</v>
      </c>
      <c r="L54" s="910">
        <v>1.8602871337632927</v>
      </c>
      <c r="M54" s="911">
        <v>2.0881444030162868</v>
      </c>
      <c r="N54" s="1596"/>
      <c r="O54" s="543">
        <f t="shared" si="5"/>
        <v>1.6657938075711916</v>
      </c>
      <c r="P54" s="544">
        <f t="shared" si="6"/>
        <v>1.0005779164442512</v>
      </c>
      <c r="Q54" s="545">
        <f t="shared" si="7"/>
        <v>2.666371724015443</v>
      </c>
      <c r="R54" s="1151"/>
      <c r="S54" s="543">
        <f t="shared" si="8"/>
        <v>8.4359732225531801</v>
      </c>
      <c r="T54" s="1477">
        <f t="shared" si="9"/>
        <v>2.1638398902044167</v>
      </c>
    </row>
    <row r="55" spans="1:20" s="1645" customFormat="1" ht="15" customHeight="1">
      <c r="A55" s="1643"/>
      <c r="B55" s="1969"/>
      <c r="C55" s="1656" t="s">
        <v>869</v>
      </c>
      <c r="D55" s="907">
        <v>1.3920551927374671</v>
      </c>
      <c r="E55" s="910">
        <v>0.59752704560641279</v>
      </c>
      <c r="F55" s="910">
        <v>1.1958454278289514</v>
      </c>
      <c r="G55" s="910">
        <v>1.5628828752193267</v>
      </c>
      <c r="H55" s="911">
        <v>2.4458571290859474</v>
      </c>
      <c r="I55" s="909">
        <v>2.543558947919339</v>
      </c>
      <c r="J55" s="910">
        <v>2.4896038631327388</v>
      </c>
      <c r="K55" s="910">
        <v>2.4862675032347936</v>
      </c>
      <c r="L55" s="910">
        <v>2.4803828450177234</v>
      </c>
      <c r="M55" s="911">
        <v>2.5057732836195439</v>
      </c>
      <c r="N55" s="1596"/>
      <c r="O55" s="543">
        <f t="shared" si="5"/>
        <v>4.7483105413921578</v>
      </c>
      <c r="P55" s="544">
        <f t="shared" si="6"/>
        <v>2.4458571290859474</v>
      </c>
      <c r="Q55" s="545">
        <f t="shared" si="7"/>
        <v>7.1941676704781052</v>
      </c>
      <c r="R55" s="1151"/>
      <c r="S55" s="543">
        <f t="shared" si="8"/>
        <v>12.505586442924139</v>
      </c>
      <c r="T55" s="1477">
        <f t="shared" si="9"/>
        <v>0.73829510455280389</v>
      </c>
    </row>
    <row r="56" spans="1:20" s="1645" customFormat="1" ht="15" customHeight="1">
      <c r="A56" s="1643"/>
      <c r="B56" s="1969" t="s">
        <v>245</v>
      </c>
      <c r="C56" s="1656" t="s">
        <v>225</v>
      </c>
      <c r="D56" s="912">
        <v>0.39773005506784781</v>
      </c>
      <c r="E56" s="913">
        <v>9.9587840934402136E-2</v>
      </c>
      <c r="F56" s="913">
        <v>0</v>
      </c>
      <c r="G56" s="913">
        <v>2.4559588039160856</v>
      </c>
      <c r="H56" s="914">
        <v>0.44470129619744503</v>
      </c>
      <c r="I56" s="915">
        <v>0.42392649131988985</v>
      </c>
      <c r="J56" s="913">
        <v>4.0456062775907</v>
      </c>
      <c r="K56" s="913">
        <v>3.8329957341536405</v>
      </c>
      <c r="L56" s="913">
        <v>6.5110049681715232</v>
      </c>
      <c r="M56" s="914">
        <v>2.5057732836195439</v>
      </c>
      <c r="N56" s="1596"/>
      <c r="O56" s="543">
        <f t="shared" si="5"/>
        <v>2.9532766999183355</v>
      </c>
      <c r="P56" s="544">
        <f t="shared" si="6"/>
        <v>0.44470129619744503</v>
      </c>
      <c r="Q56" s="545">
        <f t="shared" si="7"/>
        <v>3.3979779961157806</v>
      </c>
      <c r="R56" s="1151"/>
      <c r="S56" s="543">
        <f t="shared" si="8"/>
        <v>17.319306754855297</v>
      </c>
      <c r="T56" s="1477">
        <f t="shared" si="9"/>
        <v>4.096944940388946</v>
      </c>
    </row>
    <row r="57" spans="1:20" s="1645" customFormat="1" ht="15" customHeight="1">
      <c r="A57" s="1643"/>
      <c r="B57" s="1969"/>
      <c r="C57" s="1656" t="s">
        <v>878</v>
      </c>
      <c r="D57" s="907">
        <v>0.69602759636873357</v>
      </c>
      <c r="E57" s="910">
        <v>0.89629056840961918</v>
      </c>
      <c r="F57" s="910">
        <v>0.99653785652412619</v>
      </c>
      <c r="G57" s="910">
        <v>0</v>
      </c>
      <c r="H57" s="911">
        <v>0</v>
      </c>
      <c r="I57" s="909">
        <v>2.8615038164092561</v>
      </c>
      <c r="J57" s="910">
        <v>1.3485354258635667</v>
      </c>
      <c r="K57" s="910">
        <v>-0.20718895860289949</v>
      </c>
      <c r="L57" s="910">
        <v>1.1368421372997899</v>
      </c>
      <c r="M57" s="911">
        <v>0.20881444030162871</v>
      </c>
      <c r="N57" s="1596"/>
      <c r="O57" s="543">
        <f t="shared" si="5"/>
        <v>2.5888560213024792</v>
      </c>
      <c r="P57" s="544">
        <f t="shared" si="6"/>
        <v>0</v>
      </c>
      <c r="Q57" s="545">
        <f t="shared" si="7"/>
        <v>2.5888560213024792</v>
      </c>
      <c r="R57" s="1151"/>
      <c r="S57" s="543">
        <f t="shared" si="8"/>
        <v>5.3485068612713409</v>
      </c>
      <c r="T57" s="1477">
        <f t="shared" si="9"/>
        <v>1.0659730851236964</v>
      </c>
    </row>
    <row r="58" spans="1:20" s="1645" customFormat="1" ht="15" customHeight="1">
      <c r="A58" s="1643"/>
      <c r="B58" s="1969"/>
      <c r="C58" s="1656" t="s">
        <v>120</v>
      </c>
      <c r="D58" s="907">
        <v>0</v>
      </c>
      <c r="E58" s="910">
        <v>0</v>
      </c>
      <c r="F58" s="910">
        <v>0</v>
      </c>
      <c r="G58" s="910">
        <v>0</v>
      </c>
      <c r="H58" s="911">
        <v>0</v>
      </c>
      <c r="I58" s="909">
        <v>0</v>
      </c>
      <c r="J58" s="910">
        <v>0</v>
      </c>
      <c r="K58" s="910">
        <v>0</v>
      </c>
      <c r="L58" s="910">
        <v>0</v>
      </c>
      <c r="M58" s="911">
        <v>0</v>
      </c>
      <c r="N58" s="1596"/>
      <c r="O58" s="543">
        <f t="shared" si="5"/>
        <v>0</v>
      </c>
      <c r="P58" s="544">
        <f t="shared" si="6"/>
        <v>0</v>
      </c>
      <c r="Q58" s="545">
        <f t="shared" si="7"/>
        <v>0</v>
      </c>
      <c r="R58" s="1151"/>
      <c r="S58" s="543">
        <f t="shared" si="8"/>
        <v>0</v>
      </c>
      <c r="T58" s="1477" t="str">
        <f t="shared" si="9"/>
        <v>0</v>
      </c>
    </row>
    <row r="59" spans="1:20" s="1645" customFormat="1" ht="15" customHeight="1">
      <c r="A59" s="1643"/>
      <c r="B59" s="1969"/>
      <c r="C59" s="1656" t="s">
        <v>224</v>
      </c>
      <c r="D59" s="907">
        <v>0</v>
      </c>
      <c r="E59" s="910">
        <v>0.29876352280320639</v>
      </c>
      <c r="F59" s="910">
        <v>0</v>
      </c>
      <c r="G59" s="910">
        <v>2.6792277860902742</v>
      </c>
      <c r="H59" s="911">
        <v>0.88940259239489006</v>
      </c>
      <c r="I59" s="909">
        <v>1.483742719619614</v>
      </c>
      <c r="J59" s="910">
        <v>4.2530732661850958</v>
      </c>
      <c r="K59" s="910">
        <v>0.6215668758086984</v>
      </c>
      <c r="L59" s="910">
        <v>2.1703349893905082</v>
      </c>
      <c r="M59" s="911">
        <v>5.1159537873899028</v>
      </c>
      <c r="N59" s="1596"/>
      <c r="O59" s="543">
        <f t="shared" si="5"/>
        <v>2.9779913088934808</v>
      </c>
      <c r="P59" s="544">
        <f t="shared" si="6"/>
        <v>0.88940259239489006</v>
      </c>
      <c r="Q59" s="545">
        <f t="shared" si="7"/>
        <v>3.8673939012883709</v>
      </c>
      <c r="R59" s="1151"/>
      <c r="S59" s="543">
        <f t="shared" si="8"/>
        <v>13.64467163839382</v>
      </c>
      <c r="T59" s="1477">
        <f t="shared" si="9"/>
        <v>2.5281308257346842</v>
      </c>
    </row>
    <row r="60" spans="1:20" s="1645" customFormat="1" ht="15" customHeight="1">
      <c r="A60" s="1643"/>
      <c r="B60" s="1969"/>
      <c r="C60" s="1656" t="s">
        <v>868</v>
      </c>
      <c r="D60" s="907">
        <v>0</v>
      </c>
      <c r="E60" s="910">
        <v>0</v>
      </c>
      <c r="F60" s="910">
        <v>0</v>
      </c>
      <c r="G60" s="910">
        <v>0.55817245543547389</v>
      </c>
      <c r="H60" s="911">
        <v>0</v>
      </c>
      <c r="I60" s="909">
        <v>0.21196324565994493</v>
      </c>
      <c r="J60" s="910">
        <v>1.7634694030523566</v>
      </c>
      <c r="K60" s="910">
        <v>1.0359447930144974</v>
      </c>
      <c r="L60" s="910">
        <v>0.41339714083628726</v>
      </c>
      <c r="M60" s="911">
        <v>0.62644332090488597</v>
      </c>
      <c r="N60" s="1596"/>
      <c r="O60" s="543">
        <f t="shared" si="5"/>
        <v>0.55817245543547389</v>
      </c>
      <c r="P60" s="544">
        <f t="shared" si="6"/>
        <v>0</v>
      </c>
      <c r="Q60" s="545">
        <f t="shared" si="7"/>
        <v>0.55817245543547389</v>
      </c>
      <c r="R60" s="1151"/>
      <c r="S60" s="543">
        <f t="shared" si="8"/>
        <v>4.0512179034679718</v>
      </c>
      <c r="T60" s="1477">
        <f t="shared" si="9"/>
        <v>6.2580039807003738</v>
      </c>
    </row>
    <row r="61" spans="1:20" s="1645" customFormat="1" ht="15" customHeight="1">
      <c r="A61" s="1643"/>
      <c r="B61" s="1969"/>
      <c r="C61" s="1657" t="s">
        <v>869</v>
      </c>
      <c r="D61" s="907">
        <v>1.8892177615722769</v>
      </c>
      <c r="E61" s="910">
        <v>0.79670272747521709</v>
      </c>
      <c r="F61" s="910">
        <v>1.2954992134813641</v>
      </c>
      <c r="G61" s="910">
        <v>2.3443243128289906</v>
      </c>
      <c r="H61" s="911">
        <v>2.0011558328885024</v>
      </c>
      <c r="I61" s="909">
        <v>1.1657978511296969</v>
      </c>
      <c r="J61" s="910">
        <v>0.72613446008038218</v>
      </c>
      <c r="K61" s="910">
        <v>0.51797239650724869</v>
      </c>
      <c r="L61" s="910">
        <v>0.72344499646350269</v>
      </c>
      <c r="M61" s="911">
        <v>2.6101805037703589</v>
      </c>
      <c r="N61" s="1596"/>
      <c r="O61" s="543">
        <f t="shared" si="5"/>
        <v>6.3257440153578486</v>
      </c>
      <c r="P61" s="544">
        <f t="shared" si="6"/>
        <v>2.0011558328885024</v>
      </c>
      <c r="Q61" s="545">
        <f t="shared" si="7"/>
        <v>8.3268998482463505</v>
      </c>
      <c r="R61" s="1151"/>
      <c r="S61" s="543">
        <f t="shared" si="8"/>
        <v>5.7435302079511894</v>
      </c>
      <c r="T61" s="1477">
        <f t="shared" si="9"/>
        <v>-0.31024387075331766</v>
      </c>
    </row>
    <row r="62" spans="1:20" s="1645" customFormat="1" ht="15" customHeight="1">
      <c r="A62" s="1643"/>
      <c r="B62" s="1969" t="s">
        <v>243</v>
      </c>
      <c r="C62" s="1656" t="s">
        <v>225</v>
      </c>
      <c r="D62" s="912">
        <v>9.9432513766961952E-2</v>
      </c>
      <c r="E62" s="913">
        <v>4.5810406829824979</v>
      </c>
      <c r="F62" s="913">
        <v>6.9757649956688832</v>
      </c>
      <c r="G62" s="913">
        <v>12.503063001754615</v>
      </c>
      <c r="H62" s="914">
        <v>6.2258181467642295</v>
      </c>
      <c r="I62" s="915">
        <v>4.4512281588588438</v>
      </c>
      <c r="J62" s="913">
        <v>3.8381392889963055</v>
      </c>
      <c r="K62" s="913">
        <v>4.868940527168137</v>
      </c>
      <c r="L62" s="913">
        <v>4.2373206935719443</v>
      </c>
      <c r="M62" s="914">
        <v>2.0881444030162868</v>
      </c>
      <c r="N62" s="1596"/>
      <c r="O62" s="543">
        <f t="shared" si="5"/>
        <v>24.159301194172958</v>
      </c>
      <c r="P62" s="544">
        <f t="shared" si="6"/>
        <v>6.2258181467642295</v>
      </c>
      <c r="Q62" s="545">
        <f t="shared" si="7"/>
        <v>30.385119340937187</v>
      </c>
      <c r="R62" s="1151"/>
      <c r="S62" s="543">
        <f t="shared" si="8"/>
        <v>19.483773071611516</v>
      </c>
      <c r="T62" s="1477">
        <f t="shared" si="9"/>
        <v>-0.35877253424634514</v>
      </c>
    </row>
    <row r="63" spans="1:20" s="1645" customFormat="1" ht="15" customHeight="1">
      <c r="A63" s="1643"/>
      <c r="B63" s="1969"/>
      <c r="C63" s="1656" t="s">
        <v>878</v>
      </c>
      <c r="D63" s="907">
        <v>6.363680881085565</v>
      </c>
      <c r="E63" s="910">
        <v>9.8591962525058108</v>
      </c>
      <c r="F63" s="910">
        <v>3.9861514260965047</v>
      </c>
      <c r="G63" s="910">
        <v>0.11163449108709478</v>
      </c>
      <c r="H63" s="911">
        <v>1.4452792126416962</v>
      </c>
      <c r="I63" s="909">
        <v>6.6768422382882644</v>
      </c>
      <c r="J63" s="910">
        <v>0</v>
      </c>
      <c r="K63" s="910">
        <v>4.1437791720579895</v>
      </c>
      <c r="L63" s="910">
        <v>8.8880385279801768</v>
      </c>
      <c r="M63" s="911">
        <v>13.781753059907492</v>
      </c>
      <c r="N63" s="1596"/>
      <c r="O63" s="543">
        <f t="shared" si="5"/>
        <v>20.320663050774975</v>
      </c>
      <c r="P63" s="544">
        <f t="shared" si="6"/>
        <v>1.4452792126416962</v>
      </c>
      <c r="Q63" s="545">
        <f t="shared" si="7"/>
        <v>21.765942263416672</v>
      </c>
      <c r="R63" s="1151"/>
      <c r="S63" s="543">
        <f t="shared" si="8"/>
        <v>33.490412998233921</v>
      </c>
      <c r="T63" s="1477">
        <f t="shared" si="9"/>
        <v>0.53866129905725568</v>
      </c>
    </row>
    <row r="64" spans="1:20" s="1645" customFormat="1" ht="15" customHeight="1">
      <c r="A64" s="1643"/>
      <c r="B64" s="1969"/>
      <c r="C64" s="1657" t="s">
        <v>879</v>
      </c>
      <c r="D64" s="907">
        <v>0</v>
      </c>
      <c r="E64" s="910">
        <v>0</v>
      </c>
      <c r="F64" s="910">
        <v>0</v>
      </c>
      <c r="G64" s="910">
        <v>0</v>
      </c>
      <c r="H64" s="911">
        <v>0</v>
      </c>
      <c r="I64" s="909">
        <v>0</v>
      </c>
      <c r="J64" s="910">
        <v>0</v>
      </c>
      <c r="K64" s="910">
        <v>0</v>
      </c>
      <c r="L64" s="910">
        <v>0</v>
      </c>
      <c r="M64" s="911">
        <v>0</v>
      </c>
      <c r="N64" s="1596"/>
      <c r="O64" s="543">
        <f t="shared" si="5"/>
        <v>0</v>
      </c>
      <c r="P64" s="544">
        <f t="shared" si="6"/>
        <v>0</v>
      </c>
      <c r="Q64" s="545">
        <f t="shared" si="7"/>
        <v>0</v>
      </c>
      <c r="R64" s="1151"/>
      <c r="S64" s="543">
        <f t="shared" si="8"/>
        <v>0</v>
      </c>
      <c r="T64" s="1477" t="str">
        <f t="shared" si="9"/>
        <v>0</v>
      </c>
    </row>
    <row r="65" spans="1:20" s="1645" customFormat="1" ht="15" customHeight="1">
      <c r="A65" s="1643"/>
      <c r="B65" s="1969"/>
      <c r="C65" s="1657" t="s">
        <v>224</v>
      </c>
      <c r="D65" s="907">
        <v>9.7443863491622711</v>
      </c>
      <c r="E65" s="910">
        <v>3.0872230689664661</v>
      </c>
      <c r="F65" s="910">
        <v>11.858800492637101</v>
      </c>
      <c r="G65" s="910">
        <v>8.372586831532109</v>
      </c>
      <c r="H65" s="911">
        <v>0.33352597214808372</v>
      </c>
      <c r="I65" s="909">
        <v>8.1605849579078793</v>
      </c>
      <c r="J65" s="910">
        <v>7.157611106506625</v>
      </c>
      <c r="K65" s="910">
        <v>12.949309912681217</v>
      </c>
      <c r="L65" s="910">
        <v>10.644976376534398</v>
      </c>
      <c r="M65" s="911">
        <v>8.2481703919143321</v>
      </c>
      <c r="N65" s="1596"/>
      <c r="O65" s="543">
        <f t="shared" si="5"/>
        <v>33.062996742297948</v>
      </c>
      <c r="P65" s="544">
        <f t="shared" si="6"/>
        <v>0.33352597214808372</v>
      </c>
      <c r="Q65" s="545">
        <f t="shared" si="7"/>
        <v>33.396522714446029</v>
      </c>
      <c r="R65" s="1151"/>
      <c r="S65" s="543">
        <f t="shared" si="8"/>
        <v>47.160652745544454</v>
      </c>
      <c r="T65" s="1477">
        <f t="shared" si="9"/>
        <v>0.41214260983957474</v>
      </c>
    </row>
    <row r="66" spans="1:20" s="1645" customFormat="1" ht="15" customHeight="1">
      <c r="A66" s="1643"/>
      <c r="B66" s="1969"/>
      <c r="C66" s="1657" t="s">
        <v>868</v>
      </c>
      <c r="D66" s="907">
        <v>1.3920551927374671</v>
      </c>
      <c r="E66" s="910">
        <v>7.4690880700801596</v>
      </c>
      <c r="F66" s="910">
        <v>2.4913446413103153</v>
      </c>
      <c r="G66" s="910">
        <v>0.78144143760966334</v>
      </c>
      <c r="H66" s="911">
        <v>0</v>
      </c>
      <c r="I66" s="909">
        <v>2.0136508337694767</v>
      </c>
      <c r="J66" s="910">
        <v>7.468811589398217</v>
      </c>
      <c r="K66" s="910">
        <v>9.7378810543362739</v>
      </c>
      <c r="L66" s="910">
        <v>3.9272728379447286</v>
      </c>
      <c r="M66" s="911">
        <v>1.9837371828654726</v>
      </c>
      <c r="N66" s="1596"/>
      <c r="O66" s="543">
        <f t="shared" si="5"/>
        <v>12.133929341737606</v>
      </c>
      <c r="P66" s="544">
        <f t="shared" si="6"/>
        <v>0</v>
      </c>
      <c r="Q66" s="545">
        <f t="shared" si="7"/>
        <v>12.133929341737606</v>
      </c>
      <c r="R66" s="1151"/>
      <c r="S66" s="543">
        <f t="shared" si="8"/>
        <v>25.131353498314166</v>
      </c>
      <c r="T66" s="1477">
        <f t="shared" si="9"/>
        <v>1.0711636593983414</v>
      </c>
    </row>
    <row r="67" spans="1:20" s="1645" customFormat="1" ht="15" customHeight="1" thickBot="1">
      <c r="A67" s="1643"/>
      <c r="B67" s="1974"/>
      <c r="C67" s="1665" t="s">
        <v>869</v>
      </c>
      <c r="D67" s="916">
        <v>0.29829754130088582</v>
      </c>
      <c r="E67" s="917">
        <v>1.6929932958848362</v>
      </c>
      <c r="F67" s="917">
        <v>0</v>
      </c>
      <c r="G67" s="917">
        <v>0</v>
      </c>
      <c r="H67" s="918">
        <v>0</v>
      </c>
      <c r="I67" s="919">
        <v>1.1697794739596694</v>
      </c>
      <c r="J67" s="917">
        <v>0.67713446008038214</v>
      </c>
      <c r="K67" s="917">
        <v>0.48297239650724866</v>
      </c>
      <c r="L67" s="917">
        <v>0.77079428167257447</v>
      </c>
      <c r="M67" s="918">
        <v>0.48203610075407166</v>
      </c>
      <c r="N67" s="1596"/>
      <c r="O67" s="543">
        <f t="shared" si="5"/>
        <v>1.9912908371857219</v>
      </c>
      <c r="P67" s="544">
        <f t="shared" si="6"/>
        <v>0</v>
      </c>
      <c r="Q67" s="545">
        <f t="shared" si="7"/>
        <v>1.9912908371857219</v>
      </c>
      <c r="R67" s="1151"/>
      <c r="S67" s="543">
        <f t="shared" si="8"/>
        <v>3.5827167129739466</v>
      </c>
      <c r="T67" s="1477">
        <f t="shared" si="9"/>
        <v>0.79919308926132371</v>
      </c>
    </row>
    <row r="68" spans="1:20" s="1645" customFormat="1" ht="15" customHeight="1" thickBot="1">
      <c r="A68" s="1643"/>
      <c r="B68" s="1666" t="s">
        <v>620</v>
      </c>
      <c r="C68" s="1667"/>
      <c r="D68" s="1668">
        <v>37.187760148843765</v>
      </c>
      <c r="E68" s="1669">
        <v>51.188150240282695</v>
      </c>
      <c r="F68" s="1669">
        <v>58.696079749271028</v>
      </c>
      <c r="G68" s="1669">
        <v>57.826666383115104</v>
      </c>
      <c r="H68" s="1670">
        <v>41.023694574214289</v>
      </c>
      <c r="I68" s="1671">
        <v>60.307525013084295</v>
      </c>
      <c r="J68" s="1669">
        <v>65.199367912937191</v>
      </c>
      <c r="K68" s="1669">
        <v>74.449430617742351</v>
      </c>
      <c r="L68" s="1669">
        <v>76.009073913876875</v>
      </c>
      <c r="M68" s="1670">
        <v>78.474229553412385</v>
      </c>
      <c r="N68" s="1596"/>
      <c r="O68" s="1486">
        <f t="shared" si="5"/>
        <v>204.89865652151261</v>
      </c>
      <c r="P68" s="1487">
        <f t="shared" si="6"/>
        <v>41.023694574214289</v>
      </c>
      <c r="Q68" s="1488">
        <f t="shared" si="7"/>
        <v>245.9223510957269</v>
      </c>
      <c r="R68" s="1151"/>
      <c r="S68" s="1486">
        <f t="shared" si="8"/>
        <v>354.43962701105312</v>
      </c>
      <c r="T68" s="1489">
        <f t="shared" si="9"/>
        <v>0.4412664218271285</v>
      </c>
    </row>
    <row r="69" spans="1:20" s="1645" customFormat="1" ht="12.75">
      <c r="A69" s="1643"/>
      <c r="B69" s="1663"/>
      <c r="C69" s="1663"/>
      <c r="D69" s="1151"/>
      <c r="E69" s="1151"/>
      <c r="F69" s="1151"/>
      <c r="G69" s="1151"/>
      <c r="H69" s="1151"/>
      <c r="I69" s="1151"/>
      <c r="J69" s="1151"/>
      <c r="K69" s="1151"/>
      <c r="L69" s="1151"/>
      <c r="M69" s="1151"/>
      <c r="N69" s="1596"/>
      <c r="O69" s="1596"/>
      <c r="P69" s="1596"/>
      <c r="Q69" s="1596"/>
    </row>
    <row r="70" spans="1:20" s="1645" customFormat="1" ht="12.75">
      <c r="A70" s="1643"/>
      <c r="B70" s="1596"/>
      <c r="C70" s="1596"/>
      <c r="D70" s="1596"/>
      <c r="E70" s="1596"/>
      <c r="F70" s="1596"/>
      <c r="G70" s="1596"/>
      <c r="H70" s="1596"/>
      <c r="I70" s="1596"/>
      <c r="J70" s="1596"/>
      <c r="K70" s="1596"/>
      <c r="L70" s="1596"/>
      <c r="M70" s="1596"/>
      <c r="N70" s="1596"/>
      <c r="O70" s="1596"/>
      <c r="P70" s="1596"/>
      <c r="Q70" s="1596"/>
    </row>
    <row r="71" spans="1:20" s="1645" customFormat="1" ht="12.75">
      <c r="A71" s="1643"/>
      <c r="B71" s="1155" t="s">
        <v>621</v>
      </c>
      <c r="C71" s="1596"/>
      <c r="D71" s="1596"/>
      <c r="E71" s="1596"/>
      <c r="F71" s="1596"/>
      <c r="G71" s="1596"/>
      <c r="H71" s="1596"/>
      <c r="I71" s="1596"/>
      <c r="J71" s="1596"/>
      <c r="K71" s="1596"/>
      <c r="L71" s="1596"/>
      <c r="M71" s="1596"/>
      <c r="N71" s="1151"/>
      <c r="O71" s="1596"/>
      <c r="P71" s="1596"/>
      <c r="Q71" s="1596"/>
    </row>
    <row r="72" spans="1:20" s="1645" customFormat="1" ht="13.5" thickBot="1">
      <c r="A72" s="1643"/>
      <c r="B72" s="1596"/>
      <c r="C72" s="1596"/>
      <c r="D72" s="1596"/>
      <c r="E72" s="1596"/>
      <c r="F72" s="1596"/>
      <c r="G72" s="1596"/>
      <c r="H72" s="1596"/>
      <c r="I72" s="1596"/>
      <c r="J72" s="1596"/>
      <c r="K72" s="1596"/>
      <c r="L72" s="1596"/>
      <c r="M72" s="1596"/>
      <c r="N72" s="1151"/>
      <c r="O72" s="1596"/>
      <c r="P72" s="1596"/>
      <c r="Q72" s="1596"/>
    </row>
    <row r="73" spans="1:20" s="1645" customFormat="1" ht="12.75">
      <c r="A73" s="1643"/>
      <c r="B73" s="1961" t="s">
        <v>113</v>
      </c>
      <c r="C73" s="1962"/>
      <c r="D73" s="1647" t="s">
        <v>114</v>
      </c>
      <c r="E73" s="1647"/>
      <c r="F73" s="1647"/>
      <c r="G73" s="1647"/>
      <c r="H73" s="1648"/>
      <c r="I73" s="1646" t="s">
        <v>115</v>
      </c>
      <c r="J73" s="1647"/>
      <c r="K73" s="1647"/>
      <c r="L73" s="1647"/>
      <c r="M73" s="1648"/>
      <c r="N73" s="1151"/>
      <c r="O73" s="1463" t="s">
        <v>116</v>
      </c>
      <c r="P73" s="1464"/>
      <c r="Q73" s="1465"/>
      <c r="R73" s="1151"/>
      <c r="S73" s="1463" t="s">
        <v>117</v>
      </c>
      <c r="T73" s="1465"/>
    </row>
    <row r="74" spans="1:20" s="1645" customFormat="1" ht="12.75">
      <c r="A74" s="1643"/>
      <c r="B74" s="1963"/>
      <c r="C74" s="1964"/>
      <c r="D74" s="1652" t="s">
        <v>32</v>
      </c>
      <c r="E74" s="1650" t="s">
        <v>33</v>
      </c>
      <c r="F74" s="1650" t="s">
        <v>29</v>
      </c>
      <c r="G74" s="1650" t="s">
        <v>34</v>
      </c>
      <c r="H74" s="1651" t="s">
        <v>35</v>
      </c>
      <c r="I74" s="1649" t="s">
        <v>118</v>
      </c>
      <c r="J74" s="1650" t="s">
        <v>136</v>
      </c>
      <c r="K74" s="1650" t="s">
        <v>137</v>
      </c>
      <c r="L74" s="1650" t="s">
        <v>138</v>
      </c>
      <c r="M74" s="1651" t="s">
        <v>139</v>
      </c>
      <c r="N74" s="1151"/>
      <c r="O74" s="1470" t="s">
        <v>126</v>
      </c>
      <c r="P74" s="1471" t="s">
        <v>127</v>
      </c>
      <c r="Q74" s="1472" t="s">
        <v>246</v>
      </c>
      <c r="R74" s="1151"/>
      <c r="S74" s="1470" t="s">
        <v>127</v>
      </c>
      <c r="T74" s="1472" t="s">
        <v>128</v>
      </c>
    </row>
    <row r="75" spans="1:20" s="1645" customFormat="1" ht="12.75">
      <c r="A75" s="1643"/>
      <c r="B75" s="1965"/>
      <c r="C75" s="1966"/>
      <c r="D75" s="1652" t="s">
        <v>14</v>
      </c>
      <c r="E75" s="1650" t="s">
        <v>14</v>
      </c>
      <c r="F75" s="1650" t="s">
        <v>14</v>
      </c>
      <c r="G75" s="1650" t="s">
        <v>14</v>
      </c>
      <c r="H75" s="1651" t="s">
        <v>14</v>
      </c>
      <c r="I75" s="1649" t="s">
        <v>14</v>
      </c>
      <c r="J75" s="1650" t="s">
        <v>14</v>
      </c>
      <c r="K75" s="1650" t="s">
        <v>14</v>
      </c>
      <c r="L75" s="1650" t="s">
        <v>14</v>
      </c>
      <c r="M75" s="1651" t="s">
        <v>14</v>
      </c>
      <c r="N75" s="1596"/>
      <c r="O75" s="1543"/>
      <c r="P75" s="1544"/>
      <c r="Q75" s="1545"/>
      <c r="R75" s="1151"/>
      <c r="S75" s="1653"/>
      <c r="T75" s="1654"/>
    </row>
    <row r="76" spans="1:20" s="1645" customFormat="1" ht="14.25" customHeight="1">
      <c r="A76" s="1643"/>
      <c r="B76" s="1972" t="s">
        <v>103</v>
      </c>
      <c r="C76" s="1655" t="s">
        <v>104</v>
      </c>
      <c r="D76" s="902">
        <v>0</v>
      </c>
      <c r="E76" s="902">
        <v>0</v>
      </c>
      <c r="F76" s="902">
        <v>0</v>
      </c>
      <c r="G76" s="902">
        <v>0</v>
      </c>
      <c r="H76" s="903">
        <v>0</v>
      </c>
      <c r="I76" s="904">
        <v>0</v>
      </c>
      <c r="J76" s="905">
        <v>0</v>
      </c>
      <c r="K76" s="905">
        <v>0</v>
      </c>
      <c r="L76" s="905">
        <v>0</v>
      </c>
      <c r="M76" s="906">
        <v>0</v>
      </c>
      <c r="N76" s="1596"/>
      <c r="O76" s="543">
        <f t="shared" ref="O76:O101" si="10">SUM(D76:G76)</f>
        <v>0</v>
      </c>
      <c r="P76" s="544">
        <f t="shared" ref="P76:P101" si="11">H76</f>
        <v>0</v>
      </c>
      <c r="Q76" s="545">
        <f t="shared" ref="Q76:Q101" si="12">SUM(D76:H76)</f>
        <v>0</v>
      </c>
      <c r="R76" s="1151"/>
      <c r="S76" s="543">
        <f t="shared" ref="S76:S101" si="13">SUM(I76:M76)</f>
        <v>0</v>
      </c>
      <c r="T76" s="1477" t="str">
        <f>IF(Q76&lt;&gt;0,(S76-Q76)/Q76,"0")</f>
        <v>0</v>
      </c>
    </row>
    <row r="77" spans="1:20" s="1645" customFormat="1" ht="15" customHeight="1">
      <c r="A77" s="1643"/>
      <c r="B77" s="1973"/>
      <c r="C77" s="1656" t="s">
        <v>105</v>
      </c>
      <c r="D77" s="907">
        <v>9.9432513766961952E-2</v>
      </c>
      <c r="E77" s="907">
        <v>9.9587840934402136E-2</v>
      </c>
      <c r="F77" s="907">
        <v>0.19930757130482524</v>
      </c>
      <c r="G77" s="907">
        <v>0.11163449108709478</v>
      </c>
      <c r="H77" s="908">
        <v>0.11117532404936126</v>
      </c>
      <c r="I77" s="909">
        <v>0.10598162282997246</v>
      </c>
      <c r="J77" s="910">
        <v>0.10373349429719747</v>
      </c>
      <c r="K77" s="910">
        <v>0.10359447930144974</v>
      </c>
      <c r="L77" s="910">
        <v>0.10334928520907181</v>
      </c>
      <c r="M77" s="911">
        <v>0.10440722015081436</v>
      </c>
      <c r="N77" s="1596"/>
      <c r="O77" s="543">
        <f t="shared" si="10"/>
        <v>0.50996241709328416</v>
      </c>
      <c r="P77" s="544">
        <f t="shared" si="11"/>
        <v>0.11117532404936126</v>
      </c>
      <c r="Q77" s="545">
        <f t="shared" si="12"/>
        <v>0.62113774114264542</v>
      </c>
      <c r="R77" s="1151"/>
      <c r="S77" s="543">
        <f t="shared" si="13"/>
        <v>0.52106610178850588</v>
      </c>
      <c r="T77" s="1477">
        <f t="shared" ref="T77:T101" si="14">IF(Q77&lt;&gt;0,(S77-Q77)/Q77,"0")</f>
        <v>-0.16111022197757247</v>
      </c>
    </row>
    <row r="78" spans="1:20" s="1645" customFormat="1" ht="14.25" customHeight="1">
      <c r="A78" s="1643"/>
      <c r="B78" s="1973" t="s">
        <v>106</v>
      </c>
      <c r="C78" s="1656" t="s">
        <v>104</v>
      </c>
      <c r="D78" s="907">
        <v>0</v>
      </c>
      <c r="E78" s="907">
        <v>0</v>
      </c>
      <c r="F78" s="907">
        <v>0</v>
      </c>
      <c r="G78" s="907">
        <v>0</v>
      </c>
      <c r="H78" s="908">
        <v>0</v>
      </c>
      <c r="I78" s="909">
        <v>0</v>
      </c>
      <c r="J78" s="910">
        <v>0</v>
      </c>
      <c r="K78" s="910">
        <v>0</v>
      </c>
      <c r="L78" s="910">
        <v>0</v>
      </c>
      <c r="M78" s="911">
        <v>0</v>
      </c>
      <c r="N78" s="1596"/>
      <c r="O78" s="543">
        <f t="shared" si="10"/>
        <v>0</v>
      </c>
      <c r="P78" s="544">
        <f t="shared" si="11"/>
        <v>0</v>
      </c>
      <c r="Q78" s="545">
        <f t="shared" si="12"/>
        <v>0</v>
      </c>
      <c r="R78" s="1151"/>
      <c r="S78" s="543">
        <f t="shared" si="13"/>
        <v>0</v>
      </c>
      <c r="T78" s="1477" t="str">
        <f t="shared" si="14"/>
        <v>0</v>
      </c>
    </row>
    <row r="79" spans="1:20" s="1645" customFormat="1" ht="15" customHeight="1">
      <c r="A79" s="1643"/>
      <c r="B79" s="1973"/>
      <c r="C79" s="1656" t="s">
        <v>105</v>
      </c>
      <c r="D79" s="907">
        <v>0</v>
      </c>
      <c r="E79" s="907">
        <v>0</v>
      </c>
      <c r="F79" s="907">
        <v>0</v>
      </c>
      <c r="G79" s="907">
        <v>0</v>
      </c>
      <c r="H79" s="908">
        <v>0</v>
      </c>
      <c r="I79" s="909">
        <v>0</v>
      </c>
      <c r="J79" s="910">
        <v>0</v>
      </c>
      <c r="K79" s="910">
        <v>0</v>
      </c>
      <c r="L79" s="910">
        <v>0</v>
      </c>
      <c r="M79" s="911">
        <v>0</v>
      </c>
      <c r="N79" s="1596"/>
      <c r="O79" s="543">
        <f t="shared" si="10"/>
        <v>0</v>
      </c>
      <c r="P79" s="544">
        <f t="shared" si="11"/>
        <v>0</v>
      </c>
      <c r="Q79" s="545">
        <f t="shared" si="12"/>
        <v>0</v>
      </c>
      <c r="R79" s="1151"/>
      <c r="S79" s="543">
        <f t="shared" si="13"/>
        <v>0</v>
      </c>
      <c r="T79" s="1477" t="str">
        <f t="shared" si="14"/>
        <v>0</v>
      </c>
    </row>
    <row r="80" spans="1:20" s="1645" customFormat="1" ht="14.25" customHeight="1">
      <c r="A80" s="1643"/>
      <c r="B80" s="1969" t="s">
        <v>848</v>
      </c>
      <c r="C80" s="1656" t="s">
        <v>129</v>
      </c>
      <c r="D80" s="907">
        <v>0</v>
      </c>
      <c r="E80" s="907">
        <v>0</v>
      </c>
      <c r="F80" s="907">
        <v>0</v>
      </c>
      <c r="G80" s="907">
        <v>0</v>
      </c>
      <c r="H80" s="908">
        <v>0</v>
      </c>
      <c r="I80" s="909">
        <v>0</v>
      </c>
      <c r="J80" s="910">
        <v>0</v>
      </c>
      <c r="K80" s="910">
        <v>0</v>
      </c>
      <c r="L80" s="910">
        <v>0</v>
      </c>
      <c r="M80" s="911">
        <v>0</v>
      </c>
      <c r="N80" s="1596"/>
      <c r="O80" s="543">
        <f t="shared" si="10"/>
        <v>0</v>
      </c>
      <c r="P80" s="544">
        <f t="shared" si="11"/>
        <v>0</v>
      </c>
      <c r="Q80" s="545">
        <f t="shared" si="12"/>
        <v>0</v>
      </c>
      <c r="R80" s="1151"/>
      <c r="S80" s="543">
        <f t="shared" si="13"/>
        <v>0</v>
      </c>
      <c r="T80" s="1477" t="str">
        <f t="shared" si="14"/>
        <v>0</v>
      </c>
    </row>
    <row r="81" spans="1:20" s="1645" customFormat="1" ht="14.25" customHeight="1">
      <c r="A81" s="1643"/>
      <c r="B81" s="1969"/>
      <c r="C81" s="1656" t="s">
        <v>130</v>
      </c>
      <c r="D81" s="907">
        <v>0</v>
      </c>
      <c r="E81" s="907">
        <v>0</v>
      </c>
      <c r="F81" s="907">
        <v>9.9653785652412619E-2</v>
      </c>
      <c r="G81" s="907">
        <v>0.11163449108709478</v>
      </c>
      <c r="H81" s="908">
        <v>0.11117532404936126</v>
      </c>
      <c r="I81" s="909">
        <v>0.10598162282997246</v>
      </c>
      <c r="J81" s="910">
        <v>0.10373349429719747</v>
      </c>
      <c r="K81" s="910">
        <v>0.10359447930144974</v>
      </c>
      <c r="L81" s="910">
        <v>0.10334928520907181</v>
      </c>
      <c r="M81" s="911">
        <v>0.10440722015081436</v>
      </c>
      <c r="N81" s="1596"/>
      <c r="O81" s="543">
        <f t="shared" si="10"/>
        <v>0.2112882767395074</v>
      </c>
      <c r="P81" s="544">
        <f t="shared" si="11"/>
        <v>0.11117532404936126</v>
      </c>
      <c r="Q81" s="545">
        <f t="shared" si="12"/>
        <v>0.32246360078886865</v>
      </c>
      <c r="R81" s="1151"/>
      <c r="S81" s="543">
        <f t="shared" si="13"/>
        <v>0.52106610178850588</v>
      </c>
      <c r="T81" s="1477">
        <f t="shared" si="14"/>
        <v>0.61589122156354992</v>
      </c>
    </row>
    <row r="82" spans="1:20" s="1645" customFormat="1" ht="15" customHeight="1">
      <c r="A82" s="1643"/>
      <c r="B82" s="1969"/>
      <c r="C82" s="1657" t="s">
        <v>224</v>
      </c>
      <c r="D82" s="907">
        <v>0.1988650275339239</v>
      </c>
      <c r="E82" s="907">
        <v>0.19917568186880427</v>
      </c>
      <c r="F82" s="907">
        <v>0.19930757130482524</v>
      </c>
      <c r="G82" s="907">
        <v>0.22326898217418956</v>
      </c>
      <c r="H82" s="908">
        <v>0.22235064809872251</v>
      </c>
      <c r="I82" s="909">
        <v>0.21196324565994493</v>
      </c>
      <c r="J82" s="910">
        <v>0.20746698859439494</v>
      </c>
      <c r="K82" s="910">
        <v>0.20718895860289949</v>
      </c>
      <c r="L82" s="910">
        <v>0.20669857041814363</v>
      </c>
      <c r="M82" s="911">
        <v>0.20881444030162871</v>
      </c>
      <c r="N82" s="1596"/>
      <c r="O82" s="543">
        <f t="shared" si="10"/>
        <v>0.82061726288174297</v>
      </c>
      <c r="P82" s="544">
        <f t="shared" si="11"/>
        <v>0.22235064809872251</v>
      </c>
      <c r="Q82" s="545">
        <f t="shared" si="12"/>
        <v>1.0429679109804655</v>
      </c>
      <c r="R82" s="1151"/>
      <c r="S82" s="543">
        <f t="shared" si="13"/>
        <v>1.0421322035770118</v>
      </c>
      <c r="T82" s="1477">
        <f t="shared" si="14"/>
        <v>-8.0127815501831513E-4</v>
      </c>
    </row>
    <row r="83" spans="1:20" s="1645" customFormat="1" ht="14.25" customHeight="1">
      <c r="A83" s="1643"/>
      <c r="B83" s="1969" t="s">
        <v>239</v>
      </c>
      <c r="C83" s="1656" t="s">
        <v>225</v>
      </c>
      <c r="D83" s="907">
        <v>9.9432513766961952E-2</v>
      </c>
      <c r="E83" s="907">
        <v>9.9587840934402136E-2</v>
      </c>
      <c r="F83" s="907">
        <v>9.9653785652412619E-2</v>
      </c>
      <c r="G83" s="907">
        <v>0.11163449108709478</v>
      </c>
      <c r="H83" s="908">
        <v>0.11117532404936126</v>
      </c>
      <c r="I83" s="909">
        <v>0.10598162282997246</v>
      </c>
      <c r="J83" s="910">
        <v>0.10373349429719747</v>
      </c>
      <c r="K83" s="910">
        <v>0.10359447930144974</v>
      </c>
      <c r="L83" s="910">
        <v>0.10334928520907181</v>
      </c>
      <c r="M83" s="911">
        <v>0.10440722015081436</v>
      </c>
      <c r="N83" s="1596"/>
      <c r="O83" s="543">
        <f t="shared" si="10"/>
        <v>0.41030863144087149</v>
      </c>
      <c r="P83" s="544">
        <f t="shared" si="11"/>
        <v>0.11117532404936126</v>
      </c>
      <c r="Q83" s="545">
        <f t="shared" si="12"/>
        <v>0.52148395549023274</v>
      </c>
      <c r="R83" s="1151"/>
      <c r="S83" s="543">
        <f t="shared" si="13"/>
        <v>0.52106610178850588</v>
      </c>
      <c r="T83" s="1477">
        <f t="shared" si="14"/>
        <v>-8.0127815501831513E-4</v>
      </c>
    </row>
    <row r="84" spans="1:20" s="1645" customFormat="1" ht="14.25" customHeight="1">
      <c r="A84" s="1643"/>
      <c r="B84" s="1969"/>
      <c r="C84" s="1656" t="s">
        <v>878</v>
      </c>
      <c r="D84" s="907">
        <v>0.29829754130088582</v>
      </c>
      <c r="E84" s="907">
        <v>0.39835136373760854</v>
      </c>
      <c r="F84" s="907">
        <v>1.1958454278289514</v>
      </c>
      <c r="G84" s="907">
        <v>0.55817245543547389</v>
      </c>
      <c r="H84" s="908">
        <v>0.55587662024680617</v>
      </c>
      <c r="I84" s="909">
        <v>0.52990811414986216</v>
      </c>
      <c r="J84" s="910">
        <v>0.51866747148598724</v>
      </c>
      <c r="K84" s="910">
        <v>0.51797239650724869</v>
      </c>
      <c r="L84" s="910">
        <v>0.51674642604535914</v>
      </c>
      <c r="M84" s="911">
        <v>0.5220361007540717</v>
      </c>
      <c r="N84" s="1596"/>
      <c r="O84" s="543">
        <f t="shared" si="10"/>
        <v>2.4506667883029198</v>
      </c>
      <c r="P84" s="544">
        <f t="shared" si="11"/>
        <v>0.55587662024680617</v>
      </c>
      <c r="Q84" s="545">
        <f t="shared" si="12"/>
        <v>3.0065434085497262</v>
      </c>
      <c r="R84" s="1151"/>
      <c r="S84" s="543">
        <f t="shared" si="13"/>
        <v>2.6053305089425289</v>
      </c>
      <c r="T84" s="1477">
        <f t="shared" si="14"/>
        <v>-0.13344656806426466</v>
      </c>
    </row>
    <row r="85" spans="1:20" s="1645" customFormat="1" ht="14.25" customHeight="1">
      <c r="A85" s="1643"/>
      <c r="B85" s="1969"/>
      <c r="C85" s="1657" t="s">
        <v>120</v>
      </c>
      <c r="D85" s="907">
        <v>0</v>
      </c>
      <c r="E85" s="907">
        <v>0</v>
      </c>
      <c r="F85" s="907">
        <v>0</v>
      </c>
      <c r="G85" s="907">
        <v>0</v>
      </c>
      <c r="H85" s="908">
        <v>0</v>
      </c>
      <c r="I85" s="909">
        <v>0</v>
      </c>
      <c r="J85" s="910">
        <v>0</v>
      </c>
      <c r="K85" s="910">
        <v>0</v>
      </c>
      <c r="L85" s="910">
        <v>0</v>
      </c>
      <c r="M85" s="911">
        <v>0</v>
      </c>
      <c r="N85" s="1596"/>
      <c r="O85" s="543">
        <f t="shared" si="10"/>
        <v>0</v>
      </c>
      <c r="P85" s="544">
        <f t="shared" si="11"/>
        <v>0</v>
      </c>
      <c r="Q85" s="545">
        <f t="shared" si="12"/>
        <v>0</v>
      </c>
      <c r="R85" s="1151"/>
      <c r="S85" s="543">
        <f t="shared" si="13"/>
        <v>0</v>
      </c>
      <c r="T85" s="1477" t="str">
        <f t="shared" si="14"/>
        <v>0</v>
      </c>
    </row>
    <row r="86" spans="1:20" s="1645" customFormat="1" ht="14.25" customHeight="1">
      <c r="A86" s="1643"/>
      <c r="B86" s="1969"/>
      <c r="C86" s="1657" t="s">
        <v>224</v>
      </c>
      <c r="D86" s="907">
        <v>0.39773005506784781</v>
      </c>
      <c r="E86" s="907">
        <v>0.59752704560641279</v>
      </c>
      <c r="F86" s="907">
        <v>0.49826892826206309</v>
      </c>
      <c r="G86" s="907">
        <v>0.44653796434837911</v>
      </c>
      <c r="H86" s="908">
        <v>0.44470129619744503</v>
      </c>
      <c r="I86" s="909">
        <v>0.42392649131988985</v>
      </c>
      <c r="J86" s="910">
        <v>0.41493397718878988</v>
      </c>
      <c r="K86" s="910">
        <v>0.41437791720579897</v>
      </c>
      <c r="L86" s="910">
        <v>0.41339714083628726</v>
      </c>
      <c r="M86" s="911">
        <v>0.41762888060325742</v>
      </c>
      <c r="N86" s="1596"/>
      <c r="O86" s="543">
        <f t="shared" si="10"/>
        <v>1.9400639932847028</v>
      </c>
      <c r="P86" s="544">
        <f t="shared" si="11"/>
        <v>0.44470129619744503</v>
      </c>
      <c r="Q86" s="545">
        <f t="shared" si="12"/>
        <v>2.3847652894821478</v>
      </c>
      <c r="R86" s="1151"/>
      <c r="S86" s="543">
        <f t="shared" si="13"/>
        <v>2.0842644071540235</v>
      </c>
      <c r="T86" s="1477">
        <f t="shared" si="14"/>
        <v>-0.12600857772186802</v>
      </c>
    </row>
    <row r="87" spans="1:20" s="1645" customFormat="1" ht="14.25" customHeight="1">
      <c r="A87" s="1643"/>
      <c r="B87" s="1969"/>
      <c r="C87" s="1656" t="s">
        <v>868</v>
      </c>
      <c r="D87" s="907">
        <v>9.9432513766961952E-2</v>
      </c>
      <c r="E87" s="907">
        <v>0.39835136373760854</v>
      </c>
      <c r="F87" s="907">
        <v>0.29896135695723786</v>
      </c>
      <c r="G87" s="907">
        <v>0.22326898217418956</v>
      </c>
      <c r="H87" s="908">
        <v>0.22235064809872251</v>
      </c>
      <c r="I87" s="909">
        <v>0.52990811414986216</v>
      </c>
      <c r="J87" s="910">
        <v>0.51866747148598724</v>
      </c>
      <c r="K87" s="910">
        <v>0.6215668758086984</v>
      </c>
      <c r="L87" s="910">
        <v>0.62009571125443086</v>
      </c>
      <c r="M87" s="911">
        <v>0.73085054105570035</v>
      </c>
      <c r="N87" s="1596"/>
      <c r="O87" s="543">
        <f t="shared" si="10"/>
        <v>1.0200142166359978</v>
      </c>
      <c r="P87" s="544">
        <f t="shared" si="11"/>
        <v>0.22235064809872251</v>
      </c>
      <c r="Q87" s="545">
        <f t="shared" si="12"/>
        <v>1.2423648647347203</v>
      </c>
      <c r="R87" s="1151"/>
      <c r="S87" s="543">
        <f t="shared" si="13"/>
        <v>3.0210887137546791</v>
      </c>
      <c r="T87" s="1477">
        <f t="shared" si="14"/>
        <v>1.431724205593794</v>
      </c>
    </row>
    <row r="88" spans="1:20" s="1645" customFormat="1" ht="15" customHeight="1">
      <c r="A88" s="1643"/>
      <c r="B88" s="1969"/>
      <c r="C88" s="1656" t="s">
        <v>869</v>
      </c>
      <c r="D88" s="907">
        <v>0.79546011013569562</v>
      </c>
      <c r="E88" s="907">
        <v>0.29876352280320639</v>
      </c>
      <c r="F88" s="907">
        <v>0.69757649956688828</v>
      </c>
      <c r="G88" s="907">
        <v>0.55817245543547389</v>
      </c>
      <c r="H88" s="908">
        <v>0.55587662024680617</v>
      </c>
      <c r="I88" s="909">
        <v>0.52990811414986216</v>
      </c>
      <c r="J88" s="910">
        <v>0.51866747148598724</v>
      </c>
      <c r="K88" s="910">
        <v>0.51797239650724869</v>
      </c>
      <c r="L88" s="910">
        <v>0.51674642604535914</v>
      </c>
      <c r="M88" s="911">
        <v>0.5220361007540717</v>
      </c>
      <c r="N88" s="1596"/>
      <c r="O88" s="543">
        <f t="shared" si="10"/>
        <v>2.3499725879412643</v>
      </c>
      <c r="P88" s="544">
        <f t="shared" si="11"/>
        <v>0.55587662024680617</v>
      </c>
      <c r="Q88" s="545">
        <f t="shared" si="12"/>
        <v>2.9058492081880702</v>
      </c>
      <c r="R88" s="1151"/>
      <c r="S88" s="543">
        <f t="shared" si="13"/>
        <v>2.6053305089425289</v>
      </c>
      <c r="T88" s="1477">
        <f t="shared" si="14"/>
        <v>-0.10341854573827954</v>
      </c>
    </row>
    <row r="89" spans="1:20" s="1645" customFormat="1" ht="14.25" customHeight="1">
      <c r="A89" s="1643"/>
      <c r="B89" s="1969" t="s">
        <v>245</v>
      </c>
      <c r="C89" s="1656" t="s">
        <v>225</v>
      </c>
      <c r="D89" s="907">
        <v>0</v>
      </c>
      <c r="E89" s="907">
        <v>0</v>
      </c>
      <c r="F89" s="907">
        <v>0</v>
      </c>
      <c r="G89" s="907">
        <v>0</v>
      </c>
      <c r="H89" s="908">
        <v>0</v>
      </c>
      <c r="I89" s="909">
        <v>0</v>
      </c>
      <c r="J89" s="910">
        <v>0</v>
      </c>
      <c r="K89" s="910">
        <v>0</v>
      </c>
      <c r="L89" s="910">
        <v>0</v>
      </c>
      <c r="M89" s="911">
        <v>0</v>
      </c>
      <c r="N89" s="1596"/>
      <c r="O89" s="543">
        <f t="shared" si="10"/>
        <v>0</v>
      </c>
      <c r="P89" s="544">
        <f t="shared" si="11"/>
        <v>0</v>
      </c>
      <c r="Q89" s="545">
        <f t="shared" si="12"/>
        <v>0</v>
      </c>
      <c r="R89" s="1151"/>
      <c r="S89" s="543">
        <f t="shared" si="13"/>
        <v>0</v>
      </c>
      <c r="T89" s="1477" t="str">
        <f t="shared" si="14"/>
        <v>0</v>
      </c>
    </row>
    <row r="90" spans="1:20" s="1645" customFormat="1" ht="14.25" customHeight="1">
      <c r="A90" s="1643"/>
      <c r="B90" s="1969"/>
      <c r="C90" s="1656" t="s">
        <v>878</v>
      </c>
      <c r="D90" s="907">
        <v>9.9432513766961952E-2</v>
      </c>
      <c r="E90" s="907">
        <v>0.19917568186880427</v>
      </c>
      <c r="F90" s="907">
        <v>0.19930757130482524</v>
      </c>
      <c r="G90" s="907">
        <v>0.11163449108709478</v>
      </c>
      <c r="H90" s="908">
        <v>0.11117532404936126</v>
      </c>
      <c r="I90" s="909">
        <v>0.21196324565994493</v>
      </c>
      <c r="J90" s="910">
        <v>0.20746698859439494</v>
      </c>
      <c r="K90" s="910">
        <v>0.20718895860289949</v>
      </c>
      <c r="L90" s="910">
        <v>0.20669857041814363</v>
      </c>
      <c r="M90" s="911">
        <v>0.20881444030162871</v>
      </c>
      <c r="N90" s="1596"/>
      <c r="O90" s="543">
        <f t="shared" si="10"/>
        <v>0.60955025802768625</v>
      </c>
      <c r="P90" s="544">
        <f t="shared" si="11"/>
        <v>0.11117532404936126</v>
      </c>
      <c r="Q90" s="545">
        <f t="shared" si="12"/>
        <v>0.72072558207704751</v>
      </c>
      <c r="R90" s="1151"/>
      <c r="S90" s="543">
        <f t="shared" si="13"/>
        <v>1.0421322035770118</v>
      </c>
      <c r="T90" s="1477">
        <f t="shared" si="14"/>
        <v>0.44594867934853605</v>
      </c>
    </row>
    <row r="91" spans="1:20" s="1645" customFormat="1" ht="14.25" customHeight="1">
      <c r="A91" s="1643"/>
      <c r="B91" s="1969"/>
      <c r="C91" s="1656" t="s">
        <v>120</v>
      </c>
      <c r="D91" s="907">
        <v>0</v>
      </c>
      <c r="E91" s="907">
        <v>0</v>
      </c>
      <c r="F91" s="907">
        <v>0</v>
      </c>
      <c r="G91" s="907">
        <v>0</v>
      </c>
      <c r="H91" s="908">
        <v>0</v>
      </c>
      <c r="I91" s="909">
        <v>0</v>
      </c>
      <c r="J91" s="910">
        <v>0</v>
      </c>
      <c r="K91" s="910">
        <v>0</v>
      </c>
      <c r="L91" s="910">
        <v>0</v>
      </c>
      <c r="M91" s="911">
        <v>0</v>
      </c>
      <c r="N91" s="1596"/>
      <c r="O91" s="543">
        <f t="shared" si="10"/>
        <v>0</v>
      </c>
      <c r="P91" s="544">
        <f t="shared" si="11"/>
        <v>0</v>
      </c>
      <c r="Q91" s="545">
        <f t="shared" si="12"/>
        <v>0</v>
      </c>
      <c r="R91" s="1151"/>
      <c r="S91" s="543">
        <f t="shared" si="13"/>
        <v>0</v>
      </c>
      <c r="T91" s="1477" t="str">
        <f t="shared" si="14"/>
        <v>0</v>
      </c>
    </row>
    <row r="92" spans="1:20" s="1645" customFormat="1" ht="14.25" customHeight="1">
      <c r="A92" s="1643"/>
      <c r="B92" s="1969"/>
      <c r="C92" s="1656" t="s">
        <v>224</v>
      </c>
      <c r="D92" s="907">
        <v>0</v>
      </c>
      <c r="E92" s="907">
        <v>0</v>
      </c>
      <c r="F92" s="907">
        <v>0</v>
      </c>
      <c r="G92" s="907">
        <v>0</v>
      </c>
      <c r="H92" s="908">
        <v>0</v>
      </c>
      <c r="I92" s="909">
        <v>0</v>
      </c>
      <c r="J92" s="910">
        <v>0</v>
      </c>
      <c r="K92" s="910">
        <v>0</v>
      </c>
      <c r="L92" s="910">
        <v>0</v>
      </c>
      <c r="M92" s="911">
        <v>0</v>
      </c>
      <c r="N92" s="1596"/>
      <c r="O92" s="543">
        <f t="shared" si="10"/>
        <v>0</v>
      </c>
      <c r="P92" s="544">
        <f t="shared" si="11"/>
        <v>0</v>
      </c>
      <c r="Q92" s="545">
        <f t="shared" si="12"/>
        <v>0</v>
      </c>
      <c r="R92" s="1151"/>
      <c r="S92" s="543">
        <f t="shared" si="13"/>
        <v>0</v>
      </c>
      <c r="T92" s="1477" t="str">
        <f t="shared" si="14"/>
        <v>0</v>
      </c>
    </row>
    <row r="93" spans="1:20" s="1645" customFormat="1" ht="14.25" customHeight="1">
      <c r="A93" s="1643"/>
      <c r="B93" s="1969"/>
      <c r="C93" s="1656" t="s">
        <v>868</v>
      </c>
      <c r="D93" s="907">
        <v>0.79546011013569562</v>
      </c>
      <c r="E93" s="907">
        <v>2.8880473870976617</v>
      </c>
      <c r="F93" s="907">
        <v>2.1923832843530775</v>
      </c>
      <c r="G93" s="907">
        <v>1.004710419783853</v>
      </c>
      <c r="H93" s="908">
        <v>0.55587662024680617</v>
      </c>
      <c r="I93" s="909">
        <v>0</v>
      </c>
      <c r="J93" s="910">
        <v>0</v>
      </c>
      <c r="K93" s="910">
        <v>0</v>
      </c>
      <c r="L93" s="910">
        <v>0</v>
      </c>
      <c r="M93" s="911">
        <v>0</v>
      </c>
      <c r="N93" s="1596"/>
      <c r="O93" s="543">
        <f t="shared" si="10"/>
        <v>6.880601201370288</v>
      </c>
      <c r="P93" s="544">
        <f t="shared" si="11"/>
        <v>0.55587662024680617</v>
      </c>
      <c r="Q93" s="545">
        <f t="shared" si="12"/>
        <v>7.4364778216170944</v>
      </c>
      <c r="R93" s="1151"/>
      <c r="S93" s="543">
        <f t="shared" si="13"/>
        <v>0</v>
      </c>
      <c r="T93" s="1477">
        <f t="shared" si="14"/>
        <v>-1</v>
      </c>
    </row>
    <row r="94" spans="1:20" s="1645" customFormat="1" ht="15" customHeight="1">
      <c r="A94" s="1643"/>
      <c r="B94" s="1969"/>
      <c r="C94" s="1657" t="s">
        <v>869</v>
      </c>
      <c r="D94" s="907">
        <v>0</v>
      </c>
      <c r="E94" s="907">
        <v>0</v>
      </c>
      <c r="F94" s="907">
        <v>0</v>
      </c>
      <c r="G94" s="907">
        <v>0</v>
      </c>
      <c r="H94" s="908">
        <v>0</v>
      </c>
      <c r="I94" s="909">
        <v>0</v>
      </c>
      <c r="J94" s="910">
        <v>0</v>
      </c>
      <c r="K94" s="910">
        <v>0</v>
      </c>
      <c r="L94" s="910">
        <v>0</v>
      </c>
      <c r="M94" s="911">
        <v>0</v>
      </c>
      <c r="N94" s="1596"/>
      <c r="O94" s="543">
        <f t="shared" si="10"/>
        <v>0</v>
      </c>
      <c r="P94" s="544">
        <f t="shared" si="11"/>
        <v>0</v>
      </c>
      <c r="Q94" s="545">
        <f t="shared" si="12"/>
        <v>0</v>
      </c>
      <c r="R94" s="1151"/>
      <c r="S94" s="543">
        <f t="shared" si="13"/>
        <v>0</v>
      </c>
      <c r="T94" s="1477" t="str">
        <f t="shared" si="14"/>
        <v>0</v>
      </c>
    </row>
    <row r="95" spans="1:20" s="1645" customFormat="1" ht="14.25" customHeight="1">
      <c r="A95" s="1643"/>
      <c r="B95" s="1969" t="s">
        <v>243</v>
      </c>
      <c r="C95" s="1656" t="s">
        <v>225</v>
      </c>
      <c r="D95" s="907">
        <v>0</v>
      </c>
      <c r="E95" s="907">
        <v>0</v>
      </c>
      <c r="F95" s="907">
        <v>0</v>
      </c>
      <c r="G95" s="907">
        <v>0</v>
      </c>
      <c r="H95" s="908">
        <v>0</v>
      </c>
      <c r="I95" s="909">
        <v>0</v>
      </c>
      <c r="J95" s="910">
        <v>0</v>
      </c>
      <c r="K95" s="910">
        <v>0</v>
      </c>
      <c r="L95" s="910">
        <v>0</v>
      </c>
      <c r="M95" s="911">
        <v>0</v>
      </c>
      <c r="N95" s="1596"/>
      <c r="O95" s="543">
        <f t="shared" si="10"/>
        <v>0</v>
      </c>
      <c r="P95" s="544">
        <f t="shared" si="11"/>
        <v>0</v>
      </c>
      <c r="Q95" s="545">
        <f t="shared" si="12"/>
        <v>0</v>
      </c>
      <c r="R95" s="1151"/>
      <c r="S95" s="543">
        <f t="shared" si="13"/>
        <v>0</v>
      </c>
      <c r="T95" s="1477" t="str">
        <f t="shared" si="14"/>
        <v>0</v>
      </c>
    </row>
    <row r="96" spans="1:20" s="1645" customFormat="1" ht="14.25" customHeight="1">
      <c r="A96" s="1643"/>
      <c r="B96" s="1969"/>
      <c r="C96" s="1656" t="s">
        <v>878</v>
      </c>
      <c r="D96" s="907">
        <v>0</v>
      </c>
      <c r="E96" s="907">
        <v>0</v>
      </c>
      <c r="F96" s="907">
        <v>0</v>
      </c>
      <c r="G96" s="907">
        <v>0</v>
      </c>
      <c r="H96" s="908">
        <v>0</v>
      </c>
      <c r="I96" s="909">
        <v>0</v>
      </c>
      <c r="J96" s="910">
        <v>0</v>
      </c>
      <c r="K96" s="910">
        <v>0</v>
      </c>
      <c r="L96" s="910">
        <v>0</v>
      </c>
      <c r="M96" s="911">
        <v>0</v>
      </c>
      <c r="N96" s="1596"/>
      <c r="O96" s="543">
        <f t="shared" si="10"/>
        <v>0</v>
      </c>
      <c r="P96" s="544">
        <f t="shared" si="11"/>
        <v>0</v>
      </c>
      <c r="Q96" s="545">
        <f t="shared" si="12"/>
        <v>0</v>
      </c>
      <c r="R96" s="1151"/>
      <c r="S96" s="543">
        <f t="shared" si="13"/>
        <v>0</v>
      </c>
      <c r="T96" s="1477" t="str">
        <f t="shared" si="14"/>
        <v>0</v>
      </c>
    </row>
    <row r="97" spans="1:20" s="1645" customFormat="1" ht="14.25" customHeight="1">
      <c r="A97" s="1643"/>
      <c r="B97" s="1969"/>
      <c r="C97" s="1657" t="s">
        <v>879</v>
      </c>
      <c r="D97" s="907">
        <v>0</v>
      </c>
      <c r="E97" s="907">
        <v>0</v>
      </c>
      <c r="F97" s="907">
        <v>0</v>
      </c>
      <c r="G97" s="907">
        <v>0</v>
      </c>
      <c r="H97" s="908">
        <v>0</v>
      </c>
      <c r="I97" s="909">
        <v>0</v>
      </c>
      <c r="J97" s="910">
        <v>0</v>
      </c>
      <c r="K97" s="910">
        <v>0</v>
      </c>
      <c r="L97" s="910">
        <v>0</v>
      </c>
      <c r="M97" s="911">
        <v>0</v>
      </c>
      <c r="N97" s="1596"/>
      <c r="O97" s="543">
        <f t="shared" si="10"/>
        <v>0</v>
      </c>
      <c r="P97" s="544">
        <f t="shared" si="11"/>
        <v>0</v>
      </c>
      <c r="Q97" s="545">
        <f t="shared" si="12"/>
        <v>0</v>
      </c>
      <c r="R97" s="1151"/>
      <c r="S97" s="543">
        <f t="shared" si="13"/>
        <v>0</v>
      </c>
      <c r="T97" s="1477" t="str">
        <f t="shared" si="14"/>
        <v>0</v>
      </c>
    </row>
    <row r="98" spans="1:20" s="1645" customFormat="1" ht="14.25" customHeight="1">
      <c r="A98" s="1643"/>
      <c r="B98" s="1969"/>
      <c r="C98" s="1657" t="s">
        <v>224</v>
      </c>
      <c r="D98" s="907">
        <v>0</v>
      </c>
      <c r="E98" s="907">
        <v>0</v>
      </c>
      <c r="F98" s="907">
        <v>0</v>
      </c>
      <c r="G98" s="907">
        <v>0</v>
      </c>
      <c r="H98" s="908">
        <v>0</v>
      </c>
      <c r="I98" s="909">
        <v>0</v>
      </c>
      <c r="J98" s="910">
        <v>0</v>
      </c>
      <c r="K98" s="910">
        <v>0</v>
      </c>
      <c r="L98" s="910">
        <v>0</v>
      </c>
      <c r="M98" s="911">
        <v>0</v>
      </c>
      <c r="N98" s="1596"/>
      <c r="O98" s="543">
        <f t="shared" si="10"/>
        <v>0</v>
      </c>
      <c r="P98" s="544">
        <f t="shared" si="11"/>
        <v>0</v>
      </c>
      <c r="Q98" s="545">
        <f t="shared" si="12"/>
        <v>0</v>
      </c>
      <c r="R98" s="1151"/>
      <c r="S98" s="543">
        <f t="shared" si="13"/>
        <v>0</v>
      </c>
      <c r="T98" s="1477" t="str">
        <f t="shared" si="14"/>
        <v>0</v>
      </c>
    </row>
    <row r="99" spans="1:20" s="1645" customFormat="1" ht="14.25" customHeight="1">
      <c r="A99" s="1643"/>
      <c r="B99" s="1969"/>
      <c r="C99" s="1657" t="s">
        <v>868</v>
      </c>
      <c r="D99" s="907">
        <v>0.1988650275339239</v>
      </c>
      <c r="E99" s="907">
        <v>1.1950540912128256</v>
      </c>
      <c r="F99" s="907">
        <v>0.39861514260965047</v>
      </c>
      <c r="G99" s="907">
        <v>0.55817245543547389</v>
      </c>
      <c r="H99" s="908">
        <v>0.55587662024680617</v>
      </c>
      <c r="I99" s="909">
        <v>0.63588973697983475</v>
      </c>
      <c r="J99" s="910">
        <v>0.62240096578318471</v>
      </c>
      <c r="K99" s="910">
        <v>0.6215668758086984</v>
      </c>
      <c r="L99" s="910">
        <v>0.62009571125443086</v>
      </c>
      <c r="M99" s="911">
        <v>0.62644332090488597</v>
      </c>
      <c r="N99" s="1596"/>
      <c r="O99" s="543">
        <f t="shared" si="10"/>
        <v>2.3507067167918736</v>
      </c>
      <c r="P99" s="544">
        <f t="shared" si="11"/>
        <v>0.55587662024680617</v>
      </c>
      <c r="Q99" s="545">
        <f t="shared" si="12"/>
        <v>2.90658333703868</v>
      </c>
      <c r="R99" s="1151"/>
      <c r="S99" s="543">
        <f t="shared" si="13"/>
        <v>3.1263966107310348</v>
      </c>
      <c r="T99" s="1477">
        <f t="shared" si="14"/>
        <v>7.5626000772545401E-2</v>
      </c>
    </row>
    <row r="100" spans="1:20" s="1645" customFormat="1" ht="15" customHeight="1">
      <c r="A100" s="1643"/>
      <c r="B100" s="1969"/>
      <c r="C100" s="1657" t="s">
        <v>869</v>
      </c>
      <c r="D100" s="907">
        <v>0</v>
      </c>
      <c r="E100" s="907">
        <v>0</v>
      </c>
      <c r="F100" s="907">
        <v>0</v>
      </c>
      <c r="G100" s="907">
        <v>0</v>
      </c>
      <c r="H100" s="908">
        <v>0</v>
      </c>
      <c r="I100" s="909">
        <v>0</v>
      </c>
      <c r="J100" s="910">
        <v>0</v>
      </c>
      <c r="K100" s="910">
        <v>0</v>
      </c>
      <c r="L100" s="910">
        <v>0</v>
      </c>
      <c r="M100" s="911">
        <v>0</v>
      </c>
      <c r="N100" s="1596"/>
      <c r="O100" s="543">
        <f t="shared" si="10"/>
        <v>0</v>
      </c>
      <c r="P100" s="544">
        <f t="shared" si="11"/>
        <v>0</v>
      </c>
      <c r="Q100" s="545">
        <f t="shared" si="12"/>
        <v>0</v>
      </c>
      <c r="R100" s="1151"/>
      <c r="S100" s="543">
        <f t="shared" si="13"/>
        <v>0</v>
      </c>
      <c r="T100" s="1477" t="str">
        <f t="shared" si="14"/>
        <v>0</v>
      </c>
    </row>
    <row r="101" spans="1:20" s="1645" customFormat="1" ht="15" customHeight="1" thickBot="1">
      <c r="A101" s="1643"/>
      <c r="B101" s="1658" t="s">
        <v>622</v>
      </c>
      <c r="C101" s="1659"/>
      <c r="D101" s="1672">
        <v>3.0824079267758209</v>
      </c>
      <c r="E101" s="1673">
        <v>6.3736218198017367</v>
      </c>
      <c r="F101" s="1673">
        <v>6.0788809247971693</v>
      </c>
      <c r="G101" s="1673">
        <v>4.0188416791354129</v>
      </c>
      <c r="H101" s="1674">
        <v>3.5576103695795602</v>
      </c>
      <c r="I101" s="1675">
        <v>3.3914119305591184</v>
      </c>
      <c r="J101" s="1673">
        <v>3.3194718175103191</v>
      </c>
      <c r="K101" s="1673">
        <v>3.4186178169478416</v>
      </c>
      <c r="L101" s="1673">
        <v>3.4105264118993706</v>
      </c>
      <c r="M101" s="1674">
        <v>3.5498454851276877</v>
      </c>
      <c r="N101" s="1596"/>
      <c r="O101" s="1486">
        <f t="shared" si="10"/>
        <v>19.553752350510141</v>
      </c>
      <c r="P101" s="1487">
        <f t="shared" si="11"/>
        <v>3.5576103695795602</v>
      </c>
      <c r="Q101" s="1488">
        <f t="shared" si="12"/>
        <v>23.111362720089701</v>
      </c>
      <c r="R101" s="1151"/>
      <c r="S101" s="1486">
        <f t="shared" si="13"/>
        <v>17.089873462044338</v>
      </c>
      <c r="T101" s="1489">
        <f t="shared" si="14"/>
        <v>-0.26054237177503797</v>
      </c>
    </row>
    <row r="102" spans="1:20" s="1645" customFormat="1" ht="15" customHeight="1">
      <c r="A102" s="1643"/>
      <c r="B102" s="1596"/>
      <c r="C102" s="1596"/>
      <c r="D102" s="1596"/>
      <c r="E102" s="1596"/>
      <c r="F102" s="1596"/>
      <c r="G102" s="1596"/>
      <c r="H102" s="1596"/>
      <c r="I102" s="1596"/>
      <c r="J102" s="1596"/>
      <c r="K102" s="1596"/>
      <c r="L102" s="1596"/>
      <c r="M102" s="1596"/>
      <c r="N102" s="1596"/>
      <c r="O102" s="1596"/>
      <c r="P102" s="1596"/>
      <c r="Q102" s="1596"/>
    </row>
    <row r="103" spans="1:20" s="1645" customFormat="1" ht="15" customHeight="1">
      <c r="A103" s="1643"/>
      <c r="B103" s="1596"/>
      <c r="C103" s="1596"/>
      <c r="D103" s="1596"/>
      <c r="E103" s="1596"/>
      <c r="F103" s="1596"/>
      <c r="G103" s="1596"/>
      <c r="H103" s="1596"/>
      <c r="I103" s="1596"/>
      <c r="J103" s="1596"/>
      <c r="K103" s="1596"/>
      <c r="L103" s="1596"/>
      <c r="M103" s="1596"/>
      <c r="N103" s="1596"/>
      <c r="O103" s="1596"/>
      <c r="P103" s="1596"/>
      <c r="Q103" s="1596"/>
    </row>
    <row r="104" spans="1:20" s="1645" customFormat="1" ht="15" customHeight="1">
      <c r="A104" s="1643"/>
      <c r="B104" s="1155" t="s">
        <v>623</v>
      </c>
      <c r="C104" s="1596"/>
      <c r="D104" s="1596"/>
      <c r="E104" s="1596"/>
      <c r="F104" s="1596"/>
      <c r="G104" s="1596"/>
      <c r="H104" s="1596"/>
      <c r="I104" s="1596"/>
      <c r="J104" s="1596"/>
      <c r="K104" s="1596"/>
      <c r="L104" s="1596"/>
      <c r="M104" s="1596"/>
      <c r="N104" s="1596"/>
      <c r="O104" s="1596"/>
      <c r="P104" s="1596"/>
      <c r="Q104" s="1596"/>
    </row>
    <row r="105" spans="1:20" s="1645" customFormat="1" ht="15" customHeight="1" thickBot="1">
      <c r="A105" s="1643"/>
      <c r="B105" s="1596"/>
      <c r="C105" s="1596"/>
      <c r="D105" s="1596"/>
      <c r="E105" s="1596"/>
      <c r="F105" s="1596"/>
      <c r="G105" s="1596"/>
      <c r="H105" s="1596"/>
      <c r="I105" s="1596"/>
      <c r="J105" s="1596"/>
      <c r="K105" s="1596"/>
      <c r="L105" s="1596"/>
      <c r="M105" s="1596"/>
      <c r="N105" s="1596"/>
      <c r="O105" s="1596"/>
      <c r="P105" s="1596"/>
      <c r="Q105" s="1596"/>
    </row>
    <row r="106" spans="1:20" s="1645" customFormat="1" ht="15" customHeight="1">
      <c r="A106" s="1643"/>
      <c r="B106" s="1961" t="s">
        <v>113</v>
      </c>
      <c r="C106" s="1962"/>
      <c r="D106" s="1647" t="s">
        <v>114</v>
      </c>
      <c r="E106" s="1647"/>
      <c r="F106" s="1647"/>
      <c r="G106" s="1647"/>
      <c r="H106" s="1648"/>
      <c r="I106" s="1646" t="s">
        <v>115</v>
      </c>
      <c r="J106" s="1647"/>
      <c r="K106" s="1647"/>
      <c r="L106" s="1647"/>
      <c r="M106" s="1648"/>
      <c r="N106" s="1596"/>
      <c r="O106" s="1463" t="s">
        <v>116</v>
      </c>
      <c r="P106" s="1464"/>
      <c r="Q106" s="1465"/>
      <c r="R106" s="1151"/>
      <c r="S106" s="1463" t="s">
        <v>117</v>
      </c>
      <c r="T106" s="1465"/>
    </row>
    <row r="107" spans="1:20" s="1645" customFormat="1" ht="15" customHeight="1">
      <c r="A107" s="1643"/>
      <c r="B107" s="1963"/>
      <c r="C107" s="1964"/>
      <c r="D107" s="1652" t="s">
        <v>32</v>
      </c>
      <c r="E107" s="1650" t="s">
        <v>33</v>
      </c>
      <c r="F107" s="1650" t="s">
        <v>29</v>
      </c>
      <c r="G107" s="1650" t="s">
        <v>34</v>
      </c>
      <c r="H107" s="1651" t="s">
        <v>35</v>
      </c>
      <c r="I107" s="1649" t="s">
        <v>118</v>
      </c>
      <c r="J107" s="1650" t="s">
        <v>136</v>
      </c>
      <c r="K107" s="1650" t="s">
        <v>137</v>
      </c>
      <c r="L107" s="1650" t="s">
        <v>138</v>
      </c>
      <c r="M107" s="1651" t="s">
        <v>624</v>
      </c>
      <c r="N107" s="1596"/>
      <c r="O107" s="1470" t="s">
        <v>126</v>
      </c>
      <c r="P107" s="1471" t="s">
        <v>127</v>
      </c>
      <c r="Q107" s="1472" t="s">
        <v>246</v>
      </c>
      <c r="R107" s="1151"/>
      <c r="S107" s="1470" t="s">
        <v>127</v>
      </c>
      <c r="T107" s="1472" t="s">
        <v>128</v>
      </c>
    </row>
    <row r="108" spans="1:20" s="1645" customFormat="1" ht="15" customHeight="1">
      <c r="A108" s="1643"/>
      <c r="B108" s="1965"/>
      <c r="C108" s="1966"/>
      <c r="D108" s="1652" t="s">
        <v>14</v>
      </c>
      <c r="E108" s="1650" t="s">
        <v>14</v>
      </c>
      <c r="F108" s="1650" t="s">
        <v>14</v>
      </c>
      <c r="G108" s="1650" t="s">
        <v>14</v>
      </c>
      <c r="H108" s="1651" t="s">
        <v>14</v>
      </c>
      <c r="I108" s="1649" t="s">
        <v>14</v>
      </c>
      <c r="J108" s="1650" t="s">
        <v>14</v>
      </c>
      <c r="K108" s="1650" t="s">
        <v>14</v>
      </c>
      <c r="L108" s="1650" t="s">
        <v>14</v>
      </c>
      <c r="M108" s="1651" t="s">
        <v>14</v>
      </c>
      <c r="N108" s="1596"/>
      <c r="O108" s="1543"/>
      <c r="P108" s="1544"/>
      <c r="Q108" s="1545"/>
      <c r="R108" s="1151"/>
      <c r="S108" s="1653"/>
      <c r="T108" s="1654"/>
    </row>
    <row r="109" spans="1:20" s="1645" customFormat="1" ht="15" customHeight="1">
      <c r="A109" s="1643"/>
      <c r="B109" s="1968" t="s">
        <v>625</v>
      </c>
      <c r="C109" s="1676" t="s">
        <v>626</v>
      </c>
      <c r="D109" s="902">
        <v>0</v>
      </c>
      <c r="E109" s="905">
        <v>0</v>
      </c>
      <c r="F109" s="905">
        <v>0</v>
      </c>
      <c r="G109" s="905">
        <v>0</v>
      </c>
      <c r="H109" s="906">
        <v>0.77822726834552869</v>
      </c>
      <c r="I109" s="904">
        <v>0</v>
      </c>
      <c r="J109" s="905">
        <v>0</v>
      </c>
      <c r="K109" s="905">
        <v>0</v>
      </c>
      <c r="L109" s="905">
        <v>0</v>
      </c>
      <c r="M109" s="906">
        <v>0</v>
      </c>
      <c r="N109" s="1596"/>
      <c r="O109" s="543">
        <f t="shared" ref="O109:O138" si="15">SUM(D109:G109)</f>
        <v>0</v>
      </c>
      <c r="P109" s="544">
        <f t="shared" ref="P109:P138" si="16">H109</f>
        <v>0.77822726834552869</v>
      </c>
      <c r="Q109" s="545">
        <f t="shared" ref="Q109:Q138" si="17">SUM(D109:H109)</f>
        <v>0.77822726834552869</v>
      </c>
      <c r="R109" s="1151"/>
      <c r="S109" s="543">
        <f t="shared" ref="S109:S138" si="18">SUM(I109:M109)</f>
        <v>0</v>
      </c>
      <c r="T109" s="1677">
        <f>IF(Q109&lt;&gt;0,(S109-Q109)/Q109,"0")</f>
        <v>-1</v>
      </c>
    </row>
    <row r="110" spans="1:20" s="1645" customFormat="1" ht="15" customHeight="1">
      <c r="A110" s="1643"/>
      <c r="B110" s="1970"/>
      <c r="C110" s="1676" t="s">
        <v>627</v>
      </c>
      <c r="D110" s="907">
        <v>0</v>
      </c>
      <c r="E110" s="910">
        <v>0.39835136373760854</v>
      </c>
      <c r="F110" s="910">
        <v>0.39861514260965047</v>
      </c>
      <c r="G110" s="910">
        <v>1.004710419783853</v>
      </c>
      <c r="H110" s="911">
        <v>0.66705194429616743</v>
      </c>
      <c r="I110" s="909">
        <v>1.0598162282997243</v>
      </c>
      <c r="J110" s="910">
        <v>1.1410684372691722</v>
      </c>
      <c r="K110" s="910">
        <v>1.2431337516173968</v>
      </c>
      <c r="L110" s="910">
        <v>1.3435407077179335</v>
      </c>
      <c r="M110" s="911">
        <v>1.4617010821114007</v>
      </c>
      <c r="N110" s="1596"/>
      <c r="O110" s="543">
        <f t="shared" si="15"/>
        <v>1.8016769261311121</v>
      </c>
      <c r="P110" s="544">
        <f t="shared" si="16"/>
        <v>0.66705194429616743</v>
      </c>
      <c r="Q110" s="545">
        <f t="shared" si="17"/>
        <v>2.4687288704272796</v>
      </c>
      <c r="R110" s="1151"/>
      <c r="S110" s="543">
        <f t="shared" si="18"/>
        <v>6.2492602070156282</v>
      </c>
      <c r="T110" s="1677">
        <f t="shared" ref="T110:T138" si="19">IF(Q110&lt;&gt;0,(S110-Q110)/Q110,"0")</f>
        <v>1.531367572144132</v>
      </c>
    </row>
    <row r="111" spans="1:20" s="1645" customFormat="1" ht="15" customHeight="1">
      <c r="A111" s="1643"/>
      <c r="B111" s="1970"/>
      <c r="C111" s="1676" t="s">
        <v>628</v>
      </c>
      <c r="D111" s="907">
        <v>0</v>
      </c>
      <c r="E111" s="910">
        <v>0.19917568186880427</v>
      </c>
      <c r="F111" s="910">
        <v>0.19930757130482524</v>
      </c>
      <c r="G111" s="910">
        <v>0.55817245543547389</v>
      </c>
      <c r="H111" s="911">
        <v>0.33352597214808372</v>
      </c>
      <c r="I111" s="909">
        <v>1.8016875881095318</v>
      </c>
      <c r="J111" s="910">
        <v>1.8672028973495542</v>
      </c>
      <c r="K111" s="910">
        <v>2.0718895860289948</v>
      </c>
      <c r="L111" s="910">
        <v>2.1703349893905082</v>
      </c>
      <c r="M111" s="911">
        <v>2.296958843317916</v>
      </c>
      <c r="N111" s="1596"/>
      <c r="O111" s="543">
        <f t="shared" si="15"/>
        <v>0.95665570860910343</v>
      </c>
      <c r="P111" s="544">
        <f t="shared" si="16"/>
        <v>0.33352597214808372</v>
      </c>
      <c r="Q111" s="545">
        <f t="shared" si="17"/>
        <v>1.2901816807571871</v>
      </c>
      <c r="R111" s="1151"/>
      <c r="S111" s="543">
        <f t="shared" si="18"/>
        <v>10.208073904196503</v>
      </c>
      <c r="T111" s="1677">
        <f t="shared" si="19"/>
        <v>6.9121212589265317</v>
      </c>
    </row>
    <row r="112" spans="1:20" s="1645" customFormat="1" ht="15" customHeight="1">
      <c r="A112" s="1643"/>
      <c r="B112" s="1970"/>
      <c r="C112" s="1676" t="s">
        <v>629</v>
      </c>
      <c r="D112" s="907">
        <v>0</v>
      </c>
      <c r="E112" s="910">
        <v>0</v>
      </c>
      <c r="F112" s="910">
        <v>0</v>
      </c>
      <c r="G112" s="910">
        <v>0</v>
      </c>
      <c r="H112" s="911">
        <v>0</v>
      </c>
      <c r="I112" s="909">
        <v>0</v>
      </c>
      <c r="J112" s="910">
        <v>0</v>
      </c>
      <c r="K112" s="910">
        <v>0</v>
      </c>
      <c r="L112" s="910">
        <v>0</v>
      </c>
      <c r="M112" s="911">
        <v>0</v>
      </c>
      <c r="N112" s="1596"/>
      <c r="O112" s="543">
        <f t="shared" si="15"/>
        <v>0</v>
      </c>
      <c r="P112" s="544">
        <f t="shared" si="16"/>
        <v>0</v>
      </c>
      <c r="Q112" s="545">
        <f t="shared" si="17"/>
        <v>0</v>
      </c>
      <c r="R112" s="1151"/>
      <c r="S112" s="543">
        <f t="shared" si="18"/>
        <v>0</v>
      </c>
      <c r="T112" s="1677" t="str">
        <f t="shared" si="19"/>
        <v>0</v>
      </c>
    </row>
    <row r="113" spans="1:20" s="1645" customFormat="1" ht="15" customHeight="1">
      <c r="A113" s="1643"/>
      <c r="B113" s="1970"/>
      <c r="C113" s="1676" t="s">
        <v>630</v>
      </c>
      <c r="D113" s="907">
        <v>0</v>
      </c>
      <c r="E113" s="910">
        <v>0</v>
      </c>
      <c r="F113" s="910">
        <v>0</v>
      </c>
      <c r="G113" s="910">
        <v>0</v>
      </c>
      <c r="H113" s="911">
        <v>0</v>
      </c>
      <c r="I113" s="909">
        <v>0</v>
      </c>
      <c r="J113" s="910">
        <v>0</v>
      </c>
      <c r="K113" s="910">
        <v>0</v>
      </c>
      <c r="L113" s="910">
        <v>0</v>
      </c>
      <c r="M113" s="911">
        <v>0</v>
      </c>
      <c r="N113" s="1596"/>
      <c r="O113" s="543">
        <f t="shared" si="15"/>
        <v>0</v>
      </c>
      <c r="P113" s="544">
        <f t="shared" si="16"/>
        <v>0</v>
      </c>
      <c r="Q113" s="545">
        <f t="shared" si="17"/>
        <v>0</v>
      </c>
      <c r="R113" s="1151"/>
      <c r="S113" s="543">
        <f t="shared" si="18"/>
        <v>0</v>
      </c>
      <c r="T113" s="1677" t="str">
        <f t="shared" si="19"/>
        <v>0</v>
      </c>
    </row>
    <row r="114" spans="1:20" s="1645" customFormat="1" ht="15" customHeight="1">
      <c r="A114" s="1643"/>
      <c r="B114" s="1971"/>
      <c r="C114" s="1678" t="s">
        <v>717</v>
      </c>
      <c r="D114" s="920">
        <v>0</v>
      </c>
      <c r="E114" s="920">
        <v>0.59752704560641279</v>
      </c>
      <c r="F114" s="920">
        <v>0.59792271391447571</v>
      </c>
      <c r="G114" s="920">
        <v>1.5628828752193269</v>
      </c>
      <c r="H114" s="921">
        <v>1.7788051847897797</v>
      </c>
      <c r="I114" s="922">
        <v>2.8615038164092561</v>
      </c>
      <c r="J114" s="920">
        <v>3.0082713346187262</v>
      </c>
      <c r="K114" s="920">
        <v>3.3150233376463918</v>
      </c>
      <c r="L114" s="920">
        <v>3.5138756971084417</v>
      </c>
      <c r="M114" s="921">
        <v>3.7586599254293169</v>
      </c>
      <c r="N114" s="1596"/>
      <c r="O114" s="543">
        <f t="shared" si="15"/>
        <v>2.7583326347402153</v>
      </c>
      <c r="P114" s="544">
        <f t="shared" si="16"/>
        <v>1.7788051847897797</v>
      </c>
      <c r="Q114" s="545">
        <f t="shared" si="17"/>
        <v>4.5371378195299954</v>
      </c>
      <c r="R114" s="1151"/>
      <c r="S114" s="543">
        <f t="shared" si="18"/>
        <v>16.457334111212134</v>
      </c>
      <c r="T114" s="1677">
        <f t="shared" si="19"/>
        <v>2.6272502105560811</v>
      </c>
    </row>
    <row r="115" spans="1:20" s="1645" customFormat="1" ht="15" customHeight="1">
      <c r="A115" s="1643"/>
      <c r="B115" s="1968" t="s">
        <v>239</v>
      </c>
      <c r="C115" s="1676" t="s">
        <v>626</v>
      </c>
      <c r="D115" s="907">
        <v>5.468788257182907</v>
      </c>
      <c r="E115" s="910">
        <v>8.6641421612929843</v>
      </c>
      <c r="F115" s="910">
        <v>9.7660709939364363</v>
      </c>
      <c r="G115" s="910">
        <v>11.833256055232045</v>
      </c>
      <c r="H115" s="911">
        <v>9.4499025441957052</v>
      </c>
      <c r="I115" s="909">
        <v>9.8562909231874372</v>
      </c>
      <c r="J115" s="910">
        <v>8.9210805095589798</v>
      </c>
      <c r="K115" s="910">
        <v>8.287558344115979</v>
      </c>
      <c r="L115" s="910">
        <v>7.751196390680386</v>
      </c>
      <c r="M115" s="911">
        <v>7.3085054105570046</v>
      </c>
      <c r="N115" s="1596"/>
      <c r="O115" s="543">
        <f t="shared" si="15"/>
        <v>35.732257467644374</v>
      </c>
      <c r="P115" s="544">
        <f t="shared" si="16"/>
        <v>9.4499025441957052</v>
      </c>
      <c r="Q115" s="545">
        <f t="shared" si="17"/>
        <v>45.182160011840082</v>
      </c>
      <c r="R115" s="1151"/>
      <c r="S115" s="543">
        <f t="shared" si="18"/>
        <v>42.124631578099788</v>
      </c>
      <c r="T115" s="1677">
        <f t="shared" si="19"/>
        <v>-6.7671143498652192E-2</v>
      </c>
    </row>
    <row r="116" spans="1:20" s="1645" customFormat="1" ht="15" customHeight="1">
      <c r="A116" s="1643"/>
      <c r="B116" s="1970"/>
      <c r="C116" s="1676" t="s">
        <v>627</v>
      </c>
      <c r="D116" s="907">
        <v>0</v>
      </c>
      <c r="E116" s="910">
        <v>0</v>
      </c>
      <c r="F116" s="910">
        <v>0</v>
      </c>
      <c r="G116" s="910">
        <v>0</v>
      </c>
      <c r="H116" s="911">
        <v>0</v>
      </c>
      <c r="I116" s="909">
        <v>0</v>
      </c>
      <c r="J116" s="910">
        <v>0</v>
      </c>
      <c r="K116" s="910">
        <v>0</v>
      </c>
      <c r="L116" s="910">
        <v>0</v>
      </c>
      <c r="M116" s="911">
        <v>0</v>
      </c>
      <c r="N116" s="1596"/>
      <c r="O116" s="543">
        <f t="shared" si="15"/>
        <v>0</v>
      </c>
      <c r="P116" s="544">
        <f t="shared" si="16"/>
        <v>0</v>
      </c>
      <c r="Q116" s="545">
        <f t="shared" si="17"/>
        <v>0</v>
      </c>
      <c r="R116" s="1151"/>
      <c r="S116" s="543">
        <f t="shared" si="18"/>
        <v>0</v>
      </c>
      <c r="T116" s="1677" t="str">
        <f t="shared" si="19"/>
        <v>0</v>
      </c>
    </row>
    <row r="117" spans="1:20" s="1645" customFormat="1" ht="15" customHeight="1">
      <c r="A117" s="1643"/>
      <c r="B117" s="1970"/>
      <c r="C117" s="1676" t="s">
        <v>628</v>
      </c>
      <c r="D117" s="907">
        <v>0.29829754130088582</v>
      </c>
      <c r="E117" s="910">
        <v>0.39835136373760854</v>
      </c>
      <c r="F117" s="910">
        <v>0.49826892826206309</v>
      </c>
      <c r="G117" s="910">
        <v>0.55817245543547389</v>
      </c>
      <c r="H117" s="911">
        <v>0.55587662024680617</v>
      </c>
      <c r="I117" s="909">
        <v>0</v>
      </c>
      <c r="J117" s="910">
        <v>0</v>
      </c>
      <c r="K117" s="910">
        <v>0</v>
      </c>
      <c r="L117" s="910">
        <v>0</v>
      </c>
      <c r="M117" s="911">
        <v>0</v>
      </c>
      <c r="N117" s="1596"/>
      <c r="O117" s="543">
        <f t="shared" si="15"/>
        <v>1.7530902887360313</v>
      </c>
      <c r="P117" s="544">
        <f t="shared" si="16"/>
        <v>0.55587662024680617</v>
      </c>
      <c r="Q117" s="545">
        <f t="shared" si="17"/>
        <v>2.3089669089828373</v>
      </c>
      <c r="R117" s="1151"/>
      <c r="S117" s="543">
        <f t="shared" si="18"/>
        <v>0</v>
      </c>
      <c r="T117" s="1677">
        <f t="shared" si="19"/>
        <v>-1</v>
      </c>
    </row>
    <row r="118" spans="1:20" s="1645" customFormat="1" ht="15" customHeight="1">
      <c r="A118" s="1643"/>
      <c r="B118" s="1970"/>
      <c r="C118" s="1676" t="s">
        <v>629</v>
      </c>
      <c r="D118" s="907">
        <v>0</v>
      </c>
      <c r="E118" s="910">
        <v>0</v>
      </c>
      <c r="F118" s="910">
        <v>0</v>
      </c>
      <c r="G118" s="910">
        <v>0</v>
      </c>
      <c r="H118" s="911">
        <v>0</v>
      </c>
      <c r="I118" s="909">
        <v>0</v>
      </c>
      <c r="J118" s="910">
        <v>0</v>
      </c>
      <c r="K118" s="910">
        <v>0</v>
      </c>
      <c r="L118" s="910">
        <v>0</v>
      </c>
      <c r="M118" s="911">
        <v>0</v>
      </c>
      <c r="N118" s="1596"/>
      <c r="O118" s="543">
        <f t="shared" si="15"/>
        <v>0</v>
      </c>
      <c r="P118" s="544">
        <f t="shared" si="16"/>
        <v>0</v>
      </c>
      <c r="Q118" s="545">
        <f t="shared" si="17"/>
        <v>0</v>
      </c>
      <c r="R118" s="1151"/>
      <c r="S118" s="543">
        <f t="shared" si="18"/>
        <v>0</v>
      </c>
      <c r="T118" s="1677" t="str">
        <f t="shared" si="19"/>
        <v>0</v>
      </c>
    </row>
    <row r="119" spans="1:20" s="1645" customFormat="1" ht="15" customHeight="1">
      <c r="A119" s="1643"/>
      <c r="B119" s="1970"/>
      <c r="C119" s="1676" t="s">
        <v>630</v>
      </c>
      <c r="D119" s="907">
        <v>0</v>
      </c>
      <c r="E119" s="910">
        <v>0</v>
      </c>
      <c r="F119" s="910">
        <v>0</v>
      </c>
      <c r="G119" s="910">
        <v>0</v>
      </c>
      <c r="H119" s="911">
        <v>0</v>
      </c>
      <c r="I119" s="909">
        <v>0</v>
      </c>
      <c r="J119" s="910">
        <v>0</v>
      </c>
      <c r="K119" s="910">
        <v>0</v>
      </c>
      <c r="L119" s="910">
        <v>0</v>
      </c>
      <c r="M119" s="911">
        <v>0</v>
      </c>
      <c r="N119" s="1596"/>
      <c r="O119" s="543">
        <f t="shared" si="15"/>
        <v>0</v>
      </c>
      <c r="P119" s="544">
        <f t="shared" si="16"/>
        <v>0</v>
      </c>
      <c r="Q119" s="545">
        <f t="shared" si="17"/>
        <v>0</v>
      </c>
      <c r="R119" s="1151"/>
      <c r="S119" s="543">
        <f t="shared" si="18"/>
        <v>0</v>
      </c>
      <c r="T119" s="1677" t="str">
        <f t="shared" si="19"/>
        <v>0</v>
      </c>
    </row>
    <row r="120" spans="1:20" s="1645" customFormat="1" ht="15" customHeight="1">
      <c r="A120" s="1643"/>
      <c r="B120" s="1971"/>
      <c r="C120" s="1678" t="s">
        <v>717</v>
      </c>
      <c r="D120" s="920">
        <v>5.7670857984837927</v>
      </c>
      <c r="E120" s="920">
        <v>9.0624935250305931</v>
      </c>
      <c r="F120" s="920">
        <v>10.264339922198499</v>
      </c>
      <c r="G120" s="920">
        <v>12.391428510667518</v>
      </c>
      <c r="H120" s="921">
        <v>10.005779164442512</v>
      </c>
      <c r="I120" s="922">
        <v>9.8562909231874372</v>
      </c>
      <c r="J120" s="920">
        <v>8.9210805095589798</v>
      </c>
      <c r="K120" s="920">
        <v>8.287558344115979</v>
      </c>
      <c r="L120" s="920">
        <v>7.751196390680386</v>
      </c>
      <c r="M120" s="921">
        <v>7.3085054105570046</v>
      </c>
      <c r="N120" s="1596"/>
      <c r="O120" s="543">
        <f t="shared" si="15"/>
        <v>37.485347756380399</v>
      </c>
      <c r="P120" s="544">
        <f t="shared" si="16"/>
        <v>10.005779164442512</v>
      </c>
      <c r="Q120" s="545">
        <f t="shared" si="17"/>
        <v>47.491126920822907</v>
      </c>
      <c r="R120" s="1151"/>
      <c r="S120" s="543">
        <f t="shared" si="18"/>
        <v>42.124631578099788</v>
      </c>
      <c r="T120" s="1677">
        <f t="shared" si="19"/>
        <v>-0.1129999579009807</v>
      </c>
    </row>
    <row r="121" spans="1:20" s="1645" customFormat="1" ht="15" customHeight="1">
      <c r="A121" s="1643"/>
      <c r="B121" s="1967" t="s">
        <v>718</v>
      </c>
      <c r="C121" s="1676" t="s">
        <v>626</v>
      </c>
      <c r="D121" s="907">
        <v>0.39773005506784781</v>
      </c>
      <c r="E121" s="910">
        <v>9.9587840934402136E-2</v>
      </c>
      <c r="F121" s="910">
        <v>0</v>
      </c>
      <c r="G121" s="910">
        <v>2.4559588039160856</v>
      </c>
      <c r="H121" s="911">
        <v>0.44470129619744503</v>
      </c>
      <c r="I121" s="909">
        <v>0.21196324565994493</v>
      </c>
      <c r="J121" s="910">
        <v>0</v>
      </c>
      <c r="K121" s="910">
        <v>0.82875583441159795</v>
      </c>
      <c r="L121" s="910">
        <v>0.41339714083628726</v>
      </c>
      <c r="M121" s="911">
        <v>0</v>
      </c>
      <c r="N121" s="1596"/>
      <c r="O121" s="543">
        <f t="shared" si="15"/>
        <v>2.9532766999183355</v>
      </c>
      <c r="P121" s="544">
        <f t="shared" si="16"/>
        <v>0.44470129619744503</v>
      </c>
      <c r="Q121" s="545">
        <f t="shared" si="17"/>
        <v>3.3979779961157806</v>
      </c>
      <c r="R121" s="1151"/>
      <c r="S121" s="543">
        <f t="shared" si="18"/>
        <v>1.4541162209078302</v>
      </c>
      <c r="T121" s="1677">
        <f t="shared" si="19"/>
        <v>-0.57206426216708095</v>
      </c>
    </row>
    <row r="122" spans="1:20" s="1645" customFormat="1" ht="15" customHeight="1">
      <c r="A122" s="1643"/>
      <c r="B122" s="1968"/>
      <c r="C122" s="1676" t="s">
        <v>627</v>
      </c>
      <c r="D122" s="907">
        <v>0</v>
      </c>
      <c r="E122" s="910">
        <v>0</v>
      </c>
      <c r="F122" s="910">
        <v>0</v>
      </c>
      <c r="G122" s="910">
        <v>0</v>
      </c>
      <c r="H122" s="911">
        <v>0</v>
      </c>
      <c r="I122" s="909">
        <v>0.21196324565994493</v>
      </c>
      <c r="J122" s="910">
        <v>3.8381392889963055</v>
      </c>
      <c r="K122" s="910">
        <v>1.8647006274260953</v>
      </c>
      <c r="L122" s="910">
        <v>5.4775121160808053</v>
      </c>
      <c r="M122" s="911">
        <v>2.5057732836195439</v>
      </c>
      <c r="N122" s="1596"/>
      <c r="O122" s="543">
        <f t="shared" si="15"/>
        <v>0</v>
      </c>
      <c r="P122" s="544">
        <f t="shared" si="16"/>
        <v>0</v>
      </c>
      <c r="Q122" s="545">
        <f t="shared" si="17"/>
        <v>0</v>
      </c>
      <c r="R122" s="1151"/>
      <c r="S122" s="543">
        <f t="shared" si="18"/>
        <v>13.898088561782695</v>
      </c>
      <c r="T122" s="1677" t="str">
        <f t="shared" si="19"/>
        <v>0</v>
      </c>
    </row>
    <row r="123" spans="1:20" s="1645" customFormat="1" ht="15" customHeight="1">
      <c r="A123" s="1643"/>
      <c r="B123" s="1968"/>
      <c r="C123" s="1676" t="s">
        <v>628</v>
      </c>
      <c r="D123" s="907">
        <v>0</v>
      </c>
      <c r="E123" s="910">
        <v>0</v>
      </c>
      <c r="F123" s="910">
        <v>0</v>
      </c>
      <c r="G123" s="910">
        <v>0</v>
      </c>
      <c r="H123" s="911">
        <v>0</v>
      </c>
      <c r="I123" s="909">
        <v>0</v>
      </c>
      <c r="J123" s="910">
        <v>0</v>
      </c>
      <c r="K123" s="910">
        <v>0</v>
      </c>
      <c r="L123" s="910">
        <v>0</v>
      </c>
      <c r="M123" s="911">
        <v>0</v>
      </c>
      <c r="N123" s="1596"/>
      <c r="O123" s="543">
        <f t="shared" si="15"/>
        <v>0</v>
      </c>
      <c r="P123" s="544">
        <f t="shared" si="16"/>
        <v>0</v>
      </c>
      <c r="Q123" s="545">
        <f t="shared" si="17"/>
        <v>0</v>
      </c>
      <c r="R123" s="1151"/>
      <c r="S123" s="543">
        <f t="shared" si="18"/>
        <v>0</v>
      </c>
      <c r="T123" s="1677" t="str">
        <f t="shared" si="19"/>
        <v>0</v>
      </c>
    </row>
    <row r="124" spans="1:20" s="1645" customFormat="1" ht="15" customHeight="1">
      <c r="A124" s="1643"/>
      <c r="B124" s="1968"/>
      <c r="C124" s="1676" t="s">
        <v>630</v>
      </c>
      <c r="D124" s="907">
        <v>0</v>
      </c>
      <c r="E124" s="910">
        <v>0</v>
      </c>
      <c r="F124" s="910">
        <v>0</v>
      </c>
      <c r="G124" s="910">
        <v>0</v>
      </c>
      <c r="H124" s="911">
        <v>0</v>
      </c>
      <c r="I124" s="909">
        <v>0</v>
      </c>
      <c r="J124" s="910">
        <v>0</v>
      </c>
      <c r="K124" s="910">
        <v>0</v>
      </c>
      <c r="L124" s="910">
        <v>0</v>
      </c>
      <c r="M124" s="911">
        <v>0</v>
      </c>
      <c r="N124" s="1596"/>
      <c r="O124" s="543">
        <f t="shared" si="15"/>
        <v>0</v>
      </c>
      <c r="P124" s="544">
        <f t="shared" si="16"/>
        <v>0</v>
      </c>
      <c r="Q124" s="545">
        <f t="shared" si="17"/>
        <v>0</v>
      </c>
      <c r="R124" s="1151"/>
      <c r="S124" s="543">
        <f t="shared" si="18"/>
        <v>0</v>
      </c>
      <c r="T124" s="1677" t="str">
        <f t="shared" si="19"/>
        <v>0</v>
      </c>
    </row>
    <row r="125" spans="1:20" s="1645" customFormat="1" ht="15" customHeight="1">
      <c r="A125" s="1643"/>
      <c r="B125" s="1967" t="s">
        <v>719</v>
      </c>
      <c r="C125" s="1676" t="s">
        <v>720</v>
      </c>
      <c r="D125" s="907">
        <v>0</v>
      </c>
      <c r="E125" s="910">
        <v>0</v>
      </c>
      <c r="F125" s="910">
        <v>0</v>
      </c>
      <c r="G125" s="910">
        <v>0</v>
      </c>
      <c r="H125" s="911">
        <v>0</v>
      </c>
      <c r="I125" s="909">
        <v>0</v>
      </c>
      <c r="J125" s="910">
        <v>0</v>
      </c>
      <c r="K125" s="910">
        <v>0</v>
      </c>
      <c r="L125" s="910">
        <v>0</v>
      </c>
      <c r="M125" s="911">
        <v>0</v>
      </c>
      <c r="N125" s="1596"/>
      <c r="O125" s="543">
        <f t="shared" si="15"/>
        <v>0</v>
      </c>
      <c r="P125" s="544">
        <f t="shared" si="16"/>
        <v>0</v>
      </c>
      <c r="Q125" s="545">
        <f t="shared" si="17"/>
        <v>0</v>
      </c>
      <c r="R125" s="1151"/>
      <c r="S125" s="543">
        <f t="shared" si="18"/>
        <v>0</v>
      </c>
      <c r="T125" s="1677" t="str">
        <f t="shared" si="19"/>
        <v>0</v>
      </c>
    </row>
    <row r="126" spans="1:20" s="1645" customFormat="1" ht="15" customHeight="1">
      <c r="A126" s="1643"/>
      <c r="B126" s="1968"/>
      <c r="C126" s="1678" t="s">
        <v>721</v>
      </c>
      <c r="D126" s="907">
        <v>0</v>
      </c>
      <c r="E126" s="910">
        <v>0</v>
      </c>
      <c r="F126" s="910">
        <v>0</v>
      </c>
      <c r="G126" s="910">
        <v>0</v>
      </c>
      <c r="H126" s="911">
        <v>0</v>
      </c>
      <c r="I126" s="909">
        <v>0</v>
      </c>
      <c r="J126" s="910">
        <v>0</v>
      </c>
      <c r="K126" s="910">
        <v>0</v>
      </c>
      <c r="L126" s="910">
        <v>0</v>
      </c>
      <c r="M126" s="911">
        <v>0</v>
      </c>
      <c r="N126" s="1596"/>
      <c r="O126" s="543">
        <f t="shared" si="15"/>
        <v>0</v>
      </c>
      <c r="P126" s="544">
        <f t="shared" si="16"/>
        <v>0</v>
      </c>
      <c r="Q126" s="545">
        <f t="shared" si="17"/>
        <v>0</v>
      </c>
      <c r="R126" s="1151"/>
      <c r="S126" s="543">
        <f t="shared" si="18"/>
        <v>0</v>
      </c>
      <c r="T126" s="1677" t="str">
        <f t="shared" si="19"/>
        <v>0</v>
      </c>
    </row>
    <row r="127" spans="1:20" s="1645" customFormat="1" ht="15" customHeight="1">
      <c r="A127" s="1643"/>
      <c r="B127" s="1968"/>
      <c r="C127" s="1676" t="s">
        <v>628</v>
      </c>
      <c r="D127" s="907">
        <v>0</v>
      </c>
      <c r="E127" s="907">
        <v>0</v>
      </c>
      <c r="F127" s="907">
        <v>0</v>
      </c>
      <c r="G127" s="907">
        <v>0</v>
      </c>
      <c r="H127" s="908">
        <v>0</v>
      </c>
      <c r="I127" s="909">
        <v>0</v>
      </c>
      <c r="J127" s="907">
        <v>0.20746698859439494</v>
      </c>
      <c r="K127" s="907">
        <v>0</v>
      </c>
      <c r="L127" s="907">
        <v>0</v>
      </c>
      <c r="M127" s="908">
        <v>0</v>
      </c>
      <c r="N127" s="1596"/>
      <c r="O127" s="543">
        <f t="shared" si="15"/>
        <v>0</v>
      </c>
      <c r="P127" s="544">
        <f t="shared" si="16"/>
        <v>0</v>
      </c>
      <c r="Q127" s="545">
        <f t="shared" si="17"/>
        <v>0</v>
      </c>
      <c r="R127" s="1151"/>
      <c r="S127" s="543">
        <f t="shared" si="18"/>
        <v>0.20746698859439494</v>
      </c>
      <c r="T127" s="1677" t="str">
        <f t="shared" si="19"/>
        <v>0</v>
      </c>
    </row>
    <row r="128" spans="1:20" s="1645" customFormat="1" ht="15" customHeight="1">
      <c r="A128" s="1643"/>
      <c r="B128" s="1968"/>
      <c r="C128" s="1676" t="s">
        <v>722</v>
      </c>
      <c r="D128" s="907">
        <v>0</v>
      </c>
      <c r="E128" s="907">
        <v>0</v>
      </c>
      <c r="F128" s="907">
        <v>0</v>
      </c>
      <c r="G128" s="907">
        <v>0</v>
      </c>
      <c r="H128" s="908">
        <v>0</v>
      </c>
      <c r="I128" s="909">
        <v>0</v>
      </c>
      <c r="J128" s="907">
        <v>0</v>
      </c>
      <c r="K128" s="907">
        <v>1.1395392723159472</v>
      </c>
      <c r="L128" s="907">
        <v>0.62009571125443086</v>
      </c>
      <c r="M128" s="908">
        <v>0</v>
      </c>
      <c r="N128" s="1596"/>
      <c r="O128" s="543">
        <f t="shared" si="15"/>
        <v>0</v>
      </c>
      <c r="P128" s="544">
        <f t="shared" si="16"/>
        <v>0</v>
      </c>
      <c r="Q128" s="545">
        <f t="shared" si="17"/>
        <v>0</v>
      </c>
      <c r="R128" s="1151"/>
      <c r="S128" s="543">
        <f t="shared" si="18"/>
        <v>1.7596349835703782</v>
      </c>
      <c r="T128" s="1677" t="str">
        <f t="shared" si="19"/>
        <v>0</v>
      </c>
    </row>
    <row r="129" spans="1:20" s="1645" customFormat="1" ht="15" customHeight="1">
      <c r="A129" s="1643"/>
      <c r="B129" s="1679" t="s">
        <v>723</v>
      </c>
      <c r="C129" s="1678" t="s">
        <v>717</v>
      </c>
      <c r="D129" s="920">
        <v>0.39773005506784781</v>
      </c>
      <c r="E129" s="920">
        <v>9.9587840934402136E-2</v>
      </c>
      <c r="F129" s="920">
        <v>0</v>
      </c>
      <c r="G129" s="920">
        <v>2.4559588039160856</v>
      </c>
      <c r="H129" s="921">
        <v>0.44470129619744503</v>
      </c>
      <c r="I129" s="922">
        <v>0.42392649131988985</v>
      </c>
      <c r="J129" s="920">
        <v>4.0456062775907</v>
      </c>
      <c r="K129" s="920">
        <v>3.8329957341536405</v>
      </c>
      <c r="L129" s="920">
        <v>6.5110049681715232</v>
      </c>
      <c r="M129" s="921">
        <v>2.5057732836195439</v>
      </c>
      <c r="N129" s="1596"/>
      <c r="O129" s="543">
        <f t="shared" si="15"/>
        <v>2.9532766999183355</v>
      </c>
      <c r="P129" s="544">
        <f t="shared" si="16"/>
        <v>0.44470129619744503</v>
      </c>
      <c r="Q129" s="545">
        <f t="shared" si="17"/>
        <v>3.3979779961157806</v>
      </c>
      <c r="R129" s="1151"/>
      <c r="S129" s="543">
        <f t="shared" si="18"/>
        <v>17.319306754855297</v>
      </c>
      <c r="T129" s="1677">
        <f t="shared" si="19"/>
        <v>4.096944940388946</v>
      </c>
    </row>
    <row r="130" spans="1:20" s="1645" customFormat="1" ht="15" customHeight="1">
      <c r="A130" s="1643"/>
      <c r="B130" s="1967" t="s">
        <v>724</v>
      </c>
      <c r="C130" s="1676" t="s">
        <v>626</v>
      </c>
      <c r="D130" s="907">
        <v>0</v>
      </c>
      <c r="E130" s="910">
        <v>0</v>
      </c>
      <c r="F130" s="910">
        <v>0</v>
      </c>
      <c r="G130" s="910">
        <v>0</v>
      </c>
      <c r="H130" s="911">
        <v>0</v>
      </c>
      <c r="I130" s="909">
        <v>0</v>
      </c>
      <c r="J130" s="910">
        <v>0</v>
      </c>
      <c r="K130" s="910">
        <v>0</v>
      </c>
      <c r="L130" s="910">
        <v>0</v>
      </c>
      <c r="M130" s="911">
        <v>0</v>
      </c>
      <c r="N130" s="1596"/>
      <c r="O130" s="543">
        <f t="shared" si="15"/>
        <v>0</v>
      </c>
      <c r="P130" s="544">
        <f t="shared" si="16"/>
        <v>0</v>
      </c>
      <c r="Q130" s="545">
        <f t="shared" si="17"/>
        <v>0</v>
      </c>
      <c r="R130" s="1151"/>
      <c r="S130" s="543">
        <f t="shared" si="18"/>
        <v>0</v>
      </c>
      <c r="T130" s="1677" t="str">
        <f t="shared" si="19"/>
        <v>0</v>
      </c>
    </row>
    <row r="131" spans="1:20" s="1645" customFormat="1" ht="15" customHeight="1">
      <c r="A131" s="1643"/>
      <c r="B131" s="1968"/>
      <c r="C131" s="1676" t="s">
        <v>627</v>
      </c>
      <c r="D131" s="907">
        <v>0</v>
      </c>
      <c r="E131" s="910">
        <v>0</v>
      </c>
      <c r="F131" s="910">
        <v>0</v>
      </c>
      <c r="G131" s="910">
        <v>0</v>
      </c>
      <c r="H131" s="911">
        <v>0</v>
      </c>
      <c r="I131" s="909">
        <v>0</v>
      </c>
      <c r="J131" s="910">
        <v>0</v>
      </c>
      <c r="K131" s="910">
        <v>0</v>
      </c>
      <c r="L131" s="910">
        <v>0</v>
      </c>
      <c r="M131" s="911">
        <v>0</v>
      </c>
      <c r="N131" s="1596"/>
      <c r="O131" s="543">
        <f t="shared" si="15"/>
        <v>0</v>
      </c>
      <c r="P131" s="544">
        <f t="shared" si="16"/>
        <v>0</v>
      </c>
      <c r="Q131" s="545">
        <f t="shared" si="17"/>
        <v>0</v>
      </c>
      <c r="R131" s="1151"/>
      <c r="S131" s="543">
        <f t="shared" si="18"/>
        <v>0</v>
      </c>
      <c r="T131" s="1677" t="str">
        <f t="shared" si="19"/>
        <v>0</v>
      </c>
    </row>
    <row r="132" spans="1:20" s="1645" customFormat="1" ht="15" customHeight="1">
      <c r="A132" s="1643"/>
      <c r="B132" s="1968"/>
      <c r="C132" s="1676" t="s">
        <v>628</v>
      </c>
      <c r="D132" s="907">
        <v>0</v>
      </c>
      <c r="E132" s="910">
        <v>0</v>
      </c>
      <c r="F132" s="910">
        <v>0</v>
      </c>
      <c r="G132" s="910">
        <v>0</v>
      </c>
      <c r="H132" s="911">
        <v>0</v>
      </c>
      <c r="I132" s="909">
        <v>0</v>
      </c>
      <c r="J132" s="910">
        <v>0</v>
      </c>
      <c r="K132" s="910">
        <v>0</v>
      </c>
      <c r="L132" s="910">
        <v>0</v>
      </c>
      <c r="M132" s="911">
        <v>0</v>
      </c>
      <c r="N132" s="1596"/>
      <c r="O132" s="543">
        <f t="shared" si="15"/>
        <v>0</v>
      </c>
      <c r="P132" s="544">
        <f t="shared" si="16"/>
        <v>0</v>
      </c>
      <c r="Q132" s="545">
        <f t="shared" si="17"/>
        <v>0</v>
      </c>
      <c r="R132" s="1151"/>
      <c r="S132" s="543">
        <f t="shared" si="18"/>
        <v>0</v>
      </c>
      <c r="T132" s="1677" t="str">
        <f t="shared" si="19"/>
        <v>0</v>
      </c>
    </row>
    <row r="133" spans="1:20" s="1645" customFormat="1" ht="15" customHeight="1">
      <c r="A133" s="1643"/>
      <c r="B133" s="1968"/>
      <c r="C133" s="1676" t="s">
        <v>630</v>
      </c>
      <c r="D133" s="907">
        <v>0</v>
      </c>
      <c r="E133" s="910">
        <v>0</v>
      </c>
      <c r="F133" s="910">
        <v>0</v>
      </c>
      <c r="G133" s="910">
        <v>0</v>
      </c>
      <c r="H133" s="911">
        <v>0</v>
      </c>
      <c r="I133" s="909">
        <v>0</v>
      </c>
      <c r="J133" s="910">
        <v>0</v>
      </c>
      <c r="K133" s="910">
        <v>0</v>
      </c>
      <c r="L133" s="910">
        <v>0</v>
      </c>
      <c r="M133" s="911">
        <v>0</v>
      </c>
      <c r="N133" s="1596"/>
      <c r="O133" s="543">
        <f t="shared" si="15"/>
        <v>0</v>
      </c>
      <c r="P133" s="544">
        <f t="shared" si="16"/>
        <v>0</v>
      </c>
      <c r="Q133" s="545">
        <f t="shared" si="17"/>
        <v>0</v>
      </c>
      <c r="R133" s="1151"/>
      <c r="S133" s="543">
        <f t="shared" si="18"/>
        <v>0</v>
      </c>
      <c r="T133" s="1677" t="str">
        <f t="shared" si="19"/>
        <v>0</v>
      </c>
    </row>
    <row r="134" spans="1:20" s="1645" customFormat="1" ht="15" customHeight="1">
      <c r="A134" s="1643"/>
      <c r="B134" s="1967" t="s">
        <v>725</v>
      </c>
      <c r="C134" s="1676" t="s">
        <v>720</v>
      </c>
      <c r="D134" s="907">
        <v>0</v>
      </c>
      <c r="E134" s="910">
        <v>0</v>
      </c>
      <c r="F134" s="910">
        <v>0</v>
      </c>
      <c r="G134" s="910">
        <v>0</v>
      </c>
      <c r="H134" s="911">
        <v>0</v>
      </c>
      <c r="I134" s="909">
        <v>0</v>
      </c>
      <c r="J134" s="910">
        <v>0</v>
      </c>
      <c r="K134" s="910">
        <v>0</v>
      </c>
      <c r="L134" s="910">
        <v>0</v>
      </c>
      <c r="M134" s="911">
        <v>0</v>
      </c>
      <c r="N134" s="1596"/>
      <c r="O134" s="543">
        <f t="shared" si="15"/>
        <v>0</v>
      </c>
      <c r="P134" s="544">
        <f t="shared" si="16"/>
        <v>0</v>
      </c>
      <c r="Q134" s="545">
        <f t="shared" si="17"/>
        <v>0</v>
      </c>
      <c r="R134" s="1151"/>
      <c r="S134" s="543">
        <f t="shared" si="18"/>
        <v>0</v>
      </c>
      <c r="T134" s="1677" t="str">
        <f t="shared" si="19"/>
        <v>0</v>
      </c>
    </row>
    <row r="135" spans="1:20" s="1645" customFormat="1" ht="15" customHeight="1">
      <c r="A135" s="1643"/>
      <c r="B135" s="1968"/>
      <c r="C135" s="1678" t="s">
        <v>721</v>
      </c>
      <c r="D135" s="907">
        <v>9.9432513766961952E-2</v>
      </c>
      <c r="E135" s="910">
        <v>4.5810406829824979</v>
      </c>
      <c r="F135" s="910">
        <v>6.9757649956688832</v>
      </c>
      <c r="G135" s="910">
        <v>4.6886486256579811</v>
      </c>
      <c r="H135" s="911">
        <v>2.3346818050365865</v>
      </c>
      <c r="I135" s="909">
        <v>4.4512281588588438</v>
      </c>
      <c r="J135" s="910">
        <v>3.8381392889963055</v>
      </c>
      <c r="K135" s="910">
        <v>4.868940527168137</v>
      </c>
      <c r="L135" s="910">
        <v>4.2373206935719443</v>
      </c>
      <c r="M135" s="911">
        <v>2.0881444030162868</v>
      </c>
      <c r="N135" s="1596"/>
      <c r="O135" s="543">
        <f t="shared" si="15"/>
        <v>16.344886818076326</v>
      </c>
      <c r="P135" s="544">
        <f t="shared" si="16"/>
        <v>2.3346818050365865</v>
      </c>
      <c r="Q135" s="545">
        <f t="shared" si="17"/>
        <v>18.679568623112914</v>
      </c>
      <c r="R135" s="1151"/>
      <c r="S135" s="543">
        <f t="shared" si="18"/>
        <v>19.483773071611516</v>
      </c>
      <c r="T135" s="1677">
        <f t="shared" si="19"/>
        <v>4.3052624218716196E-2</v>
      </c>
    </row>
    <row r="136" spans="1:20" s="1645" customFormat="1" ht="15" customHeight="1">
      <c r="A136" s="1643"/>
      <c r="B136" s="1968"/>
      <c r="C136" s="1676" t="s">
        <v>628</v>
      </c>
      <c r="D136" s="907">
        <v>0</v>
      </c>
      <c r="E136" s="910">
        <v>0</v>
      </c>
      <c r="F136" s="910">
        <v>0</v>
      </c>
      <c r="G136" s="910">
        <v>7.814414376096634</v>
      </c>
      <c r="H136" s="911">
        <v>3.8911363417276434</v>
      </c>
      <c r="I136" s="909">
        <v>0</v>
      </c>
      <c r="J136" s="910">
        <v>0</v>
      </c>
      <c r="K136" s="910">
        <v>0</v>
      </c>
      <c r="L136" s="910">
        <v>0</v>
      </c>
      <c r="M136" s="911">
        <v>0</v>
      </c>
      <c r="N136" s="1596"/>
      <c r="O136" s="543">
        <f t="shared" si="15"/>
        <v>7.814414376096634</v>
      </c>
      <c r="P136" s="544">
        <f t="shared" si="16"/>
        <v>3.8911363417276434</v>
      </c>
      <c r="Q136" s="545">
        <f t="shared" si="17"/>
        <v>11.705550717824277</v>
      </c>
      <c r="R136" s="1151"/>
      <c r="S136" s="543">
        <f t="shared" si="18"/>
        <v>0</v>
      </c>
      <c r="T136" s="1677">
        <f t="shared" si="19"/>
        <v>-1</v>
      </c>
    </row>
    <row r="137" spans="1:20" s="1645" customFormat="1" ht="15" customHeight="1">
      <c r="A137" s="1643"/>
      <c r="B137" s="1968"/>
      <c r="C137" s="1676" t="s">
        <v>722</v>
      </c>
      <c r="D137" s="907">
        <v>0</v>
      </c>
      <c r="E137" s="910">
        <v>0</v>
      </c>
      <c r="F137" s="910">
        <v>0</v>
      </c>
      <c r="G137" s="910">
        <v>0</v>
      </c>
      <c r="H137" s="911">
        <v>0</v>
      </c>
      <c r="I137" s="909">
        <v>0</v>
      </c>
      <c r="J137" s="910">
        <v>0</v>
      </c>
      <c r="K137" s="910">
        <v>0</v>
      </c>
      <c r="L137" s="910">
        <v>0</v>
      </c>
      <c r="M137" s="911">
        <v>0</v>
      </c>
      <c r="N137" s="1596"/>
      <c r="O137" s="543">
        <f t="shared" si="15"/>
        <v>0</v>
      </c>
      <c r="P137" s="544">
        <f t="shared" si="16"/>
        <v>0</v>
      </c>
      <c r="Q137" s="545">
        <f t="shared" si="17"/>
        <v>0</v>
      </c>
      <c r="R137" s="1151"/>
      <c r="S137" s="543">
        <f t="shared" si="18"/>
        <v>0</v>
      </c>
      <c r="T137" s="1677" t="str">
        <f t="shared" si="19"/>
        <v>0</v>
      </c>
    </row>
    <row r="138" spans="1:20" s="1645" customFormat="1" ht="15" customHeight="1" thickBot="1">
      <c r="A138" s="1643"/>
      <c r="B138" s="823" t="s">
        <v>632</v>
      </c>
      <c r="C138" s="1680" t="s">
        <v>717</v>
      </c>
      <c r="D138" s="1681">
        <v>9.9432513766961952E-2</v>
      </c>
      <c r="E138" s="1681">
        <v>4.5810406829824979</v>
      </c>
      <c r="F138" s="1681">
        <v>6.9757649956688832</v>
      </c>
      <c r="G138" s="1681">
        <v>12.503063001754615</v>
      </c>
      <c r="H138" s="1682">
        <v>6.2258181467642295</v>
      </c>
      <c r="I138" s="1683">
        <v>4.4512281588588438</v>
      </c>
      <c r="J138" s="1681">
        <v>3.8381392889963055</v>
      </c>
      <c r="K138" s="1681">
        <v>4.868940527168137</v>
      </c>
      <c r="L138" s="1681">
        <v>4.2373206935719443</v>
      </c>
      <c r="M138" s="1682">
        <v>2.0881444030162868</v>
      </c>
      <c r="N138" s="1596"/>
      <c r="O138" s="1486">
        <f t="shared" si="15"/>
        <v>24.159301194172958</v>
      </c>
      <c r="P138" s="1487">
        <f t="shared" si="16"/>
        <v>6.2258181467642295</v>
      </c>
      <c r="Q138" s="1488">
        <f t="shared" si="17"/>
        <v>30.385119340937187</v>
      </c>
      <c r="R138" s="1151"/>
      <c r="S138" s="1486">
        <f t="shared" si="18"/>
        <v>19.483773071611516</v>
      </c>
      <c r="T138" s="1684">
        <f t="shared" si="19"/>
        <v>-0.35877253424634514</v>
      </c>
    </row>
    <row r="139" spans="1:20" s="1645" customFormat="1" ht="15" customHeight="1">
      <c r="A139" s="1643"/>
      <c r="B139" s="1596"/>
      <c r="C139" s="1596"/>
      <c r="D139" s="1596"/>
      <c r="E139" s="1596"/>
      <c r="F139" s="1596"/>
      <c r="G139" s="1596"/>
      <c r="H139" s="1596"/>
      <c r="I139" s="1596"/>
      <c r="J139" s="1596"/>
      <c r="K139" s="1596"/>
      <c r="L139" s="1596"/>
      <c r="M139" s="1596"/>
      <c r="N139" s="1596"/>
      <c r="O139" s="1596"/>
      <c r="P139" s="1596"/>
      <c r="Q139" s="1596"/>
    </row>
    <row r="140" spans="1:20" s="1645" customFormat="1" ht="15" customHeight="1">
      <c r="A140" s="1643"/>
      <c r="B140" s="1155" t="s">
        <v>249</v>
      </c>
      <c r="C140" s="1596"/>
      <c r="D140" s="1596"/>
      <c r="E140" s="1596"/>
      <c r="F140" s="1596"/>
      <c r="G140" s="1596"/>
      <c r="H140" s="1596"/>
      <c r="I140" s="1596"/>
      <c r="J140" s="1596"/>
      <c r="K140" s="1596"/>
      <c r="L140" s="1596"/>
      <c r="M140" s="1596"/>
      <c r="N140" s="1596"/>
      <c r="O140" s="1596"/>
      <c r="P140" s="1596"/>
      <c r="Q140" s="1596"/>
    </row>
    <row r="141" spans="1:20" s="1645" customFormat="1" ht="15" customHeight="1" thickBot="1">
      <c r="A141" s="1643"/>
      <c r="B141" s="1596"/>
      <c r="C141" s="1596"/>
      <c r="E141" s="1596"/>
      <c r="F141" s="1596"/>
      <c r="G141" s="1596"/>
      <c r="H141" s="1596"/>
      <c r="I141" s="1596"/>
      <c r="J141" s="1596"/>
      <c r="K141" s="1596"/>
      <c r="L141" s="1596"/>
      <c r="M141" s="1596"/>
      <c r="N141" s="1596"/>
      <c r="O141" s="1596"/>
      <c r="P141" s="1596"/>
      <c r="Q141" s="1596"/>
    </row>
    <row r="142" spans="1:20" s="1645" customFormat="1" ht="15" customHeight="1">
      <c r="A142" s="1643"/>
      <c r="B142" s="1961" t="s">
        <v>113</v>
      </c>
      <c r="C142" s="1962"/>
      <c r="D142" s="1646" t="s">
        <v>114</v>
      </c>
      <c r="E142" s="1647"/>
      <c r="F142" s="1647"/>
      <c r="G142" s="1647"/>
      <c r="H142" s="1648"/>
      <c r="I142" s="1646" t="s">
        <v>115</v>
      </c>
      <c r="J142" s="1647"/>
      <c r="K142" s="1647"/>
      <c r="L142" s="1647"/>
      <c r="M142" s="1648"/>
      <c r="N142" s="1596"/>
      <c r="O142" s="1463" t="s">
        <v>116</v>
      </c>
      <c r="P142" s="1464"/>
      <c r="Q142" s="1465"/>
      <c r="R142" s="1151"/>
      <c r="S142" s="1463" t="s">
        <v>117</v>
      </c>
      <c r="T142" s="1465"/>
    </row>
    <row r="143" spans="1:20" s="1645" customFormat="1" ht="15" customHeight="1">
      <c r="A143" s="1643"/>
      <c r="B143" s="1963"/>
      <c r="C143" s="1964"/>
      <c r="D143" s="1649" t="s">
        <v>32</v>
      </c>
      <c r="E143" s="1650" t="s">
        <v>33</v>
      </c>
      <c r="F143" s="1650" t="s">
        <v>29</v>
      </c>
      <c r="G143" s="1650" t="s">
        <v>34</v>
      </c>
      <c r="H143" s="1651" t="s">
        <v>35</v>
      </c>
      <c r="I143" s="1649" t="s">
        <v>118</v>
      </c>
      <c r="J143" s="1650" t="s">
        <v>136</v>
      </c>
      <c r="K143" s="1650" t="s">
        <v>137</v>
      </c>
      <c r="L143" s="1650" t="s">
        <v>138</v>
      </c>
      <c r="M143" s="1651" t="s">
        <v>624</v>
      </c>
      <c r="N143" s="1596"/>
      <c r="O143" s="1470" t="s">
        <v>126</v>
      </c>
      <c r="P143" s="1471" t="s">
        <v>127</v>
      </c>
      <c r="Q143" s="1472" t="s">
        <v>246</v>
      </c>
      <c r="R143" s="1151"/>
      <c r="S143" s="1470" t="s">
        <v>127</v>
      </c>
      <c r="T143" s="1472" t="s">
        <v>128</v>
      </c>
    </row>
    <row r="144" spans="1:20" s="1645" customFormat="1" ht="15" customHeight="1">
      <c r="A144" s="1643"/>
      <c r="B144" s="1965"/>
      <c r="C144" s="1966"/>
      <c r="D144" s="1649" t="s">
        <v>14</v>
      </c>
      <c r="E144" s="1650" t="s">
        <v>14</v>
      </c>
      <c r="F144" s="1650" t="s">
        <v>14</v>
      </c>
      <c r="G144" s="1650" t="s">
        <v>14</v>
      </c>
      <c r="H144" s="1651" t="s">
        <v>14</v>
      </c>
      <c r="I144" s="1649" t="s">
        <v>14</v>
      </c>
      <c r="J144" s="1650" t="s">
        <v>14</v>
      </c>
      <c r="K144" s="1650" t="s">
        <v>14</v>
      </c>
      <c r="L144" s="1650" t="s">
        <v>14</v>
      </c>
      <c r="M144" s="1651" t="s">
        <v>14</v>
      </c>
      <c r="N144" s="1596"/>
      <c r="O144" s="1543"/>
      <c r="P144" s="1544"/>
      <c r="Q144" s="1545"/>
      <c r="R144" s="1151"/>
      <c r="S144" s="1653"/>
      <c r="T144" s="1654"/>
    </row>
    <row r="145" spans="1:20" s="1645" customFormat="1" ht="15" customHeight="1">
      <c r="A145" s="1643"/>
      <c r="B145" s="1685" t="s">
        <v>250</v>
      </c>
      <c r="C145" s="1686" t="s">
        <v>251</v>
      </c>
      <c r="D145" s="1687"/>
      <c r="E145" s="1596"/>
      <c r="F145" s="1596"/>
      <c r="G145" s="1596"/>
      <c r="H145" s="1688"/>
      <c r="I145" s="1689"/>
      <c r="J145" s="1596"/>
      <c r="K145" s="1596"/>
      <c r="L145" s="1596"/>
      <c r="M145" s="1688"/>
      <c r="N145" s="1596"/>
      <c r="O145" s="1689"/>
      <c r="P145" s="1596"/>
      <c r="Q145" s="1688"/>
      <c r="S145" s="1687"/>
      <c r="T145" s="1690"/>
    </row>
    <row r="146" spans="1:20" s="1645" customFormat="1" ht="15" customHeight="1">
      <c r="A146" s="1643"/>
      <c r="B146" s="1689"/>
      <c r="C146" s="1691" t="s">
        <v>252</v>
      </c>
      <c r="D146" s="1692"/>
      <c r="E146" s="1693"/>
      <c r="F146" s="1693"/>
      <c r="G146" s="1693"/>
      <c r="H146" s="1694"/>
      <c r="I146" s="1692"/>
      <c r="J146" s="1693"/>
      <c r="K146" s="1693"/>
      <c r="L146" s="1693"/>
      <c r="M146" s="1694"/>
      <c r="N146" s="1596"/>
      <c r="O146" s="543">
        <f t="shared" ref="O146:O153" si="20">SUM(D146:G146)</f>
        <v>0</v>
      </c>
      <c r="P146" s="544">
        <f t="shared" ref="P146:P153" si="21">H146</f>
        <v>0</v>
      </c>
      <c r="Q146" s="545">
        <f t="shared" ref="Q146:Q153" si="22">SUM(D146:H146)</f>
        <v>0</v>
      </c>
      <c r="R146" s="1151"/>
      <c r="S146" s="543">
        <f t="shared" ref="S146:S153" si="23">SUM(I146:M146)</f>
        <v>0</v>
      </c>
      <c r="T146" s="1677" t="str">
        <f t="shared" ref="T146:T153" si="24">IF(Q146&lt;&gt;0,(S146-Q146)/Q146,"0")</f>
        <v>0</v>
      </c>
    </row>
    <row r="147" spans="1:20" s="1645" customFormat="1" ht="15" customHeight="1">
      <c r="A147" s="1643"/>
      <c r="B147" s="1689"/>
      <c r="C147" s="1691" t="s">
        <v>253</v>
      </c>
      <c r="D147" s="820"/>
      <c r="E147" s="821"/>
      <c r="F147" s="821"/>
      <c r="G147" s="821"/>
      <c r="H147" s="822"/>
      <c r="I147" s="820"/>
      <c r="J147" s="821"/>
      <c r="K147" s="821"/>
      <c r="L147" s="821"/>
      <c r="M147" s="822"/>
      <c r="N147" s="1596"/>
      <c r="O147" s="543">
        <f t="shared" si="20"/>
        <v>0</v>
      </c>
      <c r="P147" s="544">
        <f t="shared" si="21"/>
        <v>0</v>
      </c>
      <c r="Q147" s="545">
        <f t="shared" si="22"/>
        <v>0</v>
      </c>
      <c r="R147" s="1151"/>
      <c r="S147" s="543">
        <f t="shared" si="23"/>
        <v>0</v>
      </c>
      <c r="T147" s="1677" t="str">
        <f t="shared" si="24"/>
        <v>0</v>
      </c>
    </row>
    <row r="148" spans="1:20" s="1645" customFormat="1" ht="15" customHeight="1">
      <c r="A148" s="1643"/>
      <c r="B148" s="1689"/>
      <c r="C148" s="1152"/>
      <c r="D148" s="820"/>
      <c r="E148" s="821"/>
      <c r="F148" s="821"/>
      <c r="G148" s="821"/>
      <c r="H148" s="822"/>
      <c r="I148" s="820"/>
      <c r="J148" s="821"/>
      <c r="K148" s="821"/>
      <c r="L148" s="821"/>
      <c r="M148" s="822"/>
      <c r="N148" s="1596"/>
      <c r="O148" s="543">
        <f t="shared" si="20"/>
        <v>0</v>
      </c>
      <c r="P148" s="544">
        <f t="shared" si="21"/>
        <v>0</v>
      </c>
      <c r="Q148" s="545">
        <f t="shared" si="22"/>
        <v>0</v>
      </c>
      <c r="R148" s="1151"/>
      <c r="S148" s="543">
        <f t="shared" si="23"/>
        <v>0</v>
      </c>
      <c r="T148" s="1677" t="str">
        <f t="shared" si="24"/>
        <v>0</v>
      </c>
    </row>
    <row r="149" spans="1:20" s="1645" customFormat="1" ht="15" customHeight="1">
      <c r="A149" s="1643"/>
      <c r="B149" s="1689"/>
      <c r="C149" s="1686"/>
      <c r="D149" s="1687"/>
      <c r="E149" s="1596"/>
      <c r="F149" s="1596"/>
      <c r="G149" s="1596"/>
      <c r="H149" s="1688"/>
      <c r="I149" s="1689"/>
      <c r="J149" s="1596"/>
      <c r="K149" s="1596"/>
      <c r="L149" s="1596"/>
      <c r="M149" s="1688"/>
      <c r="N149" s="1596"/>
      <c r="O149" s="1478"/>
      <c r="P149" s="1481"/>
      <c r="Q149" s="1480"/>
      <c r="R149" s="1153"/>
      <c r="S149" s="1478"/>
      <c r="T149" s="1695"/>
    </row>
    <row r="150" spans="1:20" s="1645" customFormat="1" ht="15" customHeight="1">
      <c r="A150" s="1643"/>
      <c r="B150" s="1689"/>
      <c r="C150" s="1686" t="s">
        <v>254</v>
      </c>
      <c r="D150" s="1687"/>
      <c r="E150" s="1596"/>
      <c r="F150" s="1596"/>
      <c r="G150" s="1596"/>
      <c r="H150" s="1688"/>
      <c r="I150" s="1689"/>
      <c r="J150" s="1596"/>
      <c r="K150" s="1596"/>
      <c r="L150" s="1596"/>
      <c r="M150" s="1688"/>
      <c r="N150" s="1596"/>
      <c r="O150" s="1478"/>
      <c r="P150" s="1481"/>
      <c r="Q150" s="1480"/>
      <c r="R150" s="1153"/>
      <c r="S150" s="1478"/>
      <c r="T150" s="1695"/>
    </row>
    <row r="151" spans="1:20" s="1645" customFormat="1" ht="15" customHeight="1">
      <c r="A151" s="1643"/>
      <c r="B151" s="1689"/>
      <c r="C151" s="1691" t="s">
        <v>252</v>
      </c>
      <c r="D151" s="1692"/>
      <c r="E151" s="1693"/>
      <c r="F151" s="1693"/>
      <c r="G151" s="1693"/>
      <c r="H151" s="1694"/>
      <c r="I151" s="1692"/>
      <c r="J151" s="1693"/>
      <c r="K151" s="1693"/>
      <c r="L151" s="1693"/>
      <c r="M151" s="1694"/>
      <c r="N151" s="1596"/>
      <c r="O151" s="543">
        <f t="shared" si="20"/>
        <v>0</v>
      </c>
      <c r="P151" s="544">
        <f t="shared" si="21"/>
        <v>0</v>
      </c>
      <c r="Q151" s="545">
        <f t="shared" si="22"/>
        <v>0</v>
      </c>
      <c r="R151" s="1151"/>
      <c r="S151" s="543">
        <f t="shared" si="23"/>
        <v>0</v>
      </c>
      <c r="T151" s="1677" t="str">
        <f t="shared" si="24"/>
        <v>0</v>
      </c>
    </row>
    <row r="152" spans="1:20" s="1645" customFormat="1" ht="15" customHeight="1">
      <c r="A152" s="1643"/>
      <c r="B152" s="1689"/>
      <c r="C152" s="1691" t="s">
        <v>253</v>
      </c>
      <c r="D152" s="820"/>
      <c r="E152" s="821"/>
      <c r="F152" s="821"/>
      <c r="G152" s="821"/>
      <c r="H152" s="822"/>
      <c r="I152" s="820"/>
      <c r="J152" s="821"/>
      <c r="K152" s="821"/>
      <c r="L152" s="821"/>
      <c r="M152" s="822"/>
      <c r="N152" s="1596"/>
      <c r="O152" s="543">
        <f t="shared" si="20"/>
        <v>0</v>
      </c>
      <c r="P152" s="544">
        <f t="shared" si="21"/>
        <v>0</v>
      </c>
      <c r="Q152" s="545">
        <f t="shared" si="22"/>
        <v>0</v>
      </c>
      <c r="R152" s="1151"/>
      <c r="S152" s="543">
        <f t="shared" si="23"/>
        <v>0</v>
      </c>
      <c r="T152" s="1677" t="str">
        <f t="shared" si="24"/>
        <v>0</v>
      </c>
    </row>
    <row r="153" spans="1:20" s="1645" customFormat="1" ht="15" customHeight="1" thickBot="1">
      <c r="A153" s="1643"/>
      <c r="B153" s="1696"/>
      <c r="C153" s="1154"/>
      <c r="D153" s="824"/>
      <c r="E153" s="825"/>
      <c r="F153" s="825"/>
      <c r="G153" s="825"/>
      <c r="H153" s="826"/>
      <c r="I153" s="824"/>
      <c r="J153" s="825"/>
      <c r="K153" s="825"/>
      <c r="L153" s="825"/>
      <c r="M153" s="826"/>
      <c r="N153" s="1596"/>
      <c r="O153" s="1486">
        <f t="shared" si="20"/>
        <v>0</v>
      </c>
      <c r="P153" s="1487">
        <f t="shared" si="21"/>
        <v>0</v>
      </c>
      <c r="Q153" s="1488">
        <f t="shared" si="22"/>
        <v>0</v>
      </c>
      <c r="R153" s="1151"/>
      <c r="S153" s="1486">
        <f t="shared" si="23"/>
        <v>0</v>
      </c>
      <c r="T153" s="1684" t="str">
        <f t="shared" si="24"/>
        <v>0</v>
      </c>
    </row>
    <row r="154" spans="1:20" s="1698" customFormat="1" ht="15" customHeight="1">
      <c r="A154" s="1697"/>
      <c r="B154" s="1596"/>
      <c r="E154" s="1596"/>
      <c r="F154" s="1596"/>
      <c r="G154" s="1596"/>
      <c r="H154" s="1596"/>
      <c r="I154" s="1596"/>
      <c r="J154" s="1596"/>
      <c r="K154" s="1596"/>
      <c r="L154" s="1596"/>
      <c r="M154" s="1596"/>
      <c r="N154" s="1596"/>
      <c r="O154" s="1596"/>
      <c r="P154" s="1596"/>
      <c r="Q154" s="1596"/>
    </row>
    <row r="155" spans="1:20" s="1698" customFormat="1" ht="15" customHeight="1">
      <c r="A155" s="1697"/>
      <c r="B155" s="1596"/>
      <c r="C155" s="1596"/>
      <c r="E155" s="1596"/>
      <c r="F155" s="1596"/>
      <c r="G155" s="1596"/>
      <c r="H155" s="1596"/>
      <c r="I155" s="1596"/>
      <c r="J155" s="1596"/>
      <c r="K155" s="1596"/>
      <c r="L155" s="1596"/>
      <c r="M155" s="1596"/>
      <c r="N155" s="1596"/>
      <c r="O155" s="1596"/>
      <c r="P155" s="1596"/>
      <c r="Q155" s="1596"/>
    </row>
    <row r="156" spans="1:20" s="1698" customFormat="1" ht="15" customHeight="1">
      <c r="A156" s="1697"/>
      <c r="B156" s="1596"/>
      <c r="C156" s="1596"/>
      <c r="E156" s="1596"/>
      <c r="F156" s="1596"/>
      <c r="G156" s="1596"/>
      <c r="H156" s="1596"/>
      <c r="I156" s="1596"/>
      <c r="J156" s="1596"/>
      <c r="K156" s="1596"/>
      <c r="L156" s="1596"/>
      <c r="M156" s="1596"/>
      <c r="N156" s="1596"/>
      <c r="O156" s="1596"/>
      <c r="P156" s="1596"/>
      <c r="Q156" s="1596"/>
    </row>
    <row r="157" spans="1:20" s="1698" customFormat="1" ht="15" customHeight="1">
      <c r="A157" s="1697"/>
      <c r="B157" s="1596"/>
      <c r="C157" s="1596"/>
      <c r="E157" s="1596"/>
      <c r="F157" s="1596"/>
      <c r="G157" s="1596"/>
      <c r="H157" s="1596"/>
      <c r="I157" s="1596"/>
      <c r="J157" s="1596"/>
      <c r="K157" s="1596"/>
      <c r="L157" s="1596"/>
      <c r="M157" s="1596"/>
      <c r="N157" s="1596"/>
      <c r="O157" s="1596"/>
      <c r="P157" s="1596"/>
      <c r="Q157" s="1596"/>
    </row>
    <row r="158" spans="1:20" s="1698" customFormat="1" ht="15" customHeight="1">
      <c r="A158" s="1697"/>
      <c r="B158" s="1596"/>
      <c r="C158" s="1596"/>
      <c r="E158" s="1596"/>
      <c r="F158" s="1596"/>
      <c r="G158" s="1596"/>
      <c r="H158" s="1596"/>
      <c r="I158" s="1596"/>
      <c r="J158" s="1596"/>
      <c r="K158" s="1596"/>
      <c r="L158" s="1596"/>
      <c r="M158" s="1596"/>
      <c r="N158" s="1596"/>
      <c r="O158" s="1596"/>
      <c r="P158" s="1596"/>
      <c r="Q158" s="1596"/>
    </row>
    <row r="159" spans="1:20" s="1698" customFormat="1" ht="15" customHeight="1">
      <c r="A159" s="1697"/>
      <c r="B159" s="1596"/>
      <c r="C159" s="1596"/>
      <c r="E159" s="1596"/>
      <c r="F159" s="1596"/>
      <c r="G159" s="1596"/>
      <c r="H159" s="1596"/>
      <c r="I159" s="1596"/>
      <c r="J159" s="1596"/>
      <c r="K159" s="1596"/>
      <c r="L159" s="1596"/>
      <c r="M159" s="1596"/>
      <c r="N159" s="1596"/>
      <c r="O159" s="1596"/>
      <c r="P159" s="1596"/>
      <c r="Q159" s="1596"/>
    </row>
    <row r="160" spans="1:20" s="1698" customFormat="1" ht="15" customHeight="1">
      <c r="A160" s="1697"/>
      <c r="B160" s="1596"/>
      <c r="C160" s="1596"/>
      <c r="E160" s="1596"/>
      <c r="F160" s="1596"/>
      <c r="G160" s="1596"/>
      <c r="H160" s="1596"/>
      <c r="I160" s="1596"/>
      <c r="J160" s="1596"/>
      <c r="K160" s="1596"/>
      <c r="L160" s="1596"/>
      <c r="M160" s="1596"/>
      <c r="N160" s="1596"/>
      <c r="O160" s="1596"/>
      <c r="P160" s="1596"/>
      <c r="Q160" s="1596"/>
    </row>
    <row r="161" spans="1:17" s="1698" customFormat="1" ht="15" customHeight="1">
      <c r="A161" s="1697"/>
      <c r="B161" s="1596"/>
      <c r="C161" s="1596"/>
      <c r="E161" s="1596"/>
      <c r="F161" s="1596"/>
      <c r="G161" s="1596"/>
      <c r="H161" s="1596"/>
      <c r="I161" s="1596"/>
      <c r="J161" s="1596"/>
      <c r="K161" s="1596"/>
      <c r="L161" s="1596"/>
      <c r="M161" s="1596"/>
      <c r="N161" s="1596"/>
      <c r="O161" s="1596"/>
      <c r="P161" s="1596"/>
      <c r="Q161" s="1596"/>
    </row>
    <row r="162" spans="1:17" s="1698" customFormat="1" ht="15" customHeight="1">
      <c r="A162" s="1697"/>
      <c r="B162" s="1596"/>
      <c r="C162" s="1596"/>
      <c r="E162" s="1596"/>
      <c r="F162" s="1596"/>
      <c r="G162" s="1596"/>
      <c r="H162" s="1596"/>
      <c r="I162" s="1596"/>
      <c r="J162" s="1596"/>
      <c r="K162" s="1596"/>
      <c r="L162" s="1596"/>
      <c r="M162" s="1596"/>
      <c r="N162" s="1596"/>
      <c r="O162" s="1596"/>
      <c r="P162" s="1596"/>
      <c r="Q162" s="1596"/>
    </row>
    <row r="163" spans="1:17" s="1698" customFormat="1" ht="15" customHeight="1">
      <c r="A163" s="1697"/>
      <c r="B163" s="1596"/>
      <c r="C163" s="1596"/>
      <c r="E163" s="1596"/>
      <c r="F163" s="1596"/>
      <c r="G163" s="1596"/>
      <c r="H163" s="1596"/>
      <c r="I163" s="1596"/>
      <c r="J163" s="1596"/>
      <c r="K163" s="1596"/>
      <c r="L163" s="1596"/>
      <c r="M163" s="1596"/>
      <c r="N163" s="1596"/>
      <c r="O163" s="1596"/>
      <c r="P163" s="1596"/>
      <c r="Q163" s="1596"/>
    </row>
    <row r="164" spans="1:17" s="1698" customFormat="1" ht="15" customHeight="1">
      <c r="A164" s="1697"/>
      <c r="B164" s="1596"/>
      <c r="C164" s="1596"/>
      <c r="E164" s="1596"/>
      <c r="F164" s="1596"/>
      <c r="G164" s="1596"/>
      <c r="H164" s="1596"/>
      <c r="I164" s="1596"/>
      <c r="J164" s="1596"/>
      <c r="K164" s="1596"/>
      <c r="L164" s="1596"/>
      <c r="M164" s="1596"/>
      <c r="N164" s="1596"/>
      <c r="O164" s="1596"/>
      <c r="P164" s="1596"/>
      <c r="Q164" s="1596"/>
    </row>
    <row r="165" spans="1:17" s="1698" customFormat="1" ht="15" customHeight="1">
      <c r="A165" s="1697"/>
      <c r="B165" s="1596"/>
      <c r="C165" s="1596"/>
      <c r="E165" s="1596"/>
      <c r="F165" s="1596"/>
      <c r="G165" s="1596"/>
      <c r="H165" s="1596"/>
      <c r="I165" s="1596"/>
      <c r="J165" s="1596"/>
      <c r="K165" s="1596"/>
      <c r="L165" s="1596"/>
      <c r="M165" s="1596"/>
      <c r="N165" s="1596"/>
      <c r="O165" s="1596"/>
      <c r="P165" s="1596"/>
      <c r="Q165" s="1596"/>
    </row>
    <row r="166" spans="1:17" s="1698" customFormat="1" ht="15" customHeight="1">
      <c r="A166" s="1697"/>
      <c r="B166" s="1596"/>
      <c r="C166" s="1596"/>
      <c r="E166" s="1596"/>
      <c r="F166" s="1596"/>
      <c r="G166" s="1596"/>
      <c r="H166" s="1596"/>
      <c r="I166" s="1596"/>
      <c r="J166" s="1596"/>
      <c r="K166" s="1596"/>
      <c r="L166" s="1596"/>
      <c r="M166" s="1596"/>
      <c r="N166" s="1596"/>
      <c r="O166" s="1596"/>
      <c r="P166" s="1596"/>
      <c r="Q166" s="1596"/>
    </row>
    <row r="167" spans="1:17" s="1698" customFormat="1" ht="15" customHeight="1">
      <c r="A167" s="1697"/>
      <c r="B167" s="1596"/>
      <c r="C167" s="1596"/>
      <c r="E167" s="1596"/>
      <c r="F167" s="1596"/>
      <c r="G167" s="1596"/>
      <c r="H167" s="1596"/>
      <c r="I167" s="1596"/>
      <c r="J167" s="1596"/>
      <c r="K167" s="1596"/>
      <c r="L167" s="1596"/>
      <c r="M167" s="1596"/>
      <c r="N167" s="1596"/>
      <c r="O167" s="1596"/>
      <c r="P167" s="1596"/>
      <c r="Q167" s="1596"/>
    </row>
    <row r="168" spans="1:17" s="1698" customFormat="1" ht="15" customHeight="1">
      <c r="A168" s="1697"/>
      <c r="B168" s="1596"/>
      <c r="C168" s="1596"/>
      <c r="E168" s="1596"/>
      <c r="F168" s="1596"/>
      <c r="G168" s="1596"/>
      <c r="H168" s="1596"/>
      <c r="I168" s="1596"/>
      <c r="J168" s="1596"/>
      <c r="K168" s="1596"/>
      <c r="L168" s="1596"/>
      <c r="M168" s="1596"/>
      <c r="N168" s="1596"/>
      <c r="O168" s="1596"/>
      <c r="P168" s="1596"/>
      <c r="Q168" s="1596"/>
    </row>
    <row r="169" spans="1:17" s="1698" customFormat="1" ht="15" customHeight="1">
      <c r="A169" s="1697"/>
      <c r="B169" s="1596"/>
      <c r="C169" s="1596"/>
      <c r="E169" s="1596"/>
      <c r="F169" s="1596"/>
      <c r="G169" s="1596"/>
      <c r="H169" s="1596"/>
      <c r="I169" s="1596"/>
      <c r="J169" s="1596"/>
      <c r="K169" s="1596"/>
      <c r="L169" s="1596"/>
      <c r="M169" s="1596"/>
      <c r="N169" s="1596"/>
      <c r="O169" s="1596"/>
      <c r="P169" s="1596"/>
      <c r="Q169" s="1596"/>
    </row>
    <row r="170" spans="1:17" s="1698" customFormat="1" ht="15" customHeight="1">
      <c r="A170" s="1697"/>
      <c r="B170" s="1596"/>
      <c r="C170" s="1596"/>
      <c r="E170" s="1596"/>
      <c r="F170" s="1596"/>
      <c r="G170" s="1596"/>
      <c r="H170" s="1596"/>
      <c r="I170" s="1596"/>
      <c r="J170" s="1596"/>
      <c r="K170" s="1596"/>
      <c r="L170" s="1596"/>
      <c r="M170" s="1596"/>
      <c r="N170" s="1596"/>
      <c r="O170" s="1596"/>
      <c r="P170" s="1596"/>
      <c r="Q170" s="1596"/>
    </row>
    <row r="171" spans="1:17" s="1698" customFormat="1" ht="15" customHeight="1">
      <c r="A171" s="1697"/>
      <c r="B171" s="1596"/>
      <c r="C171" s="1596"/>
      <c r="E171" s="1596"/>
      <c r="F171" s="1596"/>
      <c r="G171" s="1596"/>
      <c r="H171" s="1596"/>
      <c r="I171" s="1596"/>
      <c r="J171" s="1596"/>
      <c r="K171" s="1596"/>
      <c r="L171" s="1596"/>
      <c r="M171" s="1596"/>
      <c r="N171" s="1596"/>
      <c r="O171" s="1596"/>
      <c r="P171" s="1596"/>
      <c r="Q171" s="1596"/>
    </row>
    <row r="172" spans="1:17" s="1698" customFormat="1" ht="15" customHeight="1">
      <c r="A172" s="1697"/>
      <c r="B172" s="1596"/>
      <c r="C172" s="1596"/>
      <c r="E172" s="1596"/>
      <c r="F172" s="1596"/>
      <c r="G172" s="1596"/>
      <c r="H172" s="1596"/>
      <c r="I172" s="1596"/>
      <c r="J172" s="1596"/>
      <c r="K172" s="1596"/>
      <c r="L172" s="1596"/>
      <c r="M172" s="1596"/>
      <c r="N172" s="1596"/>
      <c r="O172" s="1596"/>
      <c r="P172" s="1596"/>
      <c r="Q172" s="1596"/>
    </row>
    <row r="173" spans="1:17" s="1698" customFormat="1" ht="15" customHeight="1">
      <c r="A173" s="1697"/>
      <c r="B173" s="1596"/>
      <c r="C173" s="1596"/>
      <c r="E173" s="1596"/>
      <c r="F173" s="1596"/>
      <c r="G173" s="1596"/>
      <c r="H173" s="1596"/>
      <c r="I173" s="1596"/>
      <c r="J173" s="1596"/>
      <c r="K173" s="1596"/>
      <c r="L173" s="1596"/>
      <c r="M173" s="1596"/>
      <c r="N173" s="1596"/>
      <c r="O173" s="1596"/>
      <c r="P173" s="1596"/>
      <c r="Q173" s="1596"/>
    </row>
    <row r="174" spans="1:17" s="1698" customFormat="1" ht="15" customHeight="1">
      <c r="A174" s="1697"/>
      <c r="B174" s="1596"/>
      <c r="C174" s="1596"/>
      <c r="E174" s="1596"/>
      <c r="F174" s="1596"/>
      <c r="G174" s="1596"/>
      <c r="H174" s="1596"/>
      <c r="I174" s="1596"/>
      <c r="J174" s="1596"/>
      <c r="K174" s="1596"/>
      <c r="L174" s="1596"/>
      <c r="M174" s="1596"/>
      <c r="N174" s="1596"/>
      <c r="O174" s="1596"/>
      <c r="P174" s="1596"/>
      <c r="Q174" s="1596"/>
    </row>
    <row r="175" spans="1:17" s="1698" customFormat="1" ht="15" customHeight="1">
      <c r="A175" s="1697"/>
      <c r="B175" s="1596"/>
      <c r="C175" s="1596"/>
      <c r="E175" s="1596"/>
      <c r="F175" s="1596"/>
      <c r="G175" s="1596"/>
      <c r="H175" s="1596"/>
      <c r="I175" s="1596"/>
      <c r="J175" s="1596"/>
      <c r="K175" s="1596"/>
      <c r="L175" s="1596"/>
      <c r="M175" s="1596"/>
      <c r="N175" s="1596"/>
      <c r="O175" s="1596"/>
      <c r="P175" s="1596"/>
      <c r="Q175" s="1596"/>
    </row>
    <row r="176" spans="1:17" s="1698" customFormat="1" ht="15" customHeight="1">
      <c r="A176" s="1697"/>
      <c r="B176" s="1596"/>
      <c r="C176" s="1596"/>
      <c r="E176" s="1596"/>
      <c r="F176" s="1596"/>
      <c r="G176" s="1596"/>
      <c r="H176" s="1596"/>
      <c r="I176" s="1596"/>
      <c r="J176" s="1596"/>
      <c r="K176" s="1596"/>
      <c r="L176" s="1596"/>
      <c r="M176" s="1596"/>
      <c r="N176" s="1596"/>
      <c r="O176" s="1596"/>
      <c r="P176" s="1596"/>
      <c r="Q176" s="1596"/>
    </row>
    <row r="177" spans="1:23" s="1698" customFormat="1" ht="15" customHeight="1">
      <c r="A177" s="1697"/>
      <c r="B177" s="1596"/>
      <c r="C177" s="1596"/>
      <c r="E177" s="1596"/>
      <c r="F177" s="1596"/>
      <c r="G177" s="1596"/>
      <c r="H177" s="1596"/>
      <c r="I177" s="1596"/>
      <c r="J177" s="1596"/>
      <c r="K177" s="1596"/>
      <c r="L177" s="1596"/>
      <c r="M177" s="1596"/>
      <c r="N177" s="1596"/>
      <c r="O177" s="1596"/>
      <c r="P177" s="1596"/>
      <c r="Q177" s="1596"/>
    </row>
    <row r="178" spans="1:23" s="1698" customFormat="1" ht="15" customHeight="1">
      <c r="A178" s="1697"/>
      <c r="B178" s="1596"/>
      <c r="C178" s="1596"/>
      <c r="E178" s="1596"/>
      <c r="F178" s="1596"/>
      <c r="G178" s="1596"/>
      <c r="H178" s="1596"/>
      <c r="I178" s="1596"/>
      <c r="J178" s="1596"/>
      <c r="K178" s="1596"/>
      <c r="L178" s="1596"/>
      <c r="M178" s="1596"/>
      <c r="N178" s="1596"/>
      <c r="O178" s="1596"/>
      <c r="P178" s="1596"/>
      <c r="Q178" s="1596"/>
    </row>
    <row r="179" spans="1:23" s="1698" customFormat="1" ht="15" customHeight="1">
      <c r="A179" s="1697"/>
      <c r="B179" s="1596"/>
      <c r="C179" s="1596"/>
      <c r="E179" s="1596"/>
      <c r="F179" s="1596"/>
      <c r="G179" s="1596"/>
      <c r="H179" s="1596"/>
      <c r="I179" s="1596"/>
      <c r="J179" s="1596"/>
      <c r="K179" s="1596"/>
      <c r="L179" s="1596"/>
      <c r="M179" s="1596"/>
      <c r="N179" s="1596"/>
      <c r="O179" s="1596"/>
      <c r="P179" s="1596"/>
      <c r="Q179" s="1596"/>
    </row>
    <row r="180" spans="1:23" s="1698" customFormat="1" ht="15" customHeight="1">
      <c r="A180" s="1697"/>
      <c r="B180" s="1596"/>
      <c r="C180" s="1596"/>
      <c r="E180" s="1596"/>
      <c r="F180" s="1596"/>
      <c r="G180" s="1596"/>
      <c r="H180" s="1596"/>
      <c r="I180" s="1596"/>
      <c r="J180" s="1596"/>
      <c r="K180" s="1596"/>
      <c r="L180" s="1596"/>
      <c r="M180" s="1596"/>
      <c r="N180" s="1596"/>
      <c r="O180" s="1596"/>
      <c r="P180" s="1596"/>
      <c r="Q180" s="1596"/>
    </row>
    <row r="181" spans="1:23" s="1698" customFormat="1" ht="15" customHeight="1">
      <c r="A181" s="1697"/>
      <c r="B181" s="1596"/>
      <c r="C181" s="1596"/>
      <c r="E181" s="1596"/>
      <c r="F181" s="1596"/>
      <c r="G181" s="1596"/>
      <c r="H181" s="1596"/>
      <c r="I181" s="1596"/>
      <c r="J181" s="1596"/>
      <c r="K181" s="1596"/>
      <c r="L181" s="1596"/>
      <c r="M181" s="1596"/>
      <c r="N181" s="1596"/>
      <c r="O181" s="1596"/>
      <c r="P181" s="1596"/>
      <c r="Q181" s="1596"/>
    </row>
    <row r="182" spans="1:23" s="1698" customFormat="1" ht="15" customHeight="1">
      <c r="A182" s="1697"/>
      <c r="B182" s="1596"/>
      <c r="C182" s="1596"/>
      <c r="E182" s="1596"/>
      <c r="F182" s="1596"/>
      <c r="G182" s="1596"/>
      <c r="H182" s="1596"/>
      <c r="I182" s="1596"/>
      <c r="J182" s="1596"/>
      <c r="K182" s="1596"/>
      <c r="L182" s="1596"/>
      <c r="M182" s="1596"/>
      <c r="N182" s="1596"/>
      <c r="O182" s="1596"/>
      <c r="P182" s="1596"/>
      <c r="Q182" s="1596"/>
    </row>
    <row r="183" spans="1:23" s="1698" customFormat="1" ht="15" customHeight="1">
      <c r="A183" s="1697"/>
      <c r="B183" s="1596"/>
      <c r="C183" s="1596"/>
      <c r="E183" s="1596"/>
      <c r="F183" s="1596"/>
      <c r="G183" s="1596"/>
      <c r="H183" s="1596"/>
      <c r="I183" s="1596"/>
      <c r="J183" s="1596"/>
      <c r="K183" s="1596"/>
      <c r="L183" s="1596"/>
      <c r="M183" s="1596"/>
      <c r="N183" s="1596"/>
      <c r="O183" s="1596"/>
      <c r="P183" s="1596"/>
      <c r="Q183" s="1596"/>
    </row>
    <row r="184" spans="1:23" ht="15" customHeight="1">
      <c r="B184" s="1700"/>
      <c r="C184" s="1700"/>
      <c r="E184" s="1700"/>
      <c r="F184" s="1700"/>
      <c r="G184" s="1700"/>
      <c r="H184" s="1700"/>
      <c r="I184" s="1700"/>
      <c r="J184" s="1700"/>
      <c r="K184" s="1700"/>
      <c r="L184" s="1700"/>
      <c r="M184" s="1700"/>
      <c r="N184" s="1700"/>
      <c r="O184" s="1700"/>
      <c r="P184" s="1700"/>
      <c r="Q184" s="1700"/>
      <c r="R184" s="1701"/>
      <c r="S184" s="1701"/>
      <c r="T184" s="1701"/>
      <c r="U184" s="1701"/>
      <c r="V184" s="1701"/>
      <c r="W184" s="1701"/>
    </row>
    <row r="185" spans="1:23" ht="15" customHeight="1">
      <c r="B185" s="1700"/>
      <c r="C185" s="1700"/>
      <c r="E185" s="1700"/>
      <c r="F185" s="1700"/>
      <c r="G185" s="1700"/>
      <c r="H185" s="1700"/>
      <c r="I185" s="1700"/>
      <c r="J185" s="1700"/>
      <c r="K185" s="1700"/>
      <c r="L185" s="1700"/>
      <c r="M185" s="1700"/>
    </row>
    <row r="186" spans="1:23">
      <c r="B186" s="1700"/>
      <c r="C186" s="1700"/>
      <c r="E186" s="1700"/>
      <c r="F186" s="1700"/>
      <c r="G186" s="1700"/>
      <c r="H186" s="1700"/>
      <c r="I186" s="1700"/>
      <c r="J186" s="1700"/>
      <c r="K186" s="1700"/>
      <c r="L186" s="1700"/>
      <c r="M186" s="1700"/>
    </row>
    <row r="187" spans="1:23">
      <c r="B187" s="1700"/>
      <c r="C187" s="1700"/>
      <c r="E187" s="1700"/>
      <c r="F187" s="1700"/>
      <c r="G187" s="1700"/>
      <c r="H187" s="1700"/>
      <c r="I187" s="1700"/>
      <c r="J187" s="1700"/>
      <c r="K187" s="1700"/>
      <c r="L187" s="1700"/>
      <c r="M187" s="1700"/>
    </row>
  </sheetData>
  <mergeCells count="29">
    <mergeCell ref="B23:B28"/>
    <mergeCell ref="B29:B34"/>
    <mergeCell ref="B43:B44"/>
    <mergeCell ref="B45:B46"/>
    <mergeCell ref="B10:B11"/>
    <mergeCell ref="B12:B13"/>
    <mergeCell ref="B14:B16"/>
    <mergeCell ref="B17:B22"/>
    <mergeCell ref="B83:B88"/>
    <mergeCell ref="B47:B49"/>
    <mergeCell ref="B50:B55"/>
    <mergeCell ref="B56:B61"/>
    <mergeCell ref="B62:B67"/>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RRP 1.3</vt:lpstr>
      <vt:lpstr>RRP 2.3</vt:lpstr>
      <vt:lpstr>RRP 2.4</vt:lpstr>
      <vt:lpstr>RRP 2.6</vt:lpstr>
      <vt:lpstr>RRP 5.1</vt:lpstr>
      <vt:lpstr>Summary of revenue</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cp:lastPrinted>2013-12-13T08:31:01Z</cp:lastPrinted>
  <dcterms:created xsi:type="dcterms:W3CDTF">2009-07-13T08:35:25Z</dcterms:created>
  <dcterms:modified xsi:type="dcterms:W3CDTF">2013-12-13T08:48:12Z</dcterms:modified>
</cp:coreProperties>
</file>