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15" windowWidth="14085" windowHeight="10185" tabRatio="834" activeTab="1"/>
  </bookViews>
  <sheets>
    <sheet name="Inputs" sheetId="25" r:id="rId1"/>
    <sheet name="Splits and results" sheetId="26" r:id="rId2"/>
    <sheet name="Allocation Summary" sheetId="23" r:id="rId3"/>
    <sheet name="WPD - Final Allocation" sheetId="17" r:id="rId4"/>
    <sheet name="Calc - WPD Opex Allocation" sheetId="13" r:id="rId5"/>
    <sheet name="Calc-Units" sheetId="19" r:id="rId6"/>
    <sheet name="Calc-Drivers" sheetId="7" r:id="rId7"/>
    <sheet name="Calc-MEAV" sheetId="16" r:id="rId8"/>
    <sheet name="Calc-Net capex" sheetId="12" r:id="rId9"/>
    <sheet name="Summary of revenue" sheetId="21" r:id="rId10"/>
    <sheet name="Allowed revenue -DPCR4" sheetId="20" r:id="rId11"/>
    <sheet name="FBPQ T4" sheetId="14" r:id="rId12"/>
    <sheet name="FBPQ LR1" sheetId="11" r:id="rId13"/>
    <sheet name="FBPQ LR4" sheetId="10" r:id="rId14"/>
    <sheet name="FBPQ LR6" sheetId="9" r:id="rId15"/>
    <sheet name="FBPQ NL1" sheetId="6" r:id="rId16"/>
    <sheet name="FBPQ C2" sheetId="15" r:id="rId17"/>
    <sheet name="RRP 1.3" sheetId="18" r:id="rId18"/>
    <sheet name="RRP 2.3" sheetId="4" r:id="rId19"/>
    <sheet name="RRP 2.4" sheetId="3" r:id="rId20"/>
    <sheet name="RRP 2.6" sheetId="2" r:id="rId21"/>
    <sheet name="RRP 5.1" sheetId="1" r:id="rId22"/>
  </sheets>
  <externalReferences>
    <externalReference r:id="rId23"/>
  </externalReferences>
  <definedNames>
    <definedName name="_xlnm.Print_Titles" localSheetId="21">'RRP 5.1'!$A:$B,'RRP 5.1'!$1:$2</definedName>
  </definedNames>
  <calcPr calcId="145621"/>
</workbook>
</file>

<file path=xl/calcChain.xml><?xml version="1.0" encoding="utf-8"?>
<calcChain xmlns="http://schemas.openxmlformats.org/spreadsheetml/2006/main">
  <c r="S67" i="17" l="1"/>
  <c r="S66" i="17"/>
  <c r="AS28" i="13" l="1"/>
  <c r="AS32" i="13"/>
  <c r="AS36" i="13"/>
  <c r="AC21" i="13"/>
  <c r="AS21" i="13" s="1"/>
  <c r="AC22" i="13"/>
  <c r="AS22" i="13" s="1"/>
  <c r="AC27" i="13"/>
  <c r="AS27" i="13" s="1"/>
  <c r="AC28" i="13"/>
  <c r="AC29" i="13"/>
  <c r="AS29" i="13" s="1"/>
  <c r="AC30" i="13"/>
  <c r="AS30" i="13" s="1"/>
  <c r="AC31" i="13"/>
  <c r="AS31" i="13" s="1"/>
  <c r="AC32" i="13"/>
  <c r="AC33" i="13"/>
  <c r="AS33" i="13" s="1"/>
  <c r="AC34" i="13"/>
  <c r="AS34" i="13" s="1"/>
  <c r="AC35" i="13"/>
  <c r="AS35" i="13" s="1"/>
  <c r="AC37" i="13"/>
  <c r="AS37" i="13" s="1"/>
  <c r="AC38" i="13"/>
  <c r="AS38" i="13" s="1"/>
  <c r="AB38" i="13"/>
  <c r="AB37" i="13"/>
  <c r="AB35" i="13"/>
  <c r="AB34" i="13"/>
  <c r="AR34" i="13" s="1"/>
  <c r="AB33" i="13"/>
  <c r="AB32" i="13"/>
  <c r="AB31" i="13"/>
  <c r="AB30" i="13"/>
  <c r="AR30" i="13" s="1"/>
  <c r="AB29" i="13"/>
  <c r="AB28" i="13"/>
  <c r="AB27" i="13"/>
  <c r="AB22" i="13"/>
  <c r="AR22" i="13" s="1"/>
  <c r="AB21" i="13"/>
  <c r="Q21" i="13"/>
  <c r="Q22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G63" i="17"/>
  <c r="G62" i="17"/>
  <c r="G61" i="17"/>
  <c r="G60" i="17"/>
  <c r="G59" i="17"/>
  <c r="T34" i="17"/>
  <c r="S34" i="17"/>
  <c r="R34" i="17"/>
  <c r="Q34" i="17"/>
  <c r="P34" i="17"/>
  <c r="T31" i="17"/>
  <c r="S31" i="17"/>
  <c r="R31" i="17"/>
  <c r="Q31" i="17"/>
  <c r="P31" i="17"/>
  <c r="T25" i="17"/>
  <c r="T24" i="17"/>
  <c r="T23" i="17"/>
  <c r="S23" i="17"/>
  <c r="R23" i="17"/>
  <c r="Q23" i="17"/>
  <c r="P23" i="17"/>
  <c r="T22" i="17"/>
  <c r="S22" i="17"/>
  <c r="R22" i="17"/>
  <c r="Q22" i="17"/>
  <c r="P22" i="17"/>
  <c r="T21" i="17"/>
  <c r="S21" i="17"/>
  <c r="R21" i="17"/>
  <c r="Q21" i="17"/>
  <c r="P21" i="17"/>
  <c r="T20" i="17"/>
  <c r="J11" i="17" s="1"/>
  <c r="S20" i="17"/>
  <c r="I11" i="17" s="1"/>
  <c r="R20" i="17"/>
  <c r="G11" i="17" s="1"/>
  <c r="Q20" i="17"/>
  <c r="P20" i="17"/>
  <c r="E11" i="17" s="1"/>
  <c r="T19" i="17"/>
  <c r="J19" i="17" s="1"/>
  <c r="S19" i="17"/>
  <c r="I19" i="17" s="1"/>
  <c r="R19" i="17"/>
  <c r="Q19" i="17"/>
  <c r="P19" i="17"/>
  <c r="E19" i="17" s="1"/>
  <c r="T18" i="17"/>
  <c r="S18" i="17"/>
  <c r="R18" i="17"/>
  <c r="H18" i="17" s="1"/>
  <c r="Q18" i="17"/>
  <c r="F18" i="17" s="1"/>
  <c r="P18" i="17"/>
  <c r="T17" i="17"/>
  <c r="S17" i="17"/>
  <c r="I17" i="17" s="1"/>
  <c r="R17" i="17"/>
  <c r="Q17" i="17"/>
  <c r="P17" i="17"/>
  <c r="T16" i="17"/>
  <c r="S16" i="17"/>
  <c r="I10" i="17" s="1"/>
  <c r="I13" i="17" s="1"/>
  <c r="I26" i="17" s="1"/>
  <c r="R16" i="17"/>
  <c r="Q16" i="17"/>
  <c r="P16" i="17"/>
  <c r="T15" i="17"/>
  <c r="S15" i="17"/>
  <c r="R15" i="17"/>
  <c r="Q15" i="17"/>
  <c r="P15" i="17"/>
  <c r="T14" i="17"/>
  <c r="S14" i="17"/>
  <c r="R14" i="17"/>
  <c r="H10" i="17" s="1"/>
  <c r="Q14" i="17"/>
  <c r="P14" i="17"/>
  <c r="T12" i="17"/>
  <c r="Q12" i="17"/>
  <c r="T11" i="17"/>
  <c r="R11" i="17"/>
  <c r="P11" i="17"/>
  <c r="T10" i="17"/>
  <c r="S10" i="17"/>
  <c r="R10" i="17"/>
  <c r="Q10" i="17"/>
  <c r="P10" i="17"/>
  <c r="T9" i="17"/>
  <c r="J16" i="17" s="1"/>
  <c r="J27" i="17" s="1"/>
  <c r="S9" i="17"/>
  <c r="I16" i="17" s="1"/>
  <c r="R9" i="17"/>
  <c r="Q9" i="17"/>
  <c r="F16" i="17" s="1"/>
  <c r="P9" i="17"/>
  <c r="E16" i="17" s="1"/>
  <c r="E27" i="17" s="1"/>
  <c r="T8" i="17"/>
  <c r="S8" i="17"/>
  <c r="R8" i="17"/>
  <c r="Q8" i="17"/>
  <c r="P8" i="17"/>
  <c r="T7" i="17"/>
  <c r="S7" i="17"/>
  <c r="R7" i="17"/>
  <c r="Q7" i="17"/>
  <c r="P7" i="17"/>
  <c r="P38" i="13"/>
  <c r="O38" i="13"/>
  <c r="N38" i="13"/>
  <c r="M38" i="13"/>
  <c r="D38" i="13"/>
  <c r="P37" i="13"/>
  <c r="O37" i="13"/>
  <c r="N37" i="13"/>
  <c r="M37" i="13"/>
  <c r="D37" i="13"/>
  <c r="AK37" i="13" s="1"/>
  <c r="P36" i="13"/>
  <c r="O36" i="13"/>
  <c r="N36" i="13"/>
  <c r="M36" i="13"/>
  <c r="S36" i="13" s="1"/>
  <c r="Y36" i="13" s="1"/>
  <c r="AO36" i="13" s="1"/>
  <c r="D36" i="13"/>
  <c r="P35" i="13"/>
  <c r="O35" i="13"/>
  <c r="N35" i="13"/>
  <c r="M35" i="13"/>
  <c r="D35" i="13"/>
  <c r="I35" i="13" s="1"/>
  <c r="W35" i="13" s="1"/>
  <c r="P34" i="13"/>
  <c r="O34" i="13"/>
  <c r="N34" i="13"/>
  <c r="M34" i="13"/>
  <c r="D34" i="13"/>
  <c r="P33" i="13"/>
  <c r="O33" i="13"/>
  <c r="N33" i="13"/>
  <c r="M33" i="13"/>
  <c r="D33" i="13"/>
  <c r="I33" i="13" s="1"/>
  <c r="W33" i="13" s="1"/>
  <c r="P32" i="13"/>
  <c r="O32" i="13"/>
  <c r="N32" i="13"/>
  <c r="M32" i="13"/>
  <c r="D32" i="13"/>
  <c r="AK32" i="13" s="1"/>
  <c r="P31" i="13"/>
  <c r="O31" i="13"/>
  <c r="N31" i="13"/>
  <c r="M31" i="13"/>
  <c r="D31" i="13"/>
  <c r="AL31" i="13" s="1"/>
  <c r="P30" i="13"/>
  <c r="O30" i="13"/>
  <c r="N30" i="13"/>
  <c r="M30" i="13"/>
  <c r="D30" i="13"/>
  <c r="P29" i="13"/>
  <c r="O29" i="13"/>
  <c r="N29" i="13"/>
  <c r="M29" i="13"/>
  <c r="D29" i="13"/>
  <c r="AL29" i="13" s="1"/>
  <c r="P28" i="13"/>
  <c r="O28" i="13"/>
  <c r="N28" i="13"/>
  <c r="M28" i="13"/>
  <c r="D28" i="13"/>
  <c r="AK28" i="13" s="1"/>
  <c r="P27" i="13"/>
  <c r="O27" i="13"/>
  <c r="N27" i="13"/>
  <c r="M27" i="13"/>
  <c r="D27" i="13"/>
  <c r="I27" i="13" s="1"/>
  <c r="W27" i="13" s="1"/>
  <c r="D26" i="13"/>
  <c r="D25" i="13"/>
  <c r="I25" i="13" s="1"/>
  <c r="D24" i="13"/>
  <c r="D23" i="13"/>
  <c r="I23" i="13" s="1"/>
  <c r="P22" i="13"/>
  <c r="O22" i="13"/>
  <c r="N22" i="13"/>
  <c r="M22" i="13"/>
  <c r="D22" i="13"/>
  <c r="P21" i="13"/>
  <c r="O21" i="13"/>
  <c r="N21" i="13"/>
  <c r="M21" i="13"/>
  <c r="D21" i="13"/>
  <c r="I21" i="13" s="1"/>
  <c r="W21" i="13" s="1"/>
  <c r="D20" i="13"/>
  <c r="I20" i="13" s="1"/>
  <c r="D19" i="13"/>
  <c r="AL19" i="13" s="1"/>
  <c r="D18" i="13"/>
  <c r="I18" i="13" s="1"/>
  <c r="D17" i="13"/>
  <c r="I17" i="13" s="1"/>
  <c r="D16" i="13"/>
  <c r="I16" i="13" s="1"/>
  <c r="D15" i="13"/>
  <c r="AL15" i="13" s="1"/>
  <c r="D14" i="13"/>
  <c r="I14" i="13" s="1"/>
  <c r="D13" i="13"/>
  <c r="I13" i="13" s="1"/>
  <c r="D12" i="13"/>
  <c r="I12" i="13" s="1"/>
  <c r="H11" i="13"/>
  <c r="F11" i="13"/>
  <c r="E11" i="13"/>
  <c r="I11" i="13" s="1"/>
  <c r="D11" i="13"/>
  <c r="AK11" i="13" s="1"/>
  <c r="D10" i="13"/>
  <c r="AL10" i="13" s="1"/>
  <c r="H9" i="13"/>
  <c r="G9" i="13"/>
  <c r="I9" i="13" s="1"/>
  <c r="F9" i="13"/>
  <c r="E9" i="13"/>
  <c r="D9" i="13"/>
  <c r="AL9" i="13" s="1"/>
  <c r="D8" i="13"/>
  <c r="I8" i="13" s="1"/>
  <c r="D7" i="13"/>
  <c r="D6" i="13"/>
  <c r="AK6" i="13" s="1"/>
  <c r="B6" i="19"/>
  <c r="B5" i="19"/>
  <c r="E12" i="19" s="1"/>
  <c r="B4" i="19"/>
  <c r="B3" i="19"/>
  <c r="F24" i="7"/>
  <c r="E24" i="7"/>
  <c r="D24" i="7"/>
  <c r="G20" i="7"/>
  <c r="F20" i="7"/>
  <c r="D20" i="7"/>
  <c r="G19" i="7"/>
  <c r="F19" i="7"/>
  <c r="D19" i="7"/>
  <c r="E7" i="7"/>
  <c r="D7" i="7"/>
  <c r="C7" i="7"/>
  <c r="E6" i="7"/>
  <c r="D6" i="7"/>
  <c r="C6" i="7"/>
  <c r="H163" i="16"/>
  <c r="H162" i="16"/>
  <c r="H161" i="16"/>
  <c r="E161" i="16"/>
  <c r="H160" i="16"/>
  <c r="H159" i="16"/>
  <c r="H158" i="16"/>
  <c r="E158" i="16"/>
  <c r="H157" i="16"/>
  <c r="E157" i="16"/>
  <c r="H156" i="16"/>
  <c r="E156" i="16"/>
  <c r="H155" i="16"/>
  <c r="E155" i="16"/>
  <c r="H154" i="16"/>
  <c r="H153" i="16"/>
  <c r="H152" i="16"/>
  <c r="E152" i="16"/>
  <c r="H151" i="16"/>
  <c r="E151" i="16"/>
  <c r="H150" i="16"/>
  <c r="H149" i="16"/>
  <c r="H148" i="16"/>
  <c r="E148" i="16"/>
  <c r="H147" i="16"/>
  <c r="E147" i="16"/>
  <c r="H146" i="16"/>
  <c r="E146" i="16"/>
  <c r="H145" i="16"/>
  <c r="H144" i="16"/>
  <c r="H143" i="16"/>
  <c r="E143" i="16"/>
  <c r="H142" i="16"/>
  <c r="E142" i="16"/>
  <c r="H141" i="16"/>
  <c r="H140" i="16"/>
  <c r="H139" i="16"/>
  <c r="E139" i="16"/>
  <c r="H138" i="16"/>
  <c r="E138" i="16"/>
  <c r="H137" i="16"/>
  <c r="H136" i="16"/>
  <c r="E136" i="16"/>
  <c r="H135" i="16"/>
  <c r="E135" i="16"/>
  <c r="H134" i="16"/>
  <c r="H133" i="16"/>
  <c r="H132" i="16"/>
  <c r="H131" i="16"/>
  <c r="E131" i="16"/>
  <c r="H130" i="16"/>
  <c r="E130" i="16"/>
  <c r="H129" i="16"/>
  <c r="H128" i="16"/>
  <c r="H127" i="16"/>
  <c r="H126" i="16"/>
  <c r="E126" i="16"/>
  <c r="H125" i="16"/>
  <c r="E125" i="16"/>
  <c r="H124" i="16"/>
  <c r="H123" i="16"/>
  <c r="H122" i="16"/>
  <c r="E122" i="16"/>
  <c r="H121" i="16"/>
  <c r="E121" i="16"/>
  <c r="H120" i="16"/>
  <c r="E120" i="16"/>
  <c r="H119" i="16"/>
  <c r="E119" i="16"/>
  <c r="H118" i="16"/>
  <c r="H117" i="16"/>
  <c r="H116" i="16"/>
  <c r="H115" i="16"/>
  <c r="H114" i="16"/>
  <c r="E114" i="16"/>
  <c r="H113" i="16"/>
  <c r="E113" i="16"/>
  <c r="H112" i="16"/>
  <c r="E112" i="16"/>
  <c r="H111" i="16"/>
  <c r="H110" i="16"/>
  <c r="H109" i="16"/>
  <c r="H108" i="16"/>
  <c r="H107" i="16"/>
  <c r="H106" i="16"/>
  <c r="H105" i="16"/>
  <c r="H104" i="16"/>
  <c r="E104" i="16"/>
  <c r="H103" i="16"/>
  <c r="E103" i="16"/>
  <c r="H102" i="16"/>
  <c r="H101" i="16"/>
  <c r="E101" i="16"/>
  <c r="H100" i="16"/>
  <c r="E100" i="16"/>
  <c r="H99" i="16"/>
  <c r="H98" i="16"/>
  <c r="H97" i="16"/>
  <c r="H96" i="16"/>
  <c r="H95" i="16"/>
  <c r="H94" i="16"/>
  <c r="H93" i="16"/>
  <c r="E93" i="16"/>
  <c r="H92" i="16"/>
  <c r="E92" i="16"/>
  <c r="H91" i="16"/>
  <c r="H90" i="16"/>
  <c r="H89" i="16"/>
  <c r="H88" i="16"/>
  <c r="H87" i="16"/>
  <c r="E87" i="16"/>
  <c r="H86" i="16"/>
  <c r="E86" i="16"/>
  <c r="H85" i="16"/>
  <c r="H84" i="16"/>
  <c r="H83" i="16"/>
  <c r="H82" i="16"/>
  <c r="H81" i="16"/>
  <c r="E81" i="16"/>
  <c r="H80" i="16"/>
  <c r="E80" i="16"/>
  <c r="H79" i="16"/>
  <c r="E79" i="16"/>
  <c r="H78" i="16"/>
  <c r="H77" i="16"/>
  <c r="H76" i="16"/>
  <c r="H75" i="16"/>
  <c r="H74" i="16"/>
  <c r="E74" i="16"/>
  <c r="H73" i="16"/>
  <c r="E73" i="16"/>
  <c r="H72" i="16"/>
  <c r="E72" i="16"/>
  <c r="H71" i="16"/>
  <c r="E71" i="16"/>
  <c r="H70" i="16"/>
  <c r="H69" i="16"/>
  <c r="H68" i="16"/>
  <c r="H67" i="16"/>
  <c r="H66" i="16"/>
  <c r="H65" i="16"/>
  <c r="E65" i="16"/>
  <c r="H64" i="16"/>
  <c r="H63" i="16"/>
  <c r="H62" i="16"/>
  <c r="H61" i="16"/>
  <c r="H60" i="16"/>
  <c r="H59" i="16"/>
  <c r="H58" i="16"/>
  <c r="E58" i="16"/>
  <c r="H57" i="16"/>
  <c r="E57" i="16"/>
  <c r="H56" i="16"/>
  <c r="H55" i="16"/>
  <c r="E55" i="16"/>
  <c r="H54" i="16"/>
  <c r="E54" i="16"/>
  <c r="H53" i="16"/>
  <c r="H52" i="16"/>
  <c r="H51" i="16"/>
  <c r="E51" i="16"/>
  <c r="H50" i="16"/>
  <c r="E50" i="16"/>
  <c r="H49" i="16"/>
  <c r="H48" i="16"/>
  <c r="H47" i="16"/>
  <c r="E47" i="16"/>
  <c r="H46" i="16"/>
  <c r="E46" i="16"/>
  <c r="H45" i="16"/>
  <c r="H44" i="16"/>
  <c r="H43" i="16"/>
  <c r="H42" i="16"/>
  <c r="H41" i="16"/>
  <c r="E41" i="16"/>
  <c r="H40" i="16"/>
  <c r="E40" i="16"/>
  <c r="H39" i="16"/>
  <c r="E39" i="16"/>
  <c r="H38" i="16"/>
  <c r="E38" i="16"/>
  <c r="H37" i="16"/>
  <c r="H36" i="16"/>
  <c r="H35" i="16"/>
  <c r="H34" i="16"/>
  <c r="H33" i="16"/>
  <c r="H32" i="16"/>
  <c r="E32" i="16"/>
  <c r="H31" i="16"/>
  <c r="E31" i="16"/>
  <c r="H30" i="16"/>
  <c r="H29" i="16"/>
  <c r="H28" i="16"/>
  <c r="H27" i="16"/>
  <c r="H26" i="16"/>
  <c r="E26" i="16"/>
  <c r="H25" i="16"/>
  <c r="E25" i="16"/>
  <c r="H24" i="16"/>
  <c r="H23" i="16"/>
  <c r="E23" i="16"/>
  <c r="H22" i="16"/>
  <c r="E22" i="16"/>
  <c r="H21" i="16"/>
  <c r="H20" i="16"/>
  <c r="C53" i="12"/>
  <c r="C52" i="12"/>
  <c r="C51" i="12"/>
  <c r="C50" i="12"/>
  <c r="C49" i="12"/>
  <c r="I43" i="12"/>
  <c r="F43" i="12"/>
  <c r="C43" i="12"/>
  <c r="I42" i="12"/>
  <c r="F42" i="12"/>
  <c r="C42" i="12"/>
  <c r="I39" i="12"/>
  <c r="F39" i="12"/>
  <c r="C39" i="12"/>
  <c r="G6" i="12" s="1"/>
  <c r="C31" i="12"/>
  <c r="C30" i="12"/>
  <c r="C29" i="12"/>
  <c r="C28" i="12"/>
  <c r="I22" i="12"/>
  <c r="F22" i="12"/>
  <c r="C22" i="12"/>
  <c r="I21" i="12"/>
  <c r="F21" i="12"/>
  <c r="C21" i="12"/>
  <c r="I20" i="12"/>
  <c r="F20" i="12"/>
  <c r="C7" i="12" s="1"/>
  <c r="C20" i="12"/>
  <c r="I19" i="12"/>
  <c r="F19" i="12"/>
  <c r="C19" i="12"/>
  <c r="C6" i="12" s="1"/>
  <c r="S65" i="17"/>
  <c r="S64" i="17"/>
  <c r="S63" i="17"/>
  <c r="G64" i="17"/>
  <c r="H62" i="17" s="1"/>
  <c r="T29" i="17"/>
  <c r="S29" i="17"/>
  <c r="S39" i="17" s="1"/>
  <c r="R29" i="17"/>
  <c r="R39" i="17" s="1"/>
  <c r="Q29" i="17"/>
  <c r="P29" i="17"/>
  <c r="P27" i="17"/>
  <c r="Q27" i="17" s="1"/>
  <c r="Q28" i="17"/>
  <c r="F19" i="17"/>
  <c r="H19" i="17"/>
  <c r="I18" i="17"/>
  <c r="J18" i="17"/>
  <c r="E18" i="17"/>
  <c r="F17" i="17"/>
  <c r="J17" i="17"/>
  <c r="H17" i="17"/>
  <c r="E17" i="17"/>
  <c r="J10" i="17"/>
  <c r="J13" i="17" s="1"/>
  <c r="J26" i="17" s="1"/>
  <c r="E10" i="17"/>
  <c r="E12" i="17"/>
  <c r="H11" i="17"/>
  <c r="F11" i="17"/>
  <c r="F10" i="17"/>
  <c r="F13" i="17" s="1"/>
  <c r="F26" i="17" s="1"/>
  <c r="H16" i="17"/>
  <c r="H27" i="17" s="1"/>
  <c r="AR38" i="13"/>
  <c r="AA38" i="13"/>
  <c r="AQ38" i="13" s="1"/>
  <c r="Z38" i="13"/>
  <c r="AP38" i="13" s="1"/>
  <c r="Y38" i="13"/>
  <c r="AO38" i="13" s="1"/>
  <c r="AL37" i="13"/>
  <c r="AR37" i="13"/>
  <c r="AA37" i="13"/>
  <c r="AQ37" i="13" s="1"/>
  <c r="Z37" i="13"/>
  <c r="AP37" i="13" s="1"/>
  <c r="Y37" i="13"/>
  <c r="AO37" i="13" s="1"/>
  <c r="I36" i="13"/>
  <c r="T36" i="13" s="1"/>
  <c r="Z36" i="13" s="1"/>
  <c r="AL35" i="13"/>
  <c r="AA35" i="13"/>
  <c r="AQ35" i="13" s="1"/>
  <c r="Z35" i="13"/>
  <c r="AP35" i="13" s="1"/>
  <c r="Y35" i="13"/>
  <c r="AO35" i="13" s="1"/>
  <c r="AK35" i="13"/>
  <c r="AA34" i="13"/>
  <c r="AQ34" i="13" s="1"/>
  <c r="Z34" i="13"/>
  <c r="Y34" i="13"/>
  <c r="AO34" i="13" s="1"/>
  <c r="AK34" i="13"/>
  <c r="AA33" i="13"/>
  <c r="AQ33" i="13" s="1"/>
  <c r="Z33" i="13"/>
  <c r="Y33" i="13"/>
  <c r="AO33" i="13" s="1"/>
  <c r="AL32" i="13"/>
  <c r="AA32" i="13"/>
  <c r="AQ32" i="13" s="1"/>
  <c r="Z32" i="13"/>
  <c r="AP32" i="13" s="1"/>
  <c r="Y32" i="13"/>
  <c r="AO32" i="13" s="1"/>
  <c r="I32" i="13"/>
  <c r="W32" i="13" s="1"/>
  <c r="AA31" i="13"/>
  <c r="Z31" i="13"/>
  <c r="AP31" i="13" s="1"/>
  <c r="Y31" i="13"/>
  <c r="AO31" i="13" s="1"/>
  <c r="I31" i="13"/>
  <c r="U31" i="13" s="1"/>
  <c r="AA30" i="13"/>
  <c r="AQ30" i="13" s="1"/>
  <c r="Z30" i="13"/>
  <c r="AP30" i="13" s="1"/>
  <c r="Y30" i="13"/>
  <c r="AO30" i="13" s="1"/>
  <c r="AK30" i="13"/>
  <c r="AA29" i="13"/>
  <c r="Z29" i="13"/>
  <c r="AP29" i="13" s="1"/>
  <c r="Y29" i="13"/>
  <c r="AL28" i="13"/>
  <c r="AA28" i="13"/>
  <c r="AQ28" i="13" s="1"/>
  <c r="Z28" i="13"/>
  <c r="AP28" i="13" s="1"/>
  <c r="Y28" i="13"/>
  <c r="AO28" i="13" s="1"/>
  <c r="I28" i="13"/>
  <c r="T28" i="13" s="1"/>
  <c r="AL27" i="13"/>
  <c r="AA27" i="13"/>
  <c r="AQ27" i="13" s="1"/>
  <c r="Z27" i="13"/>
  <c r="Y27" i="13"/>
  <c r="AO27" i="13" s="1"/>
  <c r="AK27" i="13"/>
  <c r="I26" i="13"/>
  <c r="I24" i="13"/>
  <c r="AL23" i="13"/>
  <c r="AK23" i="13"/>
  <c r="AA22" i="13"/>
  <c r="AQ22" i="13" s="1"/>
  <c r="Z22" i="13"/>
  <c r="Y22" i="13"/>
  <c r="AO22" i="13" s="1"/>
  <c r="AK22" i="13"/>
  <c r="AA21" i="13"/>
  <c r="AQ21" i="13" s="1"/>
  <c r="Z21" i="13"/>
  <c r="Y21" i="13"/>
  <c r="AO21" i="13" s="1"/>
  <c r="AL20" i="13"/>
  <c r="AK20" i="13"/>
  <c r="I19" i="13"/>
  <c r="AL18" i="13"/>
  <c r="AK18" i="13"/>
  <c r="AL16" i="13"/>
  <c r="AK16" i="13"/>
  <c r="I15" i="13"/>
  <c r="AL14" i="13"/>
  <c r="AK14" i="13"/>
  <c r="AL13" i="13"/>
  <c r="AL12" i="13"/>
  <c r="AK12" i="13"/>
  <c r="AL8" i="13"/>
  <c r="AL7" i="13"/>
  <c r="G154" i="16"/>
  <c r="G153" i="16"/>
  <c r="I153" i="16" s="1"/>
  <c r="G150" i="16"/>
  <c r="G149" i="16"/>
  <c r="I149" i="16" s="1"/>
  <c r="G37" i="16"/>
  <c r="I37" i="16" s="1"/>
  <c r="G9" i="12"/>
  <c r="K155" i="15"/>
  <c r="E163" i="16" s="1"/>
  <c r="G163" i="16" s="1"/>
  <c r="K154" i="15"/>
  <c r="E162" i="16" s="1"/>
  <c r="G162" i="16" s="1"/>
  <c r="I162" i="16" s="1"/>
  <c r="K152" i="15"/>
  <c r="E160" i="16" s="1"/>
  <c r="G160" i="16" s="1"/>
  <c r="K151" i="15"/>
  <c r="E159" i="16" s="1"/>
  <c r="G159" i="16" s="1"/>
  <c r="I159" i="16" s="1"/>
  <c r="K136" i="15"/>
  <c r="E144" i="16" s="1"/>
  <c r="G144" i="16" s="1"/>
  <c r="I144" i="16" s="1"/>
  <c r="K132" i="15"/>
  <c r="E140" i="16" s="1"/>
  <c r="K129" i="15"/>
  <c r="E137" i="16" s="1"/>
  <c r="G137" i="16" s="1"/>
  <c r="K126" i="15"/>
  <c r="E134" i="16" s="1"/>
  <c r="G134" i="16" s="1"/>
  <c r="I134" i="16" s="1"/>
  <c r="K125" i="15"/>
  <c r="E133" i="16" s="1"/>
  <c r="G133" i="16" s="1"/>
  <c r="K124" i="15"/>
  <c r="E132" i="16" s="1"/>
  <c r="G132" i="16" s="1"/>
  <c r="I132" i="16" s="1"/>
  <c r="K121" i="15"/>
  <c r="E129" i="16" s="1"/>
  <c r="G129" i="16" s="1"/>
  <c r="K120" i="15"/>
  <c r="E128" i="16" s="1"/>
  <c r="G128" i="16" s="1"/>
  <c r="I128" i="16" s="1"/>
  <c r="K119" i="15"/>
  <c r="E127" i="16" s="1"/>
  <c r="G127" i="16" s="1"/>
  <c r="K116" i="15"/>
  <c r="E124" i="16" s="1"/>
  <c r="G124" i="16" s="1"/>
  <c r="I124" i="16" s="1"/>
  <c r="K115" i="15"/>
  <c r="E123" i="16" s="1"/>
  <c r="G123" i="16" s="1"/>
  <c r="K110" i="15"/>
  <c r="E118" i="16" s="1"/>
  <c r="G118" i="16" s="1"/>
  <c r="I118" i="16" s="1"/>
  <c r="K108" i="15"/>
  <c r="E116" i="16" s="1"/>
  <c r="G116" i="16" s="1"/>
  <c r="I116" i="16" s="1"/>
  <c r="K107" i="15"/>
  <c r="E115" i="16" s="1"/>
  <c r="G115" i="16" s="1"/>
  <c r="I115" i="16" s="1"/>
  <c r="K103" i="15"/>
  <c r="E111" i="16" s="1"/>
  <c r="G111" i="16" s="1"/>
  <c r="I111" i="16" s="1"/>
  <c r="K101" i="15"/>
  <c r="E109" i="16" s="1"/>
  <c r="G109" i="16" s="1"/>
  <c r="I109" i="16" s="1"/>
  <c r="K100" i="15"/>
  <c r="E108" i="16" s="1"/>
  <c r="G108" i="16" s="1"/>
  <c r="K99" i="15"/>
  <c r="E107" i="16" s="1"/>
  <c r="G107" i="16" s="1"/>
  <c r="I107" i="16" s="1"/>
  <c r="K98" i="15"/>
  <c r="E106" i="16" s="1"/>
  <c r="K97" i="15"/>
  <c r="E105" i="16" s="1"/>
  <c r="G105" i="16" s="1"/>
  <c r="I105" i="16" s="1"/>
  <c r="K94" i="15"/>
  <c r="E102" i="16" s="1"/>
  <c r="G102" i="16" s="1"/>
  <c r="K91" i="15"/>
  <c r="E99" i="16" s="1"/>
  <c r="G99" i="16" s="1"/>
  <c r="I99" i="16" s="1"/>
  <c r="K90" i="15"/>
  <c r="E98" i="16" s="1"/>
  <c r="G98" i="16" s="1"/>
  <c r="K89" i="15"/>
  <c r="E97" i="16" s="1"/>
  <c r="G97" i="16" s="1"/>
  <c r="I97" i="16" s="1"/>
  <c r="K88" i="15"/>
  <c r="E96" i="16" s="1"/>
  <c r="G96" i="16" s="1"/>
  <c r="K87" i="15"/>
  <c r="E95" i="16" s="1"/>
  <c r="G95" i="16" s="1"/>
  <c r="I95" i="16" s="1"/>
  <c r="K86" i="15"/>
  <c r="E94" i="16" s="1"/>
  <c r="G94" i="16" s="1"/>
  <c r="K83" i="15"/>
  <c r="E91" i="16" s="1"/>
  <c r="G91" i="16" s="1"/>
  <c r="I91" i="16" s="1"/>
  <c r="K82" i="15"/>
  <c r="E90" i="16" s="1"/>
  <c r="G90" i="16" s="1"/>
  <c r="K81" i="15"/>
  <c r="E89" i="16" s="1"/>
  <c r="G89" i="16" s="1"/>
  <c r="I89" i="16" s="1"/>
  <c r="K80" i="15"/>
  <c r="E88" i="16" s="1"/>
  <c r="G88" i="16" s="1"/>
  <c r="K77" i="15"/>
  <c r="E85" i="16" s="1"/>
  <c r="G85" i="16" s="1"/>
  <c r="I85" i="16" s="1"/>
  <c r="K76" i="15"/>
  <c r="E84" i="16" s="1"/>
  <c r="G84" i="16" s="1"/>
  <c r="K75" i="15"/>
  <c r="E83" i="16" s="1"/>
  <c r="G83" i="16" s="1"/>
  <c r="I83" i="16" s="1"/>
  <c r="K74" i="15"/>
  <c r="E82" i="16" s="1"/>
  <c r="G82" i="16" s="1"/>
  <c r="K70" i="15"/>
  <c r="E78" i="16" s="1"/>
  <c r="G78" i="16" s="1"/>
  <c r="I78" i="16" s="1"/>
  <c r="K69" i="15"/>
  <c r="E77" i="16" s="1"/>
  <c r="G77" i="16" s="1"/>
  <c r="K68" i="15"/>
  <c r="E76" i="16" s="1"/>
  <c r="K67" i="15"/>
  <c r="E75" i="16" s="1"/>
  <c r="G75" i="16" s="1"/>
  <c r="K62" i="15"/>
  <c r="E70" i="16" s="1"/>
  <c r="G70" i="16" s="1"/>
  <c r="I70" i="16" s="1"/>
  <c r="K61" i="15"/>
  <c r="E69" i="16" s="1"/>
  <c r="G69" i="16" s="1"/>
  <c r="K60" i="15"/>
  <c r="E68" i="16" s="1"/>
  <c r="G68" i="16" s="1"/>
  <c r="I68" i="16" s="1"/>
  <c r="K59" i="15"/>
  <c r="E67" i="16" s="1"/>
  <c r="G67" i="16" s="1"/>
  <c r="K58" i="15"/>
  <c r="E66" i="16" s="1"/>
  <c r="G66" i="16" s="1"/>
  <c r="I66" i="16" s="1"/>
  <c r="K55" i="15"/>
  <c r="E63" i="16" s="1"/>
  <c r="G63" i="16" s="1"/>
  <c r="I63" i="16" s="1"/>
  <c r="K54" i="15"/>
  <c r="E62" i="16" s="1"/>
  <c r="G62" i="16" s="1"/>
  <c r="I62" i="16" s="1"/>
  <c r="K53" i="15"/>
  <c r="E61" i="16" s="1"/>
  <c r="K52" i="15"/>
  <c r="E60" i="16" s="1"/>
  <c r="G60" i="16" s="1"/>
  <c r="K51" i="15"/>
  <c r="E59" i="16" s="1"/>
  <c r="G59" i="16" s="1"/>
  <c r="I59" i="16" s="1"/>
  <c r="K48" i="15"/>
  <c r="E56" i="16" s="1"/>
  <c r="G56" i="16" s="1"/>
  <c r="I56" i="16" s="1"/>
  <c r="K45" i="15"/>
  <c r="E53" i="16" s="1"/>
  <c r="G53" i="16" s="1"/>
  <c r="I53" i="16" s="1"/>
  <c r="K44" i="15"/>
  <c r="E52" i="16" s="1"/>
  <c r="G52" i="16" s="1"/>
  <c r="K41" i="15"/>
  <c r="E49" i="16" s="1"/>
  <c r="G49" i="16" s="1"/>
  <c r="I49" i="16" s="1"/>
  <c r="K40" i="15"/>
  <c r="E48" i="16" s="1"/>
  <c r="G48" i="16" s="1"/>
  <c r="I48" i="16" s="1"/>
  <c r="K37" i="15"/>
  <c r="E45" i="16" s="1"/>
  <c r="G45" i="16" s="1"/>
  <c r="I45" i="16" s="1"/>
  <c r="K36" i="15"/>
  <c r="E44" i="16" s="1"/>
  <c r="G44" i="16" s="1"/>
  <c r="K35" i="15"/>
  <c r="E43" i="16" s="1"/>
  <c r="G43" i="16" s="1"/>
  <c r="I43" i="16" s="1"/>
  <c r="K34" i="15"/>
  <c r="E42" i="16" s="1"/>
  <c r="G42" i="16" s="1"/>
  <c r="I42" i="16" s="1"/>
  <c r="K28" i="15"/>
  <c r="E36" i="16" s="1"/>
  <c r="G36" i="16" s="1"/>
  <c r="K27" i="15"/>
  <c r="E35" i="16" s="1"/>
  <c r="G35" i="16" s="1"/>
  <c r="I35" i="16" s="1"/>
  <c r="K26" i="15"/>
  <c r="E34" i="16" s="1"/>
  <c r="G34" i="16" s="1"/>
  <c r="K25" i="15"/>
  <c r="E33" i="16" s="1"/>
  <c r="G33" i="16" s="1"/>
  <c r="I33" i="16" s="1"/>
  <c r="K22" i="15"/>
  <c r="E30" i="16" s="1"/>
  <c r="G30" i="16" s="1"/>
  <c r="K21" i="15"/>
  <c r="E29" i="16" s="1"/>
  <c r="G29" i="16" s="1"/>
  <c r="I29" i="16" s="1"/>
  <c r="K20" i="15"/>
  <c r="E28" i="16" s="1"/>
  <c r="G28" i="16" s="1"/>
  <c r="K19" i="15"/>
  <c r="E27" i="16" s="1"/>
  <c r="G27" i="16" s="1"/>
  <c r="I27" i="16" s="1"/>
  <c r="K16" i="15"/>
  <c r="E24" i="16" s="1"/>
  <c r="G24" i="16" s="1"/>
  <c r="K13" i="15"/>
  <c r="E21" i="16" s="1"/>
  <c r="G21" i="16" s="1"/>
  <c r="I21" i="16" s="1"/>
  <c r="K12" i="15"/>
  <c r="E20" i="16" s="1"/>
  <c r="G20" i="16" s="1"/>
  <c r="G48" i="4"/>
  <c r="K40" i="4"/>
  <c r="I40" i="4"/>
  <c r="Q34" i="4"/>
  <c r="N34" i="4"/>
  <c r="M34" i="4"/>
  <c r="K34" i="4"/>
  <c r="I34" i="4"/>
  <c r="F34" i="4"/>
  <c r="E34" i="4"/>
  <c r="G33" i="4"/>
  <c r="G31" i="4"/>
  <c r="G30" i="4"/>
  <c r="O28" i="4"/>
  <c r="G28" i="4"/>
  <c r="O27" i="4"/>
  <c r="G27" i="4"/>
  <c r="O26" i="4"/>
  <c r="G26" i="4"/>
  <c r="O25" i="4"/>
  <c r="G25" i="4"/>
  <c r="O24" i="4"/>
  <c r="O34" i="4"/>
  <c r="G24" i="4"/>
  <c r="G23" i="4"/>
  <c r="G22" i="4"/>
  <c r="G21" i="4"/>
  <c r="G20" i="4"/>
  <c r="G19" i="4"/>
  <c r="G10" i="13" s="1"/>
  <c r="G18" i="4"/>
  <c r="G17" i="4"/>
  <c r="F10" i="13" s="1"/>
  <c r="G14" i="4"/>
  <c r="G13" i="4"/>
  <c r="G34" i="4" s="1"/>
  <c r="G11" i="4"/>
  <c r="G89" i="3"/>
  <c r="F89" i="3"/>
  <c r="E88" i="3"/>
  <c r="E87" i="3"/>
  <c r="E86" i="3"/>
  <c r="E85" i="3"/>
  <c r="E84" i="3"/>
  <c r="E83" i="3"/>
  <c r="E82" i="3"/>
  <c r="E89" i="3"/>
  <c r="I72" i="3"/>
  <c r="H71" i="3"/>
  <c r="H73" i="3" s="1"/>
  <c r="G71" i="3"/>
  <c r="F71" i="3"/>
  <c r="F7" i="13" s="1"/>
  <c r="E71" i="3"/>
  <c r="I70" i="3"/>
  <c r="I69" i="3"/>
  <c r="I68" i="3"/>
  <c r="I67" i="3"/>
  <c r="I66" i="3"/>
  <c r="I65" i="3"/>
  <c r="I64" i="3"/>
  <c r="I63" i="3"/>
  <c r="I62" i="3"/>
  <c r="G57" i="3"/>
  <c r="E76" i="3" s="1"/>
  <c r="F56" i="3"/>
  <c r="F58" i="3" s="1"/>
  <c r="E56" i="3"/>
  <c r="E58" i="3" s="1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7" i="13" s="1"/>
  <c r="G40" i="3"/>
  <c r="G39" i="3"/>
  <c r="G38" i="3"/>
  <c r="G37" i="3"/>
  <c r="G36" i="3"/>
  <c r="G35" i="3"/>
  <c r="G34" i="3"/>
  <c r="G33" i="3"/>
  <c r="G32" i="3"/>
  <c r="G31" i="3"/>
  <c r="L24" i="3"/>
  <c r="L22" i="3"/>
  <c r="K21" i="3"/>
  <c r="K23" i="3" s="1"/>
  <c r="K25" i="3" s="1"/>
  <c r="J21" i="3"/>
  <c r="J23" i="3" s="1"/>
  <c r="J25" i="3" s="1"/>
  <c r="I21" i="3"/>
  <c r="I23" i="3" s="1"/>
  <c r="I25" i="3" s="1"/>
  <c r="H21" i="3"/>
  <c r="H23" i="3"/>
  <c r="H25" i="3" s="1"/>
  <c r="G21" i="3"/>
  <c r="G23" i="3" s="1"/>
  <c r="G25" i="3" s="1"/>
  <c r="F21" i="3"/>
  <c r="F23" i="3" s="1"/>
  <c r="F25" i="3" s="1"/>
  <c r="E21" i="3"/>
  <c r="E23" i="3" s="1"/>
  <c r="L20" i="3"/>
  <c r="L19" i="3"/>
  <c r="L18" i="3"/>
  <c r="L17" i="3"/>
  <c r="L16" i="3"/>
  <c r="L15" i="3"/>
  <c r="L14" i="3"/>
  <c r="L13" i="3"/>
  <c r="L12" i="3"/>
  <c r="L11" i="3"/>
  <c r="H6" i="13" s="1"/>
  <c r="L10" i="3"/>
  <c r="H99" i="2"/>
  <c r="G99" i="2"/>
  <c r="G83" i="2"/>
  <c r="L81" i="2"/>
  <c r="K81" i="2"/>
  <c r="J81" i="2"/>
  <c r="I81" i="2"/>
  <c r="H81" i="2"/>
  <c r="G80" i="2"/>
  <c r="G79" i="2"/>
  <c r="G78" i="2"/>
  <c r="G81" i="2" s="1"/>
  <c r="L71" i="2"/>
  <c r="K71" i="2"/>
  <c r="J71" i="2"/>
  <c r="I71" i="2"/>
  <c r="H71" i="2"/>
  <c r="G70" i="2"/>
  <c r="G69" i="2"/>
  <c r="G68" i="2"/>
  <c r="G67" i="2"/>
  <c r="G63" i="2"/>
  <c r="G62" i="2"/>
  <c r="G58" i="2"/>
  <c r="J51" i="2"/>
  <c r="H51" i="2"/>
  <c r="G51" i="2"/>
  <c r="I50" i="2"/>
  <c r="K50" i="2" s="1"/>
  <c r="I49" i="2"/>
  <c r="K49" i="2" s="1"/>
  <c r="I48" i="2"/>
  <c r="K48" i="2" s="1"/>
  <c r="I47" i="2"/>
  <c r="K47" i="2" s="1"/>
  <c r="I46" i="2"/>
  <c r="K46" i="2" s="1"/>
  <c r="I45" i="2"/>
  <c r="K45" i="2" s="1"/>
  <c r="I44" i="2"/>
  <c r="K44" i="2" s="1"/>
  <c r="I43" i="2"/>
  <c r="K43" i="2" s="1"/>
  <c r="I42" i="2"/>
  <c r="K42" i="2" s="1"/>
  <c r="I41" i="2"/>
  <c r="K41" i="2" s="1"/>
  <c r="I40" i="2"/>
  <c r="K40" i="2" s="1"/>
  <c r="I39" i="2"/>
  <c r="K39" i="2" s="1"/>
  <c r="I38" i="2"/>
  <c r="G34" i="2"/>
  <c r="H23" i="2"/>
  <c r="H19" i="2"/>
  <c r="H15" i="2"/>
  <c r="F27" i="17"/>
  <c r="I27" i="17"/>
  <c r="H59" i="17"/>
  <c r="S31" i="13"/>
  <c r="AK7" i="13"/>
  <c r="AK8" i="13"/>
  <c r="AK9" i="13"/>
  <c r="AK10" i="13"/>
  <c r="AL11" i="13"/>
  <c r="AP27" i="13"/>
  <c r="V31" i="13"/>
  <c r="S28" i="13"/>
  <c r="AL6" i="13"/>
  <c r="V28" i="13"/>
  <c r="C20" i="19"/>
  <c r="C21" i="19" s="1"/>
  <c r="AH38" i="13" s="1"/>
  <c r="K38" i="2"/>
  <c r="AR21" i="13"/>
  <c r="AP22" i="13"/>
  <c r="AR27" i="13"/>
  <c r="AR28" i="13"/>
  <c r="AQ29" i="13"/>
  <c r="AR29" i="13"/>
  <c r="AQ31" i="13"/>
  <c r="AR31" i="13"/>
  <c r="AR32" i="13"/>
  <c r="AR33" i="13"/>
  <c r="AP34" i="13"/>
  <c r="AR35" i="13"/>
  <c r="AX35" i="13" l="1"/>
  <c r="G56" i="3"/>
  <c r="L21" i="3"/>
  <c r="H7" i="13"/>
  <c r="H10" i="13"/>
  <c r="AK13" i="13"/>
  <c r="AL17" i="13"/>
  <c r="AK33" i="13"/>
  <c r="AL33" i="13"/>
  <c r="I37" i="13"/>
  <c r="U37" i="13" s="1"/>
  <c r="Q32" i="17"/>
  <c r="T39" i="17"/>
  <c r="AX32" i="13"/>
  <c r="F11" i="19"/>
  <c r="F20" i="19" s="1"/>
  <c r="F21" i="19" s="1"/>
  <c r="H61" i="17"/>
  <c r="G71" i="2"/>
  <c r="F6" i="13"/>
  <c r="E7" i="13"/>
  <c r="I7" i="13" s="1"/>
  <c r="E10" i="13"/>
  <c r="AK21" i="13"/>
  <c r="AL21" i="13"/>
  <c r="AK25" i="13"/>
  <c r="S32" i="17"/>
  <c r="S29" i="13"/>
  <c r="W36" i="13"/>
  <c r="W28" i="13"/>
  <c r="H25" i="2"/>
  <c r="I51" i="2"/>
  <c r="E6" i="13"/>
  <c r="I6" i="13" s="1"/>
  <c r="I71" i="3"/>
  <c r="I44" i="16"/>
  <c r="I52" i="16"/>
  <c r="I60" i="16"/>
  <c r="K7" i="16" s="1"/>
  <c r="AK17" i="13"/>
  <c r="AL25" i="13"/>
  <c r="I29" i="13"/>
  <c r="P39" i="17"/>
  <c r="C8" i="12"/>
  <c r="D11" i="19"/>
  <c r="D20" i="19" s="1"/>
  <c r="D21" i="19" s="1"/>
  <c r="W31" i="13"/>
  <c r="T32" i="13"/>
  <c r="AX34" i="13"/>
  <c r="AX33" i="13"/>
  <c r="U28" i="13"/>
  <c r="S21" i="13"/>
  <c r="V21" i="13"/>
  <c r="T21" i="13"/>
  <c r="U21" i="13"/>
  <c r="S27" i="13"/>
  <c r="U27" i="13"/>
  <c r="V27" i="13"/>
  <c r="T27" i="13"/>
  <c r="U33" i="13"/>
  <c r="S33" i="13"/>
  <c r="V33" i="13"/>
  <c r="T33" i="13"/>
  <c r="U35" i="13"/>
  <c r="V35" i="13"/>
  <c r="T35" i="13"/>
  <c r="S35" i="13"/>
  <c r="E11" i="19"/>
  <c r="E20" i="19" s="1"/>
  <c r="E21" i="19" s="1"/>
  <c r="F12" i="19"/>
  <c r="T31" i="13"/>
  <c r="D39" i="13"/>
  <c r="S32" i="13"/>
  <c r="H63" i="17"/>
  <c r="H60" i="17"/>
  <c r="S61" i="17"/>
  <c r="D46" i="17"/>
  <c r="I20" i="16"/>
  <c r="I24" i="16"/>
  <c r="I28" i="16"/>
  <c r="I30" i="16"/>
  <c r="I34" i="16"/>
  <c r="I36" i="16"/>
  <c r="I67" i="16"/>
  <c r="I69" i="16"/>
  <c r="I75" i="16"/>
  <c r="I77" i="16"/>
  <c r="I82" i="16"/>
  <c r="C8" i="16" s="1"/>
  <c r="I84" i="16"/>
  <c r="I88" i="16"/>
  <c r="I90" i="16"/>
  <c r="I94" i="16"/>
  <c r="I96" i="16"/>
  <c r="I98" i="16"/>
  <c r="I102" i="16"/>
  <c r="I108" i="16"/>
  <c r="I123" i="16"/>
  <c r="I127" i="16"/>
  <c r="I129" i="16"/>
  <c r="I133" i="16"/>
  <c r="I137" i="16"/>
  <c r="I160" i="16"/>
  <c r="I163" i="16"/>
  <c r="I150" i="16"/>
  <c r="I154" i="16"/>
  <c r="AK15" i="13"/>
  <c r="AK19" i="13"/>
  <c r="AK29" i="13"/>
  <c r="AK31" i="13"/>
  <c r="B20" i="19"/>
  <c r="B21" i="19" s="1"/>
  <c r="H39" i="13"/>
  <c r="G61" i="16"/>
  <c r="I61" i="16" s="1"/>
  <c r="E64" i="16"/>
  <c r="G64" i="16" s="1"/>
  <c r="I64" i="16" s="1"/>
  <c r="G106" i="16"/>
  <c r="I106" i="16" s="1"/>
  <c r="E110" i="16"/>
  <c r="G110" i="16" s="1"/>
  <c r="I110" i="16" s="1"/>
  <c r="K51" i="2"/>
  <c r="F39" i="13"/>
  <c r="G58" i="3"/>
  <c r="E77" i="3"/>
  <c r="I10" i="13"/>
  <c r="E25" i="3"/>
  <c r="L25" i="3" s="1"/>
  <c r="L23" i="3"/>
  <c r="I73" i="3"/>
  <c r="E75" i="3"/>
  <c r="G76" i="16"/>
  <c r="I76" i="16" s="1"/>
  <c r="E117" i="16"/>
  <c r="G117" i="16" s="1"/>
  <c r="I117" i="16" s="1"/>
  <c r="E145" i="16"/>
  <c r="G145" i="16" s="1"/>
  <c r="I145" i="16" s="1"/>
  <c r="G140" i="16"/>
  <c r="I140" i="16" s="1"/>
  <c r="E141" i="16"/>
  <c r="G141" i="16" s="1"/>
  <c r="I141" i="16" s="1"/>
  <c r="R27" i="17"/>
  <c r="R28" i="17"/>
  <c r="AX31" i="13"/>
  <c r="AX30" i="13"/>
  <c r="AX29" i="13"/>
  <c r="AX28" i="13"/>
  <c r="AX27" i="13"/>
  <c r="AX22" i="13"/>
  <c r="AX21" i="13"/>
  <c r="E73" i="3"/>
  <c r="F73" i="3"/>
  <c r="G73" i="3"/>
  <c r="E13" i="17"/>
  <c r="E26" i="17" s="1"/>
  <c r="P32" i="17"/>
  <c r="C9" i="12"/>
  <c r="D8" i="12" s="1"/>
  <c r="G10" i="12"/>
  <c r="G50" i="12"/>
  <c r="G22" i="16"/>
  <c r="I22" i="16" s="1"/>
  <c r="P6" i="16" s="1"/>
  <c r="G23" i="16"/>
  <c r="I23" i="16" s="1"/>
  <c r="G25" i="16"/>
  <c r="I25" i="16" s="1"/>
  <c r="I164" i="16" s="1"/>
  <c r="G26" i="16"/>
  <c r="I26" i="16" s="1"/>
  <c r="G31" i="16"/>
  <c r="I31" i="16" s="1"/>
  <c r="G32" i="16"/>
  <c r="I32" i="16" s="1"/>
  <c r="G38" i="16"/>
  <c r="I38" i="16" s="1"/>
  <c r="G39" i="16"/>
  <c r="I39" i="16" s="1"/>
  <c r="G40" i="16"/>
  <c r="I40" i="16" s="1"/>
  <c r="G41" i="16"/>
  <c r="I41" i="16" s="1"/>
  <c r="G46" i="16"/>
  <c r="I46" i="16" s="1"/>
  <c r="G8" i="16" s="1"/>
  <c r="G47" i="16"/>
  <c r="I47" i="16" s="1"/>
  <c r="G50" i="16"/>
  <c r="I50" i="16" s="1"/>
  <c r="G51" i="16"/>
  <c r="I51" i="16" s="1"/>
  <c r="G54" i="16"/>
  <c r="I54" i="16" s="1"/>
  <c r="G55" i="16"/>
  <c r="I55" i="16" s="1"/>
  <c r="G57" i="16"/>
  <c r="I57" i="16" s="1"/>
  <c r="G58" i="16"/>
  <c r="I58" i="16" s="1"/>
  <c r="G65" i="16"/>
  <c r="I65" i="16" s="1"/>
  <c r="G71" i="16"/>
  <c r="I71" i="16" s="1"/>
  <c r="G72" i="16"/>
  <c r="I72" i="16" s="1"/>
  <c r="G73" i="16"/>
  <c r="I73" i="16" s="1"/>
  <c r="G74" i="16"/>
  <c r="I74" i="16" s="1"/>
  <c r="G79" i="16"/>
  <c r="I79" i="16" s="1"/>
  <c r="G80" i="16"/>
  <c r="I80" i="16" s="1"/>
  <c r="G81" i="16"/>
  <c r="I81" i="16" s="1"/>
  <c r="G86" i="16"/>
  <c r="I86" i="16" s="1"/>
  <c r="G87" i="16"/>
  <c r="I87" i="16" s="1"/>
  <c r="G92" i="16"/>
  <c r="I92" i="16" s="1"/>
  <c r="G93" i="16"/>
  <c r="I93" i="16" s="1"/>
  <c r="G100" i="16"/>
  <c r="I100" i="16" s="1"/>
  <c r="G101" i="16"/>
  <c r="I101" i="16" s="1"/>
  <c r="G103" i="16"/>
  <c r="I103" i="16" s="1"/>
  <c r="G104" i="16"/>
  <c r="I104" i="16" s="1"/>
  <c r="G112" i="16"/>
  <c r="I112" i="16" s="1"/>
  <c r="G113" i="16"/>
  <c r="I113" i="16" s="1"/>
  <c r="G114" i="16"/>
  <c r="I114" i="16" s="1"/>
  <c r="G119" i="16"/>
  <c r="I119" i="16" s="1"/>
  <c r="G120" i="16"/>
  <c r="I120" i="16" s="1"/>
  <c r="G121" i="16"/>
  <c r="I121" i="16" s="1"/>
  <c r="G122" i="16"/>
  <c r="I122" i="16" s="1"/>
  <c r="G10" i="16" s="1"/>
  <c r="G125" i="16"/>
  <c r="I125" i="16" s="1"/>
  <c r="G126" i="16"/>
  <c r="I126" i="16" s="1"/>
  <c r="K10" i="16" s="1"/>
  <c r="G130" i="16"/>
  <c r="I130" i="16" s="1"/>
  <c r="G131" i="16"/>
  <c r="I131" i="16" s="1"/>
  <c r="G135" i="16"/>
  <c r="I135" i="16" s="1"/>
  <c r="G136" i="16"/>
  <c r="I136" i="16" s="1"/>
  <c r="G138" i="16"/>
  <c r="I138" i="16" s="1"/>
  <c r="G139" i="16"/>
  <c r="I139" i="16" s="1"/>
  <c r="G142" i="16"/>
  <c r="I142" i="16" s="1"/>
  <c r="G143" i="16"/>
  <c r="I143" i="16" s="1"/>
  <c r="G146" i="16"/>
  <c r="I146" i="16" s="1"/>
  <c r="G147" i="16"/>
  <c r="I147" i="16" s="1"/>
  <c r="G148" i="16"/>
  <c r="I148" i="16" s="1"/>
  <c r="D9" i="12"/>
  <c r="E4" i="7" s="1"/>
  <c r="T32" i="17"/>
  <c r="R32" i="17"/>
  <c r="Q39" i="17"/>
  <c r="G6" i="16"/>
  <c r="AV34" i="13"/>
  <c r="AV32" i="13"/>
  <c r="AV30" i="13"/>
  <c r="AV28" i="13"/>
  <c r="AV22" i="13"/>
  <c r="G39" i="13"/>
  <c r="AU36" i="13"/>
  <c r="G151" i="16"/>
  <c r="I151" i="16" s="1"/>
  <c r="G152" i="16"/>
  <c r="I152" i="16" s="1"/>
  <c r="G155" i="16"/>
  <c r="I155" i="16" s="1"/>
  <c r="G156" i="16"/>
  <c r="I156" i="16" s="1"/>
  <c r="G157" i="16"/>
  <c r="I157" i="16" s="1"/>
  <c r="G158" i="16"/>
  <c r="I158" i="16" s="1"/>
  <c r="G161" i="16"/>
  <c r="I161" i="16" s="1"/>
  <c r="AF38" i="13"/>
  <c r="AV38" i="13"/>
  <c r="AF37" i="13"/>
  <c r="AF32" i="13"/>
  <c r="AF31" i="13"/>
  <c r="AF35" i="13"/>
  <c r="AF28" i="13"/>
  <c r="AF27" i="13"/>
  <c r="AE38" i="13"/>
  <c r="AU38" i="13"/>
  <c r="AE37" i="13"/>
  <c r="AE32" i="13"/>
  <c r="AE31" i="13"/>
  <c r="AU31" i="13"/>
  <c r="AE35" i="13"/>
  <c r="AU35" i="13"/>
  <c r="AE28" i="13"/>
  <c r="AE27" i="13"/>
  <c r="AU27" i="13"/>
  <c r="AG38" i="13"/>
  <c r="AW38" i="13"/>
  <c r="AH37" i="13"/>
  <c r="AX37" i="13"/>
  <c r="AG37" i="13"/>
  <c r="AW37" i="13"/>
  <c r="AH32" i="13"/>
  <c r="AG32" i="13"/>
  <c r="AH31" i="13"/>
  <c r="AG31" i="13"/>
  <c r="AH35" i="13"/>
  <c r="AG35" i="13"/>
  <c r="AH28" i="13"/>
  <c r="AG28" i="13"/>
  <c r="AH27" i="13"/>
  <c r="AG27" i="13"/>
  <c r="AP36" i="13"/>
  <c r="AV36" i="13" s="1"/>
  <c r="AF36" i="13"/>
  <c r="AV37" i="13"/>
  <c r="AV27" i="13"/>
  <c r="AX38" i="13"/>
  <c r="AU37" i="13"/>
  <c r="AW35" i="13"/>
  <c r="AW34" i="13"/>
  <c r="AU34" i="13"/>
  <c r="AW33" i="13"/>
  <c r="AW32" i="13"/>
  <c r="AU32" i="13"/>
  <c r="AW31" i="13"/>
  <c r="AW30" i="13"/>
  <c r="AU30" i="13"/>
  <c r="AW29" i="13"/>
  <c r="AW28" i="13"/>
  <c r="AU28" i="13"/>
  <c r="AW27" i="13"/>
  <c r="AW22" i="13"/>
  <c r="AU22" i="13"/>
  <c r="AW21" i="13"/>
  <c r="AE36" i="13"/>
  <c r="AV35" i="13"/>
  <c r="AV31" i="13"/>
  <c r="AV29" i="13"/>
  <c r="G7" i="16"/>
  <c r="AL22" i="13"/>
  <c r="I22" i="13"/>
  <c r="W22" i="13" s="1"/>
  <c r="AL24" i="13"/>
  <c r="AK24" i="13"/>
  <c r="AL26" i="13"/>
  <c r="AK26" i="13"/>
  <c r="AL30" i="13"/>
  <c r="I30" i="13"/>
  <c r="W30" i="13" s="1"/>
  <c r="AL34" i="13"/>
  <c r="I34" i="13"/>
  <c r="W34" i="13" s="1"/>
  <c r="AL36" i="13"/>
  <c r="AK36" i="13"/>
  <c r="AL38" i="13"/>
  <c r="I38" i="13"/>
  <c r="W38" i="13" s="1"/>
  <c r="AK38" i="13"/>
  <c r="AU21" i="13"/>
  <c r="AF21" i="13"/>
  <c r="AH21" i="13"/>
  <c r="AE22" i="13"/>
  <c r="AG22" i="13"/>
  <c r="AE29" i="13"/>
  <c r="AG29" i="13"/>
  <c r="AF30" i="13"/>
  <c r="AH30" i="13"/>
  <c r="AU33" i="13"/>
  <c r="AF33" i="13"/>
  <c r="AH33" i="13"/>
  <c r="AE34" i="13"/>
  <c r="AG34" i="13"/>
  <c r="V36" i="13"/>
  <c r="V32" i="13"/>
  <c r="U36" i="13"/>
  <c r="AA36" i="13" s="1"/>
  <c r="U32" i="13"/>
  <c r="AP33" i="13"/>
  <c r="AV33" i="13" s="1"/>
  <c r="AP21" i="13"/>
  <c r="AV21" i="13" s="1"/>
  <c r="AE21" i="13"/>
  <c r="AG21" i="13"/>
  <c r="AF22" i="13"/>
  <c r="AH22" i="13"/>
  <c r="AO29" i="13"/>
  <c r="AU29" i="13" s="1"/>
  <c r="AF29" i="13"/>
  <c r="AH29" i="13"/>
  <c r="AE30" i="13"/>
  <c r="AG30" i="13"/>
  <c r="AE33" i="13"/>
  <c r="AG33" i="13"/>
  <c r="AF34" i="13"/>
  <c r="AH34" i="13"/>
  <c r="H13" i="17"/>
  <c r="K6" i="16" l="1"/>
  <c r="C9" i="16"/>
  <c r="O39" i="17"/>
  <c r="U29" i="13"/>
  <c r="W29" i="13"/>
  <c r="V29" i="13"/>
  <c r="T29" i="13"/>
  <c r="E39" i="13"/>
  <c r="S37" i="13"/>
  <c r="T37" i="13"/>
  <c r="V37" i="13"/>
  <c r="W37" i="13"/>
  <c r="H64" i="17"/>
  <c r="C6" i="16"/>
  <c r="K8" i="16"/>
  <c r="P9" i="16"/>
  <c r="C7" i="16"/>
  <c r="C10" i="16" s="1"/>
  <c r="G17" i="7"/>
  <c r="P10" i="16"/>
  <c r="G9" i="16"/>
  <c r="G11" i="16" s="1"/>
  <c r="H7" i="16" s="1"/>
  <c r="E22" i="7" s="1"/>
  <c r="D6" i="12"/>
  <c r="K9" i="16"/>
  <c r="D7" i="12"/>
  <c r="D4" i="7" s="1"/>
  <c r="K75" i="17"/>
  <c r="Q75" i="17" s="1"/>
  <c r="Q78" i="17" s="1"/>
  <c r="I39" i="13"/>
  <c r="S33" i="17"/>
  <c r="T33" i="17"/>
  <c r="Q33" i="17"/>
  <c r="R33" i="17"/>
  <c r="R35" i="17" s="1"/>
  <c r="R36" i="17" s="1"/>
  <c r="P33" i="17"/>
  <c r="P35" i="17" s="1"/>
  <c r="P36" i="17" s="1"/>
  <c r="S27" i="17"/>
  <c r="S28" i="17"/>
  <c r="C40" i="12"/>
  <c r="F41" i="12"/>
  <c r="I41" i="12"/>
  <c r="I40" i="12"/>
  <c r="F40" i="12"/>
  <c r="C41" i="12"/>
  <c r="AL39" i="13"/>
  <c r="P7" i="16"/>
  <c r="AK39" i="13"/>
  <c r="P8" i="16"/>
  <c r="H26" i="17"/>
  <c r="D47" i="17"/>
  <c r="E8" i="17"/>
  <c r="E20" i="17" s="1"/>
  <c r="AG36" i="13"/>
  <c r="AQ36" i="13"/>
  <c r="AW36" i="13" s="1"/>
  <c r="U38" i="13"/>
  <c r="T38" i="13"/>
  <c r="V38" i="13"/>
  <c r="S38" i="13"/>
  <c r="T34" i="13"/>
  <c r="U34" i="13"/>
  <c r="V34" i="13"/>
  <c r="S34" i="13"/>
  <c r="U30" i="13"/>
  <c r="V30" i="13"/>
  <c r="T30" i="13"/>
  <c r="S30" i="13"/>
  <c r="T22" i="13"/>
  <c r="U22" i="13"/>
  <c r="V22" i="13"/>
  <c r="S22" i="13"/>
  <c r="AR36" i="13"/>
  <c r="AX36" i="13" s="1"/>
  <c r="AH36" i="13"/>
  <c r="C4" i="7" l="1"/>
  <c r="D17" i="7"/>
  <c r="C17" i="7"/>
  <c r="H8" i="17"/>
  <c r="H20" i="17" s="1"/>
  <c r="H21" i="17" s="1"/>
  <c r="H22" i="17" s="1"/>
  <c r="G8" i="12"/>
  <c r="K11" i="16"/>
  <c r="P11" i="16"/>
  <c r="Q6" i="16" s="1"/>
  <c r="L7" i="16"/>
  <c r="E23" i="7" s="1"/>
  <c r="L6" i="16"/>
  <c r="D23" i="7" s="1"/>
  <c r="L10" i="16"/>
  <c r="L9" i="16"/>
  <c r="F8" i="17"/>
  <c r="F20" i="17" s="1"/>
  <c r="Q35" i="17"/>
  <c r="Q36" i="17" s="1"/>
  <c r="T37" i="17" s="1"/>
  <c r="I8" i="17"/>
  <c r="I20" i="17" s="1"/>
  <c r="S35" i="17"/>
  <c r="S36" i="17" s="1"/>
  <c r="T27" i="17"/>
  <c r="T28" i="17"/>
  <c r="J8" i="17"/>
  <c r="J20" i="17" s="1"/>
  <c r="T35" i="17"/>
  <c r="T36" i="17" s="1"/>
  <c r="G7" i="12"/>
  <c r="H10" i="16"/>
  <c r="H9" i="16"/>
  <c r="E10" i="16"/>
  <c r="D6" i="16"/>
  <c r="Q8" i="16"/>
  <c r="R11" i="16"/>
  <c r="Q7" i="16"/>
  <c r="H28" i="17"/>
  <c r="E21" i="17"/>
  <c r="E22" i="17" s="1"/>
  <c r="E28" i="17"/>
  <c r="I11" i="16"/>
  <c r="H6" i="16"/>
  <c r="M11" i="16"/>
  <c r="L8" i="16"/>
  <c r="F23" i="7" s="1"/>
  <c r="D7" i="16"/>
  <c r="D9" i="7" s="1"/>
  <c r="D8" i="16"/>
  <c r="Q10" i="16"/>
  <c r="D9" i="16"/>
  <c r="H8" i="16"/>
  <c r="F22" i="7" s="1"/>
  <c r="Q9" i="16"/>
  <c r="H8" i="12" l="1"/>
  <c r="F17" i="7" s="1"/>
  <c r="D22" i="7"/>
  <c r="C22" i="7"/>
  <c r="K46" i="17"/>
  <c r="K45" i="17"/>
  <c r="B7" i="23" s="1"/>
  <c r="F46" i="17"/>
  <c r="F45" i="17"/>
  <c r="F7" i="23" s="1"/>
  <c r="G23" i="7"/>
  <c r="G22" i="7"/>
  <c r="I28" i="17"/>
  <c r="I21" i="17"/>
  <c r="I22" i="17" s="1"/>
  <c r="F28" i="17"/>
  <c r="F21" i="17"/>
  <c r="F22" i="17" s="1"/>
  <c r="E9" i="7"/>
  <c r="H6" i="12"/>
  <c r="H7" i="12"/>
  <c r="E17" i="7" s="1"/>
  <c r="H46" i="17" s="1"/>
  <c r="H9" i="12"/>
  <c r="H10" i="12"/>
  <c r="J28" i="17"/>
  <c r="J21" i="17"/>
  <c r="J22" i="17" s="1"/>
  <c r="N25" i="13"/>
  <c r="T25" i="13" s="1"/>
  <c r="Z25" i="13" s="1"/>
  <c r="N23" i="13"/>
  <c r="T23" i="13" s="1"/>
  <c r="Z23" i="13" s="1"/>
  <c r="N19" i="13"/>
  <c r="T19" i="13" s="1"/>
  <c r="Z19" i="13" s="1"/>
  <c r="N17" i="13"/>
  <c r="T17" i="13" s="1"/>
  <c r="Z17" i="13" s="1"/>
  <c r="N15" i="13"/>
  <c r="T15" i="13" s="1"/>
  <c r="Z15" i="13" s="1"/>
  <c r="N13" i="13"/>
  <c r="T13" i="13" s="1"/>
  <c r="Z13" i="13" s="1"/>
  <c r="N11" i="13"/>
  <c r="T11" i="13" s="1"/>
  <c r="Z11" i="13" s="1"/>
  <c r="N10" i="13"/>
  <c r="T10" i="13" s="1"/>
  <c r="Z10" i="13" s="1"/>
  <c r="N8" i="13"/>
  <c r="T8" i="13" s="1"/>
  <c r="Z8" i="13" s="1"/>
  <c r="N6" i="13"/>
  <c r="T6" i="13" s="1"/>
  <c r="N26" i="13"/>
  <c r="T26" i="13" s="1"/>
  <c r="Z26" i="13" s="1"/>
  <c r="N24" i="13"/>
  <c r="T24" i="13" s="1"/>
  <c r="Z24" i="13" s="1"/>
  <c r="N20" i="13"/>
  <c r="T20" i="13" s="1"/>
  <c r="Z20" i="13" s="1"/>
  <c r="N18" i="13"/>
  <c r="T18" i="13" s="1"/>
  <c r="Z18" i="13" s="1"/>
  <c r="N16" i="13"/>
  <c r="T16" i="13" s="1"/>
  <c r="Z16" i="13" s="1"/>
  <c r="N14" i="13"/>
  <c r="T14" i="13" s="1"/>
  <c r="Z14" i="13" s="1"/>
  <c r="N12" i="13"/>
  <c r="T12" i="13" s="1"/>
  <c r="Z12" i="13" s="1"/>
  <c r="N9" i="13"/>
  <c r="T9" i="13" s="1"/>
  <c r="Z9" i="13" s="1"/>
  <c r="N7" i="13"/>
  <c r="T7" i="13" s="1"/>
  <c r="Z7" i="13" s="1"/>
  <c r="H11" i="16"/>
  <c r="G24" i="7"/>
  <c r="Q11" i="16"/>
  <c r="C9" i="7"/>
  <c r="D10" i="16"/>
  <c r="D45" i="17"/>
  <c r="P45" i="17" s="1"/>
  <c r="L11" i="16"/>
  <c r="B6" i="23" l="1"/>
  <c r="P46" i="17"/>
  <c r="Q6" i="13"/>
  <c r="Q10" i="13"/>
  <c r="Q14" i="13"/>
  <c r="Q18" i="13"/>
  <c r="Q26" i="13"/>
  <c r="Q12" i="13"/>
  <c r="Q7" i="13"/>
  <c r="Q11" i="13"/>
  <c r="Q15" i="13"/>
  <c r="Q19" i="13"/>
  <c r="Q23" i="13"/>
  <c r="Q16" i="13"/>
  <c r="Q24" i="13"/>
  <c r="Q9" i="13"/>
  <c r="Q13" i="13"/>
  <c r="Q17" i="13"/>
  <c r="Q25" i="13"/>
  <c r="Q8" i="13"/>
  <c r="Q20" i="13"/>
  <c r="L46" i="17"/>
  <c r="F6" i="23"/>
  <c r="O24" i="13"/>
  <c r="U24" i="13" s="1"/>
  <c r="AA24" i="13" s="1"/>
  <c r="O18" i="13"/>
  <c r="U18" i="13" s="1"/>
  <c r="AA18" i="13" s="1"/>
  <c r="O14" i="13"/>
  <c r="U14" i="13" s="1"/>
  <c r="AA14" i="13" s="1"/>
  <c r="O9" i="13"/>
  <c r="U9" i="13" s="1"/>
  <c r="AA9" i="13" s="1"/>
  <c r="O25" i="13"/>
  <c r="U25" i="13" s="1"/>
  <c r="AA25" i="13" s="1"/>
  <c r="O19" i="13"/>
  <c r="U19" i="13" s="1"/>
  <c r="AA19" i="13" s="1"/>
  <c r="O15" i="13"/>
  <c r="U15" i="13" s="1"/>
  <c r="AA15" i="13" s="1"/>
  <c r="O11" i="13"/>
  <c r="U11" i="13" s="1"/>
  <c r="AA11" i="13" s="1"/>
  <c r="O8" i="13"/>
  <c r="U8" i="13" s="1"/>
  <c r="AA8" i="13" s="1"/>
  <c r="O26" i="13"/>
  <c r="U26" i="13" s="1"/>
  <c r="AA26" i="13" s="1"/>
  <c r="O20" i="13"/>
  <c r="U20" i="13" s="1"/>
  <c r="AA20" i="13" s="1"/>
  <c r="O16" i="13"/>
  <c r="U16" i="13" s="1"/>
  <c r="AA16" i="13" s="1"/>
  <c r="O12" i="13"/>
  <c r="U12" i="13" s="1"/>
  <c r="AA12" i="13" s="1"/>
  <c r="O7" i="13"/>
  <c r="U7" i="13" s="1"/>
  <c r="AA7" i="13" s="1"/>
  <c r="O23" i="13"/>
  <c r="U23" i="13" s="1"/>
  <c r="AA23" i="13" s="1"/>
  <c r="O17" i="13"/>
  <c r="U17" i="13" s="1"/>
  <c r="AA17" i="13" s="1"/>
  <c r="O13" i="13"/>
  <c r="U13" i="13" s="1"/>
  <c r="AA13" i="13" s="1"/>
  <c r="O10" i="13"/>
  <c r="U10" i="13" s="1"/>
  <c r="AA10" i="13" s="1"/>
  <c r="O6" i="13"/>
  <c r="U6" i="13" s="1"/>
  <c r="H45" i="17"/>
  <c r="E7" i="23" s="1"/>
  <c r="M24" i="13"/>
  <c r="S24" i="13" s="1"/>
  <c r="Y24" i="13" s="1"/>
  <c r="M18" i="13"/>
  <c r="S18" i="13" s="1"/>
  <c r="Y18" i="13" s="1"/>
  <c r="M14" i="13"/>
  <c r="S14" i="13" s="1"/>
  <c r="Y14" i="13" s="1"/>
  <c r="M9" i="13"/>
  <c r="S9" i="13" s="1"/>
  <c r="Y9" i="13" s="1"/>
  <c r="M25" i="13"/>
  <c r="S25" i="13" s="1"/>
  <c r="Y25" i="13" s="1"/>
  <c r="M19" i="13"/>
  <c r="S19" i="13" s="1"/>
  <c r="Y19" i="13" s="1"/>
  <c r="M15" i="13"/>
  <c r="S15" i="13" s="1"/>
  <c r="Y15" i="13" s="1"/>
  <c r="M11" i="13"/>
  <c r="S11" i="13" s="1"/>
  <c r="Y11" i="13" s="1"/>
  <c r="M8" i="13"/>
  <c r="S8" i="13" s="1"/>
  <c r="Y8" i="13" s="1"/>
  <c r="M26" i="13"/>
  <c r="S26" i="13" s="1"/>
  <c r="Y26" i="13" s="1"/>
  <c r="M16" i="13"/>
  <c r="S16" i="13" s="1"/>
  <c r="Y16" i="13" s="1"/>
  <c r="M7" i="13"/>
  <c r="S7" i="13" s="1"/>
  <c r="Y7" i="13" s="1"/>
  <c r="M17" i="13"/>
  <c r="S17" i="13" s="1"/>
  <c r="Y17" i="13" s="1"/>
  <c r="M10" i="13"/>
  <c r="S10" i="13" s="1"/>
  <c r="Y10" i="13" s="1"/>
  <c r="M20" i="13"/>
  <c r="S20" i="13" s="1"/>
  <c r="Y20" i="13" s="1"/>
  <c r="M12" i="13"/>
  <c r="S12" i="13" s="1"/>
  <c r="Y12" i="13" s="1"/>
  <c r="M23" i="13"/>
  <c r="S23" i="13" s="1"/>
  <c r="Y23" i="13" s="1"/>
  <c r="M13" i="13"/>
  <c r="S13" i="13" s="1"/>
  <c r="Y13" i="13" s="1"/>
  <c r="M6" i="13"/>
  <c r="S6" i="13" s="1"/>
  <c r="I46" i="17"/>
  <c r="I45" i="17"/>
  <c r="D7" i="23" s="1"/>
  <c r="J46" i="17"/>
  <c r="J45" i="17"/>
  <c r="C7" i="23" s="1"/>
  <c r="E6" i="23"/>
  <c r="M46" i="17"/>
  <c r="L45" i="17"/>
  <c r="D49" i="17"/>
  <c r="AF9" i="13"/>
  <c r="AP9" i="13"/>
  <c r="AV9" i="13" s="1"/>
  <c r="AP14" i="13"/>
  <c r="AV14" i="13" s="1"/>
  <c r="AF14" i="13"/>
  <c r="AP18" i="13"/>
  <c r="AV18" i="13" s="1"/>
  <c r="AF18" i="13"/>
  <c r="AP24" i="13"/>
  <c r="AV24" i="13" s="1"/>
  <c r="AF24" i="13"/>
  <c r="T39" i="13"/>
  <c r="Z6" i="13"/>
  <c r="AF10" i="13"/>
  <c r="AP10" i="13"/>
  <c r="AV10" i="13" s="1"/>
  <c r="AP13" i="13"/>
  <c r="AV13" i="13" s="1"/>
  <c r="AF13" i="13"/>
  <c r="AF17" i="13"/>
  <c r="AP17" i="13"/>
  <c r="AV17" i="13" s="1"/>
  <c r="AP23" i="13"/>
  <c r="AV23" i="13" s="1"/>
  <c r="AF23" i="13"/>
  <c r="P25" i="13"/>
  <c r="P23" i="13"/>
  <c r="P19" i="13"/>
  <c r="P17" i="13"/>
  <c r="P15" i="13"/>
  <c r="P13" i="13"/>
  <c r="P11" i="13"/>
  <c r="P10" i="13"/>
  <c r="P8" i="13"/>
  <c r="P6" i="13"/>
  <c r="P26" i="13"/>
  <c r="P24" i="13"/>
  <c r="P20" i="13"/>
  <c r="P18" i="13"/>
  <c r="P16" i="13"/>
  <c r="P14" i="13"/>
  <c r="P12" i="13"/>
  <c r="P9" i="13"/>
  <c r="P7" i="13"/>
  <c r="AF7" i="13"/>
  <c r="AP7" i="13"/>
  <c r="AV7" i="13" s="1"/>
  <c r="Z47" i="13"/>
  <c r="AP12" i="13"/>
  <c r="AV12" i="13" s="1"/>
  <c r="AF12" i="13"/>
  <c r="AP16" i="13"/>
  <c r="AV16" i="13" s="1"/>
  <c r="AF16" i="13"/>
  <c r="AP20" i="13"/>
  <c r="AV20" i="13" s="1"/>
  <c r="AF20" i="13"/>
  <c r="AP26" i="13"/>
  <c r="AV26" i="13" s="1"/>
  <c r="AF26" i="13"/>
  <c r="AF8" i="13"/>
  <c r="AP8" i="13"/>
  <c r="AV8" i="13" s="1"/>
  <c r="AP11" i="13"/>
  <c r="AV11" i="13" s="1"/>
  <c r="AF11" i="13"/>
  <c r="AP15" i="13"/>
  <c r="AV15" i="13" s="1"/>
  <c r="AF15" i="13"/>
  <c r="AP19" i="13"/>
  <c r="AV19" i="13" s="1"/>
  <c r="AF19" i="13"/>
  <c r="AF25" i="13"/>
  <c r="AP25" i="13"/>
  <c r="AV25" i="13" s="1"/>
  <c r="V9" i="13" l="1"/>
  <c r="AB9" i="13"/>
  <c r="AH9" i="13" s="1"/>
  <c r="V13" i="13"/>
  <c r="AB13" i="13"/>
  <c r="AR13" i="13" s="1"/>
  <c r="AX13" i="13" s="1"/>
  <c r="W24" i="13"/>
  <c r="AC24" i="13" s="1"/>
  <c r="AS24" i="13" s="1"/>
  <c r="W15" i="13"/>
  <c r="AC15" i="13" s="1"/>
  <c r="AS15" i="13" s="1"/>
  <c r="W6" i="13"/>
  <c r="AC6" i="13" s="1"/>
  <c r="V12" i="13"/>
  <c r="AB12" i="13"/>
  <c r="V20" i="13"/>
  <c r="AB20" i="13"/>
  <c r="V8" i="13"/>
  <c r="AB8" i="13"/>
  <c r="V15" i="13"/>
  <c r="AB15" i="13"/>
  <c r="V25" i="13"/>
  <c r="AB25" i="13"/>
  <c r="W17" i="13"/>
  <c r="AC17" i="13" s="1"/>
  <c r="AS17" i="13" s="1"/>
  <c r="W16" i="13"/>
  <c r="AC16" i="13" s="1"/>
  <c r="AS16" i="13" s="1"/>
  <c r="W11" i="13"/>
  <c r="AC11" i="13"/>
  <c r="AS11" i="13" s="1"/>
  <c r="W18" i="13"/>
  <c r="AC18" i="13" s="1"/>
  <c r="AS18" i="13" s="1"/>
  <c r="V18" i="13"/>
  <c r="AB18" i="13"/>
  <c r="AH18" i="13" s="1"/>
  <c r="V23" i="13"/>
  <c r="AB23" i="13"/>
  <c r="AR23" i="13" s="1"/>
  <c r="AX23" i="13" s="1"/>
  <c r="W25" i="13"/>
  <c r="AC25" i="13" s="1"/>
  <c r="AS25" i="13" s="1"/>
  <c r="W26" i="13"/>
  <c r="AC26" i="13" s="1"/>
  <c r="AS26" i="13" s="1"/>
  <c r="V14" i="13"/>
  <c r="AB14" i="13"/>
  <c r="V24" i="13"/>
  <c r="AB24" i="13"/>
  <c r="V10" i="13"/>
  <c r="AB10" i="13"/>
  <c r="V17" i="13"/>
  <c r="AB17" i="13"/>
  <c r="M45" i="17"/>
  <c r="AC20" i="13"/>
  <c r="AS20" i="13" s="1"/>
  <c r="W20" i="13"/>
  <c r="AC13" i="13"/>
  <c r="AS13" i="13" s="1"/>
  <c r="W13" i="13"/>
  <c r="AC23" i="13"/>
  <c r="AS23" i="13" s="1"/>
  <c r="W23" i="13"/>
  <c r="W7" i="13"/>
  <c r="AC7" i="13" s="1"/>
  <c r="AS7" i="13" s="1"/>
  <c r="AC14" i="13"/>
  <c r="AS14" i="13" s="1"/>
  <c r="W14" i="13"/>
  <c r="V6" i="13"/>
  <c r="AB6" i="13" s="1"/>
  <c r="V7" i="13"/>
  <c r="AB7" i="13" s="1"/>
  <c r="V16" i="13"/>
  <c r="AB16" i="13" s="1"/>
  <c r="V26" i="13"/>
  <c r="AB26" i="13" s="1"/>
  <c r="V11" i="13"/>
  <c r="AB11" i="13" s="1"/>
  <c r="V19" i="13"/>
  <c r="AB19" i="13" s="1"/>
  <c r="AC8" i="13"/>
  <c r="AS8" i="13" s="1"/>
  <c r="W8" i="13"/>
  <c r="AC9" i="13"/>
  <c r="AS9" i="13" s="1"/>
  <c r="W9" i="13"/>
  <c r="AC19" i="13"/>
  <c r="AS19" i="13" s="1"/>
  <c r="W19" i="13"/>
  <c r="AC12" i="13"/>
  <c r="W12" i="13"/>
  <c r="AC10" i="13"/>
  <c r="AS10" i="13" s="1"/>
  <c r="W10" i="13"/>
  <c r="U39" i="13"/>
  <c r="AA6" i="13"/>
  <c r="AQ13" i="13"/>
  <c r="AW13" i="13" s="1"/>
  <c r="AG13" i="13"/>
  <c r="AQ23" i="13"/>
  <c r="AW23" i="13" s="1"/>
  <c r="AG23" i="13"/>
  <c r="AQ12" i="13"/>
  <c r="AW12" i="13" s="1"/>
  <c r="AA47" i="13"/>
  <c r="AG12" i="13"/>
  <c r="AG20" i="13"/>
  <c r="AQ20" i="13"/>
  <c r="AW20" i="13" s="1"/>
  <c r="AG8" i="13"/>
  <c r="AQ8" i="13"/>
  <c r="AW8" i="13" s="1"/>
  <c r="AG15" i="13"/>
  <c r="AQ15" i="13"/>
  <c r="AW15" i="13" s="1"/>
  <c r="AG25" i="13"/>
  <c r="AQ25" i="13"/>
  <c r="AW25" i="13" s="1"/>
  <c r="AQ14" i="13"/>
  <c r="AW14" i="13" s="1"/>
  <c r="AG14" i="13"/>
  <c r="AG24" i="13"/>
  <c r="AQ24" i="13"/>
  <c r="AW24" i="13" s="1"/>
  <c r="AG10" i="13"/>
  <c r="AQ10" i="13"/>
  <c r="AW10" i="13" s="1"/>
  <c r="AQ17" i="13"/>
  <c r="AW17" i="13" s="1"/>
  <c r="AG17" i="13"/>
  <c r="AQ7" i="13"/>
  <c r="AW7" i="13" s="1"/>
  <c r="AG7" i="13"/>
  <c r="AG16" i="13"/>
  <c r="AQ16" i="13"/>
  <c r="AW16" i="13" s="1"/>
  <c r="AG26" i="13"/>
  <c r="AQ26" i="13"/>
  <c r="AW26" i="13" s="1"/>
  <c r="AG11" i="13"/>
  <c r="AQ11" i="13"/>
  <c r="AW11" i="13" s="1"/>
  <c r="AG19" i="13"/>
  <c r="AQ19" i="13"/>
  <c r="AW19" i="13" s="1"/>
  <c r="AQ9" i="13"/>
  <c r="AW9" i="13" s="1"/>
  <c r="AG9" i="13"/>
  <c r="AG18" i="13"/>
  <c r="AQ18" i="13"/>
  <c r="AW18" i="13" s="1"/>
  <c r="O45" i="17"/>
  <c r="S39" i="13"/>
  <c r="Y6" i="13"/>
  <c r="AO23" i="13"/>
  <c r="AU23" i="13" s="1"/>
  <c r="AE23" i="13"/>
  <c r="AE20" i="13"/>
  <c r="AO20" i="13"/>
  <c r="AU20" i="13" s="1"/>
  <c r="AE17" i="13"/>
  <c r="AO17" i="13"/>
  <c r="AU17" i="13" s="1"/>
  <c r="AO16" i="13"/>
  <c r="AU16" i="13" s="1"/>
  <c r="AE16" i="13"/>
  <c r="AO8" i="13"/>
  <c r="AU8" i="13" s="1"/>
  <c r="AE8" i="13"/>
  <c r="AE15" i="13"/>
  <c r="AO15" i="13"/>
  <c r="AU15" i="13" s="1"/>
  <c r="AE25" i="13"/>
  <c r="AO25" i="13"/>
  <c r="AU25" i="13" s="1"/>
  <c r="AE14" i="13"/>
  <c r="AO14" i="13"/>
  <c r="AU14" i="13" s="1"/>
  <c r="AO24" i="13"/>
  <c r="AU24" i="13" s="1"/>
  <c r="AE24" i="13"/>
  <c r="AE13" i="13"/>
  <c r="AO13" i="13"/>
  <c r="AU13" i="13" s="1"/>
  <c r="AE12" i="13"/>
  <c r="AO12" i="13"/>
  <c r="AU12" i="13" s="1"/>
  <c r="Y47" i="13"/>
  <c r="AE10" i="13"/>
  <c r="AO10" i="13"/>
  <c r="AU10" i="13" s="1"/>
  <c r="AE7" i="13"/>
  <c r="AO7" i="13"/>
  <c r="AU7" i="13" s="1"/>
  <c r="AE26" i="13"/>
  <c r="AO26" i="13"/>
  <c r="AU26" i="13" s="1"/>
  <c r="AE11" i="13"/>
  <c r="AO11" i="13"/>
  <c r="AU11" i="13" s="1"/>
  <c r="AE19" i="13"/>
  <c r="AO19" i="13"/>
  <c r="AU19" i="13" s="1"/>
  <c r="AE9" i="13"/>
  <c r="AO9" i="13"/>
  <c r="AU9" i="13" s="1"/>
  <c r="AO18" i="13"/>
  <c r="AU18" i="13" s="1"/>
  <c r="AE18" i="13"/>
  <c r="N45" i="17"/>
  <c r="O46" i="17"/>
  <c r="C6" i="23"/>
  <c r="D6" i="23"/>
  <c r="N46" i="17"/>
  <c r="AR12" i="13"/>
  <c r="AX12" i="13" s="1"/>
  <c r="AH12" i="13"/>
  <c r="AH20" i="13"/>
  <c r="AR20" i="13"/>
  <c r="AX20" i="13" s="1"/>
  <c r="AH8" i="13"/>
  <c r="AR8" i="13"/>
  <c r="AX8" i="13" s="1"/>
  <c r="AH15" i="13"/>
  <c r="AR15" i="13"/>
  <c r="AX15" i="13" s="1"/>
  <c r="AR25" i="13"/>
  <c r="AX25" i="13" s="1"/>
  <c r="AH25" i="13"/>
  <c r="AR9" i="13"/>
  <c r="AX9" i="13" s="1"/>
  <c r="AH14" i="13"/>
  <c r="AR14" i="13"/>
  <c r="AX14" i="13" s="1"/>
  <c r="AR18" i="13"/>
  <c r="AX18" i="13" s="1"/>
  <c r="AH24" i="13"/>
  <c r="AR24" i="13"/>
  <c r="AX24" i="13" s="1"/>
  <c r="AH10" i="13"/>
  <c r="AR10" i="13"/>
  <c r="AX10" i="13" s="1"/>
  <c r="AH13" i="13"/>
  <c r="AR17" i="13"/>
  <c r="AX17" i="13" s="1"/>
  <c r="AH17" i="13"/>
  <c r="AH23" i="13"/>
  <c r="AF6" i="13"/>
  <c r="AF40" i="13" s="1"/>
  <c r="Z46" i="13"/>
  <c r="Z48" i="13" s="1"/>
  <c r="E10" i="23" s="1"/>
  <c r="Z40" i="13"/>
  <c r="AP6" i="13"/>
  <c r="AS6" i="13" l="1"/>
  <c r="AC46" i="13"/>
  <c r="AC40" i="13"/>
  <c r="AH26" i="13"/>
  <c r="AR26" i="13"/>
  <c r="AX26" i="13" s="1"/>
  <c r="AB47" i="13"/>
  <c r="AH16" i="13"/>
  <c r="AR16" i="13"/>
  <c r="AX16" i="13" s="1"/>
  <c r="AH19" i="13"/>
  <c r="AR19" i="13"/>
  <c r="AX19" i="13" s="1"/>
  <c r="AH7" i="13"/>
  <c r="AR7" i="13"/>
  <c r="AX7" i="13" s="1"/>
  <c r="AR11" i="13"/>
  <c r="AX11" i="13" s="1"/>
  <c r="AH11" i="13"/>
  <c r="V39" i="13"/>
  <c r="AC47" i="13"/>
  <c r="AS12" i="13"/>
  <c r="AA40" i="13"/>
  <c r="AA46" i="13"/>
  <c r="AA48" i="13" s="1"/>
  <c r="D10" i="23" s="1"/>
  <c r="AG6" i="13"/>
  <c r="AG40" i="13" s="1"/>
  <c r="AQ6" i="13"/>
  <c r="AE6" i="13"/>
  <c r="AE40" i="13" s="1"/>
  <c r="AO6" i="13"/>
  <c r="Y40" i="13"/>
  <c r="Y46" i="13"/>
  <c r="Y48" i="13" s="1"/>
  <c r="F10" i="23" s="1"/>
  <c r="Z49" i="13"/>
  <c r="AH6" i="13"/>
  <c r="AB40" i="13"/>
  <c r="AR6" i="13"/>
  <c r="AB46" i="13"/>
  <c r="AB48" i="13" s="1"/>
  <c r="C10" i="23" s="1"/>
  <c r="AV6" i="13"/>
  <c r="AV40" i="13" s="1"/>
  <c r="AP40" i="13"/>
  <c r="AH40" i="13" l="1"/>
  <c r="Y39" i="13"/>
  <c r="AC41" i="13" s="1"/>
  <c r="AC49" i="13"/>
  <c r="AC48" i="13"/>
  <c r="B10" i="23" s="1"/>
  <c r="AS40" i="13"/>
  <c r="AA49" i="13"/>
  <c r="AW6" i="13"/>
  <c r="AW40" i="13" s="1"/>
  <c r="AQ40" i="13"/>
  <c r="AB49" i="13"/>
  <c r="Y49" i="13"/>
  <c r="AU6" i="13"/>
  <c r="AU40" i="13" s="1"/>
  <c r="AO40" i="13"/>
  <c r="AX6" i="13"/>
  <c r="AX40" i="13" s="1"/>
  <c r="AR40" i="13"/>
  <c r="AO39" i="13" l="1"/>
  <c r="AS41" i="13" s="1"/>
  <c r="K47" i="17" s="1"/>
  <c r="AE39" i="13"/>
  <c r="AH41" i="13" s="1"/>
  <c r="AU39" i="13"/>
  <c r="AX41" i="13" s="1"/>
  <c r="AW41" i="13"/>
  <c r="AU41" i="13"/>
  <c r="Y41" i="13"/>
  <c r="AA41" i="13"/>
  <c r="Z41" i="13"/>
  <c r="AV41" i="13"/>
  <c r="AB41" i="13"/>
  <c r="B5" i="23" l="1"/>
  <c r="P47" i="17"/>
  <c r="P49" i="17" s="1"/>
  <c r="AG41" i="13"/>
  <c r="AE41" i="13"/>
  <c r="AF41" i="13"/>
  <c r="AO41" i="13"/>
  <c r="F47" i="17" s="1"/>
  <c r="AQ41" i="13"/>
  <c r="I47" i="17" s="1"/>
  <c r="AP41" i="13"/>
  <c r="H47" i="17" s="1"/>
  <c r="AR41" i="13"/>
  <c r="J47" i="17" s="1"/>
  <c r="C5" i="23" l="1"/>
  <c r="O47" i="17"/>
  <c r="O49" i="17" s="1"/>
  <c r="D5" i="23"/>
  <c r="N47" i="17"/>
  <c r="N49" i="17" s="1"/>
  <c r="E5" i="23"/>
  <c r="M47" i="17"/>
  <c r="M49" i="17" s="1"/>
  <c r="M50" i="17" s="1"/>
  <c r="F5" i="23"/>
  <c r="L47" i="17"/>
  <c r="L49" i="17" s="1"/>
  <c r="N50" i="17" l="1"/>
  <c r="O50" i="17"/>
  <c r="L50" i="17"/>
  <c r="F8" i="23" s="1"/>
  <c r="P50" i="17"/>
  <c r="B8" i="23" s="1"/>
  <c r="J75" i="17" l="1"/>
  <c r="G75" i="17"/>
  <c r="M75" i="17" s="1"/>
  <c r="M78" i="17" s="1"/>
  <c r="D8" i="23"/>
  <c r="I75" i="17"/>
  <c r="O75" i="17" s="1"/>
  <c r="O78" i="17" s="1"/>
  <c r="C8" i="23"/>
  <c r="P75" i="17"/>
  <c r="P78" i="17" s="1"/>
  <c r="E8" i="23"/>
  <c r="H75" i="17"/>
  <c r="N75" i="17" s="1"/>
  <c r="N78" i="17" s="1"/>
  <c r="S78" i="17" l="1"/>
  <c r="Q82" i="17" s="1"/>
  <c r="G9" i="23" s="1"/>
  <c r="E75" i="17"/>
  <c r="O82" i="17"/>
  <c r="D9" i="23" s="1"/>
  <c r="T82" i="17" l="1"/>
  <c r="B9" i="23" s="1"/>
  <c r="P82" i="17"/>
  <c r="C9" i="23" s="1"/>
  <c r="N82" i="17"/>
  <c r="E9" i="23" s="1"/>
  <c r="M82" i="17"/>
  <c r="F11" i="26" l="1"/>
  <c r="D11" i="26"/>
  <c r="C11" i="26"/>
  <c r="C12" i="26" s="1"/>
  <c r="E11" i="26"/>
  <c r="F9" i="23"/>
  <c r="S82" i="17"/>
</calcChain>
</file>

<file path=xl/comments1.xml><?xml version="1.0" encoding="utf-8"?>
<comments xmlns="http://schemas.openxmlformats.org/spreadsheetml/2006/main">
  <authors>
    <author>George Moran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I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formula not dragged down!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<sst xmlns="http://schemas.openxmlformats.org/spreadsheetml/2006/main" count="2958" uniqueCount="966">
  <si>
    <t>Other Costs from full activitty cost allocation</t>
  </si>
  <si>
    <t>Total activity cost - from RRP 1.3</t>
  </si>
  <si>
    <t>Unallocated costs = Total - costs allocated to network tiers</t>
  </si>
  <si>
    <t>Costs allocated to netwrok tiers in RRP - from 2.2 amd 2.3</t>
  </si>
  <si>
    <t>Legacy Basic Meter Asset Provision Revenue</t>
  </si>
  <si>
    <t>DNO HV Main usage</t>
  </si>
  <si>
    <t>Use the data below to populate table 1037. Embedded network (LDNO) discounts</t>
  </si>
  <si>
    <t>Step 1 - extract total activity costs from cost report</t>
  </si>
  <si>
    <t>Step 2. Idnetify costs inlcuded in price control revenues to be allocated by MEAV</t>
  </si>
  <si>
    <t>Step 6.   Adjust costs so that they are aligned with the definition of opex in the allowed price control revenues</t>
  </si>
  <si>
    <t>Operating costs (excl pensions)</t>
  </si>
  <si>
    <t>Capital elements</t>
  </si>
  <si>
    <t>Capex (excl pensions)</t>
  </si>
  <si>
    <t>Pensions</t>
  </si>
  <si>
    <t>Tax allowance</t>
  </si>
  <si>
    <t>HENCE SPLIT OF TARIFFS</t>
  </si>
  <si>
    <t>Capital incentive</t>
  </si>
  <si>
    <t>Capex incentive</t>
  </si>
  <si>
    <t>Sliding scale</t>
  </si>
  <si>
    <t>Sliding scale addn income</t>
  </si>
  <si>
    <t>p/kWh</t>
  </si>
  <si>
    <t>Return</t>
  </si>
  <si>
    <t xml:space="preserve">% by network tier </t>
  </si>
  <si>
    <t xml:space="preserve">The individual activities are defined in the Electricity Distribution Price Control Review Price control cost reporting rules: Instructions and Guidance April 2008 </t>
  </si>
  <si>
    <t>Network Generation Revenue (RGt)</t>
  </si>
  <si>
    <t>Metering Revenue</t>
  </si>
  <si>
    <t>PV of total revenue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</si>
  <si>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</si>
  <si>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</si>
  <si>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</si>
  <si>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</si>
  <si>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</si>
  <si>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</si>
  <si>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</si>
  <si>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% Cost capitalised (from DCPR settlement - same for all DNOs)</t>
  </si>
  <si>
    <t>MEAV excl services</t>
  </si>
  <si>
    <t>Total indirect</t>
  </si>
  <si>
    <t>% indirect</t>
  </si>
  <si>
    <t>Inspections, &amp; Maintenance</t>
  </si>
  <si>
    <t>Excluded services revenue</t>
  </si>
  <si>
    <t>Total revenue</t>
  </si>
  <si>
    <t>Unapportioned part of shared HV</t>
  </si>
  <si>
    <t>Less Pension deficit payment ?</t>
  </si>
  <si>
    <t>Opex (incl pensions after  57.7% capitalized)</t>
  </si>
  <si>
    <t>Closing asset value</t>
  </si>
  <si>
    <t>Less fixed costs ?</t>
  </si>
  <si>
    <t>n</t>
  </si>
  <si>
    <t>Quality Reward</t>
  </si>
  <si>
    <t>Present value of opening/closing RAV</t>
  </si>
  <si>
    <t>DPCR3 costs</t>
  </si>
  <si>
    <t>5 year movement in closing RAV</t>
  </si>
  <si>
    <t>Total revenue to share</t>
  </si>
  <si>
    <t>Total Opex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</si>
  <si>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</si>
  <si>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Excluded Services and Revenue Outside of Price Control</t>
  </si>
  <si>
    <t>Excluded Services</t>
  </si>
  <si>
    <t>Revenue Outside of Price Control</t>
  </si>
  <si>
    <t>Di-Minimis Revenue</t>
  </si>
  <si>
    <t>Under/over revoery</t>
  </si>
  <si>
    <t>MEAV  - LV, HV, EHV, 132kV split</t>
  </si>
  <si>
    <t>MEAV  - LV, LV/HV, HV, EHV, 132kV split</t>
  </si>
  <si>
    <t>LV/HV</t>
  </si>
  <si>
    <t>Sum connecions/reinforcement/replacement capex -see below</t>
  </si>
  <si>
    <t>Connections spend minus customer contrbutions (from FBPQ LR1)</t>
  </si>
  <si>
    <t>FBPQ capex - see "Calc Net capex"</t>
  </si>
  <si>
    <t>FBPQ capex - see "Calc MEAV"</t>
  </si>
  <si>
    <t>Basic Meter Operation Revenue</t>
  </si>
  <si>
    <t>Connection/Reinfircement/Replacement Capex LV, HV, EHV, 132kV split</t>
  </si>
  <si>
    <t>From SEPD method A spreadsheet</t>
  </si>
  <si>
    <t>Input pension deficit payment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</si>
  <si>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</si>
  <si>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</si>
  <si>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</si>
  <si>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</si>
  <si>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</si>
  <si>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</si>
  <si>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MEAV excl services and 50% LV network</t>
  </si>
  <si>
    <t>Quality reward/Opex incentive &amp; Other Adjustments</t>
  </si>
  <si>
    <t>Not to be split</t>
  </si>
  <si>
    <t>PV of excluded service revenue</t>
  </si>
  <si>
    <t>Total Net Capex 2005/06 -2014/15 LV, LV/HV, HV, EHV, 132kV split</t>
  </si>
  <si>
    <t>Step 3.  Allocate costs not directly atttibutable to network teirs to network tiers using MEAV</t>
  </si>
  <si>
    <t>Step 4.  Sum directly atttibuted and allocated costs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</si>
  <si>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</si>
  <si>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</si>
  <si>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</si>
  <si>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</si>
  <si>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</si>
  <si>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</si>
  <si>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</si>
  <si>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</si>
  <si>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</si>
  <si>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</si>
  <si>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</si>
  <si>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</si>
  <si>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Fault reniforcement Capex 2005/06 -2014/15 (£m)</t>
  </si>
  <si>
    <t>(from FBPQ LR6)</t>
  </si>
  <si>
    <t>Replacement Capex 2005/06 -2014/15 (£m)</t>
  </si>
  <si>
    <t xml:space="preserve"> (from FBPQ NL1)</t>
  </si>
  <si>
    <t>Total Net Capex</t>
  </si>
  <si>
    <t>% of Total</t>
  </si>
  <si>
    <t>Net Capex</t>
  </si>
  <si>
    <t>Opex only on p/kWh throughput</t>
  </si>
  <si>
    <t>HV/LV</t>
  </si>
  <si>
    <t>Cash typical costs (excluding disallowed related party margins)</t>
  </si>
  <si>
    <t>Weighted Average (after incentive and pencsion deficit costs removed and weighted by units flowing)</t>
  </si>
  <si>
    <t>Memorandum Information - Scottish DNOs 132kV</t>
  </si>
  <si>
    <t>Step 3. Remove incentive reveune and pension deficit payment from allocations</t>
  </si>
  <si>
    <t>Step 3.a. Split out pension deficit and incentive payments</t>
  </si>
  <si>
    <t>NET CAPEX SPLIT FROM "CALC -NET CAPEX" SHEET</t>
  </si>
  <si>
    <t>OVERALL OPEX SPLIT FROM "CALC WPD OPEX ALLOCATYION" SHEET</t>
  </si>
  <si>
    <t>CAUTION - THIS PACK DOES NOT BALANCE</t>
  </si>
  <si>
    <t>Electricity Distribution Industry Activity Costs - individual DNO input</t>
  </si>
  <si>
    <t>Pension deficit payments made by a related party and not charged in the regulatory accounts of the DNO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</si>
  <si>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</si>
  <si>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</si>
  <si>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33kV UG Cable (Non Pressurised)</t>
  </si>
  <si>
    <t>33kV UG Cable (Oil)</t>
  </si>
  <si>
    <t>33kV UG Cable (Gas)</t>
  </si>
  <si>
    <t>Propportion of costs allocated to Opex and Capex</t>
  </si>
  <si>
    <t>Cost drivers - lookup from "Calc-Drivers"</t>
  </si>
  <si>
    <t>Proportion of cost allocated to each network tier</t>
  </si>
  <si>
    <t>LV only</t>
  </si>
  <si>
    <t>HV only</t>
  </si>
  <si>
    <t>Net (gross directs - customer contributions directs and indirects)</t>
  </si>
  <si>
    <t>Demand trends</t>
  </si>
  <si>
    <t>Estimated system maximum demand</t>
  </si>
  <si>
    <t>Insert name of cost driver</t>
  </si>
  <si>
    <t>Increase (reduction) in units distributed</t>
  </si>
  <si>
    <t>66kV UG Cable (Oil)</t>
  </si>
  <si>
    <t>66kV UG Cable (Gas)</t>
  </si>
  <si>
    <t>Estimated units distributed</t>
  </si>
  <si>
    <t>PV of allowed items</t>
  </si>
  <si>
    <t>Allocation of allowed revenue to:-</t>
  </si>
  <si>
    <t>TOTAL PV OVER 5 YEARS</t>
  </si>
  <si>
    <t>All LV Tariffs</t>
  </si>
  <si>
    <t>HV Tariffs</t>
  </si>
  <si>
    <t>EHV Tariffs</t>
  </si>
  <si>
    <t>Revenue index</t>
  </si>
  <si>
    <t>Discounted revenue index</t>
  </si>
  <si>
    <t>Price control revenue</t>
  </si>
  <si>
    <t>Less incentive revenue ?</t>
  </si>
  <si>
    <t>Depreciation</t>
  </si>
  <si>
    <t>132kV Fittings (Tower Line)</t>
  </si>
  <si>
    <t>Connections/disconnections volume</t>
  </si>
  <si>
    <t>Connections/Disconnections</t>
  </si>
  <si>
    <t>Direct cost %</t>
  </si>
  <si>
    <t>Is DNO Unit cost if avaliable, otherwise PB power unit cost</t>
  </si>
  <si>
    <t>(Profit) / Loss on Disposal</t>
  </si>
  <si>
    <t>Weighted Average</t>
  </si>
  <si>
    <t>Customers</t>
  </si>
  <si>
    <t>WPD Method</t>
  </si>
  <si>
    <t>Unallocated</t>
  </si>
  <si>
    <t>Depriciation</t>
  </si>
  <si>
    <t>Incentive revenue</t>
  </si>
  <si>
    <t>Excluded</t>
  </si>
  <si>
    <t>I) DPCR3 type presentation</t>
  </si>
  <si>
    <t>ii) DPCR4 type presentation</t>
  </si>
  <si>
    <t>Total allowed income</t>
  </si>
  <si>
    <t>Customer contributions (directs) total</t>
  </si>
  <si>
    <t>Customer contributions (indirects)</t>
  </si>
  <si>
    <t>Customer contributions total</t>
  </si>
  <si>
    <t>Allowed pass through items</t>
  </si>
  <si>
    <t>MEAV (£)</t>
  </si>
  <si>
    <t>MEAV by Voltage Level</t>
  </si>
  <si>
    <t>Total MEAV</t>
  </si>
  <si>
    <t>Units (kWh) flowing through each level, loss-adjusted to LV</t>
  </si>
  <si>
    <t>Connection/Reinfircement/Replacement Capex LV, LV/HV, HV, EHV, 132kV split</t>
  </si>
  <si>
    <t>Total Net Capex 2005/06 -2014/15 LV, HV, EHV, 132kV split</t>
  </si>
  <si>
    <t>MEAV  - LV (excl. services), LV/HV, HV, EHV, 132kV split</t>
  </si>
  <si>
    <t>MEAV  - LV (excl. services + 50%LV), LV/HV, HV, EHV, 132kV split</t>
  </si>
  <si>
    <t>Drivers - LV, LV/HV, HV, EHV split</t>
  </si>
  <si>
    <t>No. of switchboards @ &gt;95% of F.L.</t>
  </si>
  <si>
    <t>LV Network</t>
  </si>
  <si>
    <t>LV Main (OHL)</t>
  </si>
  <si>
    <t>LV Service (OHL)</t>
  </si>
  <si>
    <t>Total capital</t>
  </si>
  <si>
    <t>Total capital ex depreciation</t>
  </si>
  <si>
    <t>Non-load new &amp; replacement assets (net of contributions)</t>
  </si>
  <si>
    <t>Non-operational capex</t>
  </si>
  <si>
    <t>Indirect activities</t>
  </si>
  <si>
    <t>Substations</t>
  </si>
  <si>
    <t>Do not allocate</t>
  </si>
  <si>
    <t>CEO etc</t>
  </si>
  <si>
    <t>Atypical cash costs</t>
  </si>
  <si>
    <t>Pension deficit payments</t>
  </si>
  <si>
    <t>As at 31st March 2015</t>
  </si>
  <si>
    <t>No. Substations</t>
  </si>
  <si>
    <t>Network Length</t>
  </si>
  <si>
    <t>No Cutomers</t>
  </si>
  <si>
    <t>Tranmission Exit Charges</t>
  </si>
  <si>
    <t>Catergory</t>
  </si>
  <si>
    <t>Source</t>
  </si>
  <si>
    <t>RRP table 5.1</t>
  </si>
  <si>
    <t>Notes</t>
  </si>
  <si>
    <t>N/A</t>
  </si>
  <si>
    <t>Assumption</t>
  </si>
  <si>
    <t>MEAV</t>
  </si>
  <si>
    <t>C2 - Unit costs</t>
  </si>
  <si>
    <t>No. of schemes</t>
  </si>
  <si>
    <t>Switchboards</t>
  </si>
  <si>
    <t>Opex and transmission exit charges</t>
  </si>
  <si>
    <t>Total direct+other</t>
  </si>
  <si>
    <t>Total inc. exp on DSM to avoid customer spec investment (net of cust cont)</t>
  </si>
  <si>
    <t>Unapportioned part of shared LV</t>
  </si>
  <si>
    <t>LR6 - Fault levels</t>
  </si>
  <si>
    <t>Fault level system measures</t>
  </si>
  <si>
    <t>As at 31st March 2010</t>
  </si>
  <si>
    <t>Unapportioned part of shared EHV</t>
  </si>
  <si>
    <t>Unapportioned part of shared 132kV</t>
  </si>
  <si>
    <t>132 kV</t>
  </si>
  <si>
    <t>General reniforcement Capex 2005/06 -2014/15 (£m)</t>
  </si>
  <si>
    <t>(from FBPQ LR4)</t>
  </si>
  <si>
    <t xml:space="preserve">Step 2. Allocate price control revenues to network tiers </t>
  </si>
  <si>
    <t>2007/08 allowed revenue source from page "summary allowed revenue"</t>
  </si>
  <si>
    <t>20 kV CB (GM)</t>
  </si>
  <si>
    <t>20 kV Switch (PM)</t>
  </si>
  <si>
    <t>20 kV Switch (GM)</t>
  </si>
  <si>
    <t>Year ended</t>
  </si>
  <si>
    <t>Health &amp; Safety &amp; Operational Training</t>
  </si>
  <si>
    <t>20 kV RMU</t>
  </si>
  <si>
    <t>31 March 2008</t>
  </si>
  <si>
    <t>Adjustments on T4.3</t>
  </si>
  <si>
    <t>31 March 2007</t>
  </si>
  <si>
    <t>31 March 2006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</si>
  <si>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</si>
  <si>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</si>
  <si>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</si>
  <si>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</si>
  <si>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</si>
  <si>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</si>
  <si>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Opex</t>
  </si>
  <si>
    <t>Capex</t>
  </si>
  <si>
    <t>Estimated number demand connections/disconnections at LV</t>
  </si>
  <si>
    <t>IDNO connections</t>
  </si>
  <si>
    <t>#</t>
  </si>
  <si>
    <t>Connections (excluding IDNOs)</t>
  </si>
  <si>
    <t>THESE % ARE USED TO ALLOCATE PRICE CONTROL OPEX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</si>
  <si>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</si>
  <si>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</si>
  <si>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</si>
  <si>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</si>
  <si>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</si>
  <si>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Base Demand Revenue  (BRt)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</si>
  <si>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</si>
  <si>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</si>
  <si>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</si>
  <si>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</si>
  <si>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</si>
  <si>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</si>
  <si>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</si>
  <si>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</si>
  <si>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</si>
  <si>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103. Units distributed (GWh) from RRP table 5.1</t>
  </si>
  <si>
    <t>Units distributed (GWh) from RRP table 5.1</t>
  </si>
  <si>
    <t>Units distributed at LV</t>
  </si>
  <si>
    <t>Units distributed at HV</t>
  </si>
  <si>
    <t>66kV UG Cable (Non Pressurised)</t>
  </si>
  <si>
    <t>Summary of Revenue</t>
  </si>
  <si>
    <t>Allowed Demand Revenue (ADt)</t>
  </si>
  <si>
    <t>Closing Balance DPCR4</t>
  </si>
  <si>
    <t>LRE</t>
  </si>
  <si>
    <t>NLRE</t>
  </si>
  <si>
    <t>Overhead lines - Conductor</t>
  </si>
  <si>
    <t>Sum of direct and indriect replacement unit cost from FBPQ C2</t>
  </si>
  <si>
    <t>Incremental increase in max demand due to new connections</t>
  </si>
  <si>
    <t>Incremental reduction in max demand due to disconnections</t>
  </si>
  <si>
    <t>Total units distributed</t>
  </si>
  <si>
    <t>Increase (reduction) in max demand</t>
  </si>
  <si>
    <t>Net change in max demand (not due to connections/disconnections)</t>
  </si>
  <si>
    <t>Units distributed offset by DSM</t>
  </si>
  <si>
    <t xml:space="preserve">Price impact on units distributed </t>
  </si>
  <si>
    <t xml:space="preserve">Economic downturn effect on units distributed </t>
  </si>
  <si>
    <t>EHV (inc. 132kV)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</si>
  <si>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</si>
  <si>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</si>
  <si>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</si>
  <si>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</si>
  <si>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</si>
  <si>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</si>
  <si>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</si>
  <si>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From 2007/08 revenue summary</t>
  </si>
  <si>
    <t>Opening asset value</t>
  </si>
  <si>
    <t>Allowed revenue</t>
  </si>
  <si>
    <t>Total capex</t>
  </si>
  <si>
    <t>Sum of MEAV of asset classified in voltage tier (as calculated below)</t>
  </si>
  <si>
    <t>Drivers - LV, HV, EHV split</t>
  </si>
  <si>
    <t>Customer contributions (directs) for connections at 132kV</t>
  </si>
  <si>
    <t>Total Net Non-load replacement (Direct Costs)</t>
  </si>
  <si>
    <t xml:space="preserve">          Non-operational </t>
  </si>
  <si>
    <t>Owned by DNO</t>
  </si>
  <si>
    <t>Owned by related party</t>
  </si>
  <si>
    <t>Plant &amp; Machinery</t>
  </si>
  <si>
    <t>Small Tools &amp; Equipment</t>
  </si>
  <si>
    <t>Office Equipment</t>
  </si>
  <si>
    <t>No. of switchboards having fault level 'operational restrictions'</t>
  </si>
  <si>
    <t>Number of fault level schemes</t>
  </si>
  <si>
    <t>Switchgear, Transformers, Substation</t>
  </si>
  <si>
    <t>Underground - Pressure assisted</t>
  </si>
  <si>
    <t>Underground - Non Pressure assisted</t>
  </si>
  <si>
    <t>Submarine cables - all voltages</t>
  </si>
  <si>
    <t>Check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</si>
  <si>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</si>
  <si>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</si>
  <si>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</si>
  <si>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</si>
  <si>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</si>
  <si>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</si>
  <si>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</si>
  <si>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</si>
  <si>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</si>
  <si>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</si>
  <si>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</si>
  <si>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Connections Capex 2005/06 -2014/15 (£m)</t>
  </si>
  <si>
    <t>132 kV Total</t>
  </si>
  <si>
    <t>Expenditure on DSM to avoid gen reinf.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</si>
  <si>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</si>
  <si>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</si>
  <si>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</si>
  <si>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</si>
  <si>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</si>
  <si>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</si>
  <si>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Load related new connections &amp; reinforcement (net of contributions)</t>
  </si>
  <si>
    <t>Asset categories</t>
  </si>
  <si>
    <t xml:space="preserve">New build </t>
  </si>
  <si>
    <t>Replacement</t>
  </si>
  <si>
    <t>Direct costs</t>
  </si>
  <si>
    <t>Transmission Exit Charges</t>
  </si>
  <si>
    <t>EHV only</t>
  </si>
  <si>
    <t>Pension deficit repair payments by related parties (note 2)</t>
  </si>
  <si>
    <t>Non activity costs and reconciling amounts (note 3)</t>
  </si>
  <si>
    <t>20 kV OHL (Covered)</t>
  </si>
  <si>
    <t>Hence DPCR4 revenue made up of</t>
  </si>
  <si>
    <t>Transformers</t>
  </si>
  <si>
    <t>Other</t>
  </si>
  <si>
    <t>Fault level reinforcement</t>
  </si>
  <si>
    <t>Cost including indirects (absorbed costs in T2A)</t>
  </si>
  <si>
    <t>(£k)</t>
  </si>
  <si>
    <t>Direct activities</t>
  </si>
  <si>
    <t>Step 5. Divide cost by units flowing - effectively adjust the cost because of electricity lost as it flows thorugh the network meaning that there is more cost in the lower tiers</t>
  </si>
  <si>
    <t>Total allowed items</t>
  </si>
  <si>
    <t>Income</t>
  </si>
  <si>
    <t>Total Annual Operating &amp; Capital Expenditure per Regulatory Accounts</t>
  </si>
  <si>
    <t>Direct activities - From RRP 2.2 Detailed Cost Matrix</t>
  </si>
  <si>
    <t>Step 1. Format price control allowed revenue data</t>
  </si>
  <si>
    <t>20 kV CB (PM)</t>
  </si>
  <si>
    <t>IT &amp; Telecoms</t>
  </si>
  <si>
    <t>Pension administration costs (reported in HR &amp; Non-op training)</t>
  </si>
  <si>
    <t>20 kV Switchgear - Other (PM)</t>
  </si>
  <si>
    <t>Net (gross directs - customer contributions directs)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</si>
  <si>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</si>
  <si>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</si>
  <si>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</si>
  <si>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New Connections &amp; Customer Specific Reinforcement:</t>
  </si>
  <si>
    <t>Connections provided at LV</t>
  </si>
  <si>
    <t>Connections provided at HV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</si>
  <si>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</si>
  <si>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</si>
  <si>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</si>
  <si>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</si>
  <si>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</si>
  <si>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</si>
  <si>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Total all network tiers</t>
  </si>
  <si>
    <t>Total by network tiers</t>
  </si>
  <si>
    <t xml:space="preserve">% </t>
  </si>
  <si>
    <t>Estimated number demand connections/disconnections at HV</t>
  </si>
  <si>
    <t>Tele-control / SCADA</t>
  </si>
  <si>
    <t>Primary substation</t>
  </si>
  <si>
    <t>132 kV/EHV RTU (PM)</t>
  </si>
  <si>
    <t>Allocation of "Unallocated" costs by cost driver to network tiers</t>
  </si>
  <si>
    <t>HV RTU (PM)</t>
  </si>
  <si>
    <t>HV RTU (GM)</t>
  </si>
  <si>
    <t>HV network switchgear</t>
  </si>
  <si>
    <t>Primary</t>
  </si>
  <si>
    <t>Distribution</t>
  </si>
  <si>
    <t>T4 - Volume Summary</t>
  </si>
  <si>
    <t>Total Asset Register Movement</t>
  </si>
  <si>
    <t>Opening Balance DCPR4</t>
  </si>
  <si>
    <t>Units distributed at EHV+</t>
  </si>
  <si>
    <t>104. Estimated line loss adjustment factors relative to LV</t>
  </si>
  <si>
    <t>LV services</t>
  </si>
  <si>
    <t>Assets Installed</t>
  </si>
  <si>
    <t>Closing Balance</t>
  </si>
  <si>
    <t>132kV total</t>
  </si>
  <si>
    <t>Expenditure on DSM to avoid customer spec investment</t>
  </si>
  <si>
    <t>Total inc. expenditure on DSM to avoid customer spec investment</t>
  </si>
  <si>
    <t>Closing DCPR asset Balance (units)</t>
  </si>
  <si>
    <t>Units (GWh) flowing through each level, loss-adjusted to LV</t>
  </si>
  <si>
    <t>Losses</t>
  </si>
  <si>
    <t>Incremental increase in units distributed attributable to new connections</t>
  </si>
  <si>
    <t>MWh</t>
  </si>
  <si>
    <t>Total increase in units distributed due to new connections</t>
  </si>
  <si>
    <t>132kV UG Cable (Oil)</t>
  </si>
  <si>
    <t>132kV UG Cable (Non Pressurised)</t>
  </si>
  <si>
    <t>Costs extracted from RRP Tables</t>
  </si>
  <si>
    <t>Sum of allocated and "unallocted" costs</t>
  </si>
  <si>
    <t>MEAV Calculation = Replacement unit cost*FBPQ closing asset balance</t>
  </si>
  <si>
    <t>Unit cost used in MEAV calculation (£)</t>
  </si>
  <si>
    <t>Customer contributions (directs) for connections at EHV</t>
  </si>
  <si>
    <t>Total Non-load related expenditure (direct costs)</t>
  </si>
  <si>
    <t>Non-operational property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</si>
  <si>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</si>
  <si>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</si>
  <si>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</si>
  <si>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</si>
  <si>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</si>
  <si>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</si>
  <si>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</si>
  <si>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</si>
  <si>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</si>
  <si>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No. of switchboards</t>
  </si>
  <si>
    <t>Vehicles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</si>
  <si>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</si>
  <si>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</si>
  <si>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</si>
  <si>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</si>
  <si>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</si>
  <si>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</si>
  <si>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Non-QoS Faults</t>
  </si>
  <si>
    <t>(£m)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</si>
  <si>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</si>
  <si>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</si>
  <si>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</si>
  <si>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</si>
  <si>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</si>
  <si>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LR4 - General reinforcement</t>
  </si>
  <si>
    <t>General reinforcement expenditure</t>
  </si>
  <si>
    <t>General reinforcement:</t>
  </si>
  <si>
    <t>Each</t>
  </si>
  <si>
    <t>Overhead lines - Support</t>
  </si>
  <si>
    <t>LV Support</t>
  </si>
  <si>
    <t>Fault costs allocated to Opex and Capex</t>
  </si>
  <si>
    <t>Fault opex</t>
  </si>
  <si>
    <t>Fault capex</t>
  </si>
  <si>
    <t>Total Fault Costs</t>
  </si>
  <si>
    <t>Expenditure avoided due to DG</t>
  </si>
  <si>
    <t>Expenditure avoided due to DSM</t>
  </si>
  <si>
    <t>Load Related New Connections &amp; Reinforcement</t>
  </si>
  <si>
    <t>General reinforcement projects</t>
  </si>
  <si>
    <t>Scheme details</t>
  </si>
  <si>
    <t>Scheme description</t>
  </si>
  <si>
    <t>Named scheme</t>
  </si>
  <si>
    <t>LV Board (WM)</t>
  </si>
  <si>
    <t>LV UGB</t>
  </si>
  <si>
    <t>Relevant distributed generation (less contributions)</t>
  </si>
  <si>
    <t>Disallowed Related Party Margins</t>
  </si>
  <si>
    <t>Statutory Depreciation</t>
  </si>
  <si>
    <t>Network Rates</t>
  </si>
  <si>
    <t>Forecast year in which substation demand will reach substation firm capacity</t>
  </si>
  <si>
    <t>MVA of additional firm capacity to be installed</t>
  </si>
  <si>
    <t>Total cost of project</t>
  </si>
  <si>
    <t>Total cost of project in DPCR5 period</t>
  </si>
  <si>
    <t>6.6/11 kV Support</t>
  </si>
  <si>
    <t>20 kV Support</t>
  </si>
  <si>
    <t>Underground cables (kms)</t>
  </si>
  <si>
    <t>6.6/11kV UG Cable</t>
  </si>
  <si>
    <t>20kV UG Cable</t>
  </si>
  <si>
    <t>Step 2.b. Divide cost by units flowing - effectively adjust the cost because of electricity lost as it flows thorugh the network meaning that there is more cost in the lower tiers</t>
  </si>
  <si>
    <t>LV Main (UG Consac)</t>
  </si>
  <si>
    <t>Metering</t>
  </si>
  <si>
    <t>Excluded services &amp; de minimis</t>
  </si>
  <si>
    <t>Total DPCR4</t>
  </si>
  <si>
    <t>Basis of allocation</t>
  </si>
  <si>
    <t>% used</t>
  </si>
  <si>
    <t>Operating costs</t>
  </si>
  <si>
    <t>Overall Opex split</t>
  </si>
  <si>
    <t>REVENUE</t>
  </si>
  <si>
    <t>6.6/11 kV RMU</t>
  </si>
  <si>
    <t>6.6/11 kV Switchgear - Other (PM)</t>
  </si>
  <si>
    <t>Property Mgt</t>
  </si>
  <si>
    <t>Vehicles &amp; Transport</t>
  </si>
  <si>
    <t>Non Relevant Distributed Generation</t>
  </si>
  <si>
    <t>132kV System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</si>
  <si>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</si>
  <si>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</si>
  <si>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</si>
  <si>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</si>
  <si>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</si>
  <si>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Non-operational assets (-ve)</t>
  </si>
  <si>
    <t>Step 4.a. calculate proportion of cost classified as direct costs</t>
  </si>
  <si>
    <t>Max of zero or total from each catergory</t>
  </si>
  <si>
    <t>% direct+other</t>
  </si>
  <si>
    <t>HV System</t>
  </si>
  <si>
    <t>EHV System</t>
  </si>
  <si>
    <t>Connections provided at EHV</t>
  </si>
  <si>
    <t>Connections provided at 132kV</t>
  </si>
  <si>
    <t>General Reinforcement:</t>
  </si>
  <si>
    <t>LV System</t>
  </si>
  <si>
    <t>Estimated number demand connections/disconnections at EHV</t>
  </si>
  <si>
    <t>Disconnections</t>
  </si>
  <si>
    <t xml:space="preserve">          Non-load related replacement (Condition based)</t>
  </si>
  <si>
    <t>Non-fault Related</t>
  </si>
  <si>
    <t>Estimated number demand connections/disconnections at 132kV</t>
  </si>
  <si>
    <t>Total number of demand connections</t>
  </si>
  <si>
    <t>132 kV/EHV RTU (GM)</t>
  </si>
  <si>
    <t>Secondary substation</t>
  </si>
  <si>
    <t>Total number of demand disconnections</t>
  </si>
  <si>
    <t>Customer specific demand investment</t>
  </si>
  <si>
    <t>Main Forecast Business Plan DPCR5</t>
  </si>
  <si>
    <t xml:space="preserve"> </t>
  </si>
  <si>
    <t>NL1 - Condition based expenditure</t>
  </si>
  <si>
    <t xml:space="preserve">Assets removed </t>
  </si>
  <si>
    <t>New connections &amp; customer specific reinforcement:</t>
  </si>
  <si>
    <t>Sole use</t>
  </si>
  <si>
    <t>Shared</t>
  </si>
  <si>
    <t>LV total</t>
  </si>
  <si>
    <t>HV total</t>
  </si>
  <si>
    <t>EHV total</t>
  </si>
  <si>
    <t xml:space="preserve">Transformers </t>
  </si>
  <si>
    <t>Substation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</si>
  <si>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</si>
  <si>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</si>
  <si>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</si>
  <si>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</si>
  <si>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</si>
  <si>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</si>
  <si>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Closing asset balannce from FBPQ V4</t>
  </si>
  <si>
    <t>DNO reported Unit Cost (£)</t>
  </si>
  <si>
    <t>Customer contributions (directs) for connections at HV</t>
  </si>
  <si>
    <t>Underground cables</t>
  </si>
  <si>
    <t>Submarine cables</t>
  </si>
  <si>
    <t>Total non-load replacement (£m)</t>
  </si>
  <si>
    <t>Sum of allocated and "unallocted" costs expressed per unit throughput (p/kWh)</t>
  </si>
  <si>
    <t>Operating costs = sum of allocated and unallocated multplied by 1 minus capitalised proprtion</t>
  </si>
  <si>
    <t>Base revenue</t>
  </si>
  <si>
    <t>Scottish Electricity Settlements run-off (Scottish DNOs only)</t>
  </si>
  <si>
    <t>Unit cost used in MEAV calculation*Closing DCPR asset Balance (units)</t>
  </si>
  <si>
    <t>Proactive condition based replacement (non fault)</t>
  </si>
  <si>
    <t>Total Net Non-load related (other non-fault)</t>
  </si>
  <si>
    <t>Inspections &amp; Maintenance, Tree Cutting and Fault Costs</t>
  </si>
  <si>
    <t>Inspections &amp; Maintenance</t>
  </si>
  <si>
    <t>Fault Costs</t>
  </si>
  <si>
    <t>Cash typicals</t>
  </si>
  <si>
    <t>Atypicals</t>
  </si>
  <si>
    <t>Inspection and Maintenance</t>
  </si>
  <si>
    <t xml:space="preserve">Inspections </t>
  </si>
  <si>
    <t>Cost</t>
  </si>
  <si>
    <t>Depn.</t>
  </si>
  <si>
    <t>Net Book Value</t>
  </si>
  <si>
    <t>Net Sales Proceeds</t>
  </si>
  <si>
    <t>Asset Owner</t>
  </si>
  <si>
    <t>Asset Type</t>
  </si>
  <si>
    <t>£m</t>
  </si>
  <si>
    <t>Fault Level Reinforcement</t>
  </si>
  <si>
    <t>Regulatory Reporting Pack (RRP)</t>
  </si>
  <si>
    <t xml:space="preserve">System Maximum Demand </t>
  </si>
  <si>
    <t>System Maximum Demand (Weather corrected)</t>
  </si>
  <si>
    <t xml:space="preserve">Maintenance </t>
  </si>
  <si>
    <t xml:space="preserve">Total </t>
  </si>
  <si>
    <t>LV Services</t>
  </si>
  <si>
    <t>Underground Mains - Consac</t>
  </si>
  <si>
    <t>Underground Mains - Non Consac</t>
  </si>
  <si>
    <t xml:space="preserve">HV </t>
  </si>
  <si>
    <t>Substation electricity</t>
  </si>
  <si>
    <t>Diesel generation costs (permanent emergency back up on islands)</t>
  </si>
  <si>
    <t>Third party cable damage - recoveries</t>
  </si>
  <si>
    <t>Dismantlement</t>
  </si>
  <si>
    <t>2007/08</t>
  </si>
  <si>
    <t>Network Data</t>
  </si>
  <si>
    <t>Units</t>
  </si>
  <si>
    <t>2005/06</t>
  </si>
  <si>
    <t>2006/07</t>
  </si>
  <si>
    <t>2008/09</t>
  </si>
  <si>
    <t>2009/10</t>
  </si>
  <si>
    <t>allocated in proportion to repex</t>
  </si>
  <si>
    <t>HV/LV sub/trans costs</t>
  </si>
  <si>
    <t>LV/HV/(LV/HV+HV) %</t>
  </si>
  <si>
    <t>Total Tree Cutting</t>
  </si>
  <si>
    <t>Lane rentals analysis: including logged up costs (see below):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</si>
  <si>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</si>
  <si>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</si>
  <si>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</si>
  <si>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</si>
  <si>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</si>
  <si>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</si>
  <si>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Total CMLs (Excluding EE)</t>
  </si>
  <si>
    <t>CMLs</t>
  </si>
  <si>
    <t>Condition based</t>
  </si>
  <si>
    <t>Units Distributed</t>
  </si>
  <si>
    <t>GWh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</si>
  <si>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</si>
  <si>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</si>
  <si>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</si>
  <si>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</si>
  <si>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</si>
  <si>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</si>
  <si>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IFI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</si>
  <si>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</si>
  <si>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</si>
  <si>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</si>
  <si>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</si>
  <si>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</si>
  <si>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</si>
  <si>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(Description)</t>
  </si>
  <si>
    <t>LR1 - Demand</t>
  </si>
  <si>
    <t>Demand Totals</t>
  </si>
  <si>
    <t>Submarine cables (kms)</t>
  </si>
  <si>
    <t>HV Sub Cable</t>
  </si>
  <si>
    <t>6.6/11 kV CB (PM)</t>
  </si>
  <si>
    <t>Indirect activities - From RRP 2.2 Detailed Cost Matrix</t>
  </si>
  <si>
    <t>6.6/11 kV Switchgear - Other (GM)</t>
  </si>
  <si>
    <t>HR &amp; Non-operational Training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</si>
  <si>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</si>
  <si>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</si>
  <si>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</si>
  <si>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</si>
  <si>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</si>
  <si>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</si>
  <si>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6.6/11 kV CB (GM)</t>
  </si>
  <si>
    <t>6.6/11 kV Switch (PM)</t>
  </si>
  <si>
    <t>6.6/11 kV Switch (GM)</t>
  </si>
  <si>
    <t xml:space="preserve">          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</si>
  <si>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</si>
  <si>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</si>
  <si>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</si>
  <si>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</si>
  <si>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EHV ground mounted</t>
  </si>
  <si>
    <t>EHV pole mounted</t>
  </si>
  <si>
    <t>HV ground mounted</t>
  </si>
  <si>
    <t>HV pole mounted</t>
  </si>
  <si>
    <t>Regulatory Reporting Pack</t>
  </si>
  <si>
    <t>MISCELLANEOUS</t>
  </si>
  <si>
    <t>Costs outside scope of DPCR4 allowances</t>
  </si>
  <si>
    <t>Road Occupation &amp; Permit Scheme Costs included within Lane Rentals, previously agreed in writing with Ofgem to be treated as logged up costs: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</si>
  <si>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</si>
  <si>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</si>
  <si>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</si>
  <si>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</si>
  <si>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</si>
  <si>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</si>
  <si>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Fault Related</t>
  </si>
  <si>
    <t xml:space="preserve">Total
</t>
  </si>
  <si>
    <t>Metered LV Services</t>
  </si>
  <si>
    <t>Overhead</t>
  </si>
  <si>
    <t>Underground</t>
  </si>
  <si>
    <t>Un-metered LV Services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</si>
  <si>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</si>
  <si>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</si>
  <si>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</si>
  <si>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</si>
  <si>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</si>
  <si>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Total condition based replacement</t>
  </si>
  <si>
    <t>Asset Categories</t>
  </si>
  <si>
    <t>DPCR 4</t>
  </si>
  <si>
    <t>DPCR 5</t>
  </si>
  <si>
    <t>DPCR4</t>
  </si>
  <si>
    <t>DPCR5</t>
  </si>
  <si>
    <t>2010/11</t>
  </si>
  <si>
    <t>Underground Cables</t>
  </si>
  <si>
    <t>Submarine</t>
  </si>
  <si>
    <t>Customer Data</t>
  </si>
  <si>
    <t>Environment</t>
  </si>
  <si>
    <t>Visual Amenity</t>
  </si>
  <si>
    <t>ESQCR</t>
  </si>
  <si>
    <t>Resilience</t>
  </si>
  <si>
    <t>Operational IT &amp; Telecoms - BT 21CN</t>
  </si>
  <si>
    <t>Actuals</t>
  </si>
  <si>
    <t>Forecast</t>
  </si>
  <si>
    <t>% change</t>
  </si>
  <si>
    <t>Overhead mains</t>
  </si>
  <si>
    <t>Underground mains</t>
  </si>
  <si>
    <t>Take these data from the February 2005 Ofgem document (link below), not the November 2004 final proposals.</t>
  </si>
  <si>
    <t>Ex-gratia compensation payments</t>
  </si>
  <si>
    <t>Bad debt expense (net of recoveries)</t>
  </si>
  <si>
    <t>IT Non-operational Capital Expenditure</t>
  </si>
  <si>
    <t>Total Non-load related (other non-fault)</t>
  </si>
  <si>
    <t>2011/12</t>
  </si>
  <si>
    <t>2012/13</t>
  </si>
  <si>
    <t>2013/14</t>
  </si>
  <si>
    <t>2014/15</t>
  </si>
  <si>
    <t>Customer contributions - customer specific demand investment</t>
  </si>
  <si>
    <t>Customer contributions (directs) for connections at LV</t>
  </si>
  <si>
    <t xml:space="preserve">Shared </t>
  </si>
  <si>
    <t>Operational IT &amp; Telecoms - other</t>
  </si>
  <si>
    <t>Non - rechargeable diversions</t>
  </si>
  <si>
    <t>Transmission exit charges</t>
  </si>
  <si>
    <t>Wheeled units imported</t>
  </si>
  <si>
    <t>Network rates</t>
  </si>
  <si>
    <t>Costs inside scope of DPCR4 allowances</t>
  </si>
  <si>
    <t>Present value of opening / closing RAV</t>
  </si>
  <si>
    <t>Operating costs (excluding pensions)</t>
  </si>
  <si>
    <t>Capital expenditure (excluding pensions)</t>
  </si>
  <si>
    <t>Pensions allowance</t>
  </si>
  <si>
    <t>Capex incentive scheme</t>
  </si>
  <si>
    <t>Sliding scale additional income</t>
  </si>
  <si>
    <t>ANALYSIS OF ASSET DISPOSALS</t>
  </si>
  <si>
    <t>Non-activity based costs (excluded from Table 2.2)(enter as positive)</t>
  </si>
  <si>
    <t>£'m</t>
  </si>
  <si>
    <t>Pass through Costs</t>
  </si>
  <si>
    <t>Customer Specific Reinforcement - Non Chargeable</t>
  </si>
  <si>
    <t>General Reinforcement</t>
  </si>
  <si>
    <t>DNO LV Main usage</t>
  </si>
  <si>
    <t>Final DPCR4 settlement</t>
  </si>
  <si>
    <t>February 05 ofgem document http://www.ofgem.gov.uk/Markets/RetMkts/Metrng/Metering/Documents1/9745-5405.pdf</t>
  </si>
  <si>
    <t>FBPQ T4</t>
  </si>
  <si>
    <t>FBPQ LR1</t>
  </si>
  <si>
    <t>Voltage</t>
  </si>
  <si>
    <t xml:space="preserve">Limiting 
Factor
</t>
  </si>
  <si>
    <t>For Future years</t>
  </si>
  <si>
    <t xml:space="preserve">Customer Numbers </t>
  </si>
  <si>
    <t>Millions</t>
  </si>
  <si>
    <t>Total CIs (Excluding EE)</t>
  </si>
  <si>
    <t>CIs</t>
  </si>
  <si>
    <t>DNO's regulatory returns (Summary of revenue)</t>
  </si>
  <si>
    <t>Remove incentive revenue and pension deficit?</t>
  </si>
  <si>
    <t>Modelling decision</t>
  </si>
  <si>
    <t>Enter "y" if data is to be removed. "n" if not being removed.</t>
  </si>
  <si>
    <t>February 09 FBPQ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</si>
  <si>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</si>
  <si>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</si>
  <si>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</si>
  <si>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</si>
  <si>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</si>
  <si>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</si>
  <si>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Miscellaneous costs (included in table 2.2 costs)</t>
  </si>
  <si>
    <t>Additional employer pension contributions (+ve)</t>
  </si>
  <si>
    <t>LV Control centre costs (where it remotely controls LV network)</t>
  </si>
  <si>
    <t>km</t>
  </si>
  <si>
    <t>Total Undergrounding in National Parks / AONB</t>
  </si>
  <si>
    <t>Opex incentive / Other adjustments</t>
  </si>
  <si>
    <t>Quality award</t>
  </si>
  <si>
    <t>Present value of allowed items</t>
  </si>
  <si>
    <t>TOTAL PRESENT VALUE OVER 5 YEARS</t>
  </si>
  <si>
    <t>Excluded service revenue</t>
  </si>
  <si>
    <t>Present value of total revenue</t>
  </si>
  <si>
    <t>Gross direct costs</t>
  </si>
  <si>
    <t>Customer contributions directs</t>
  </si>
  <si>
    <t>Costs previously agreed with Ofgem in writing for additional security</t>
  </si>
  <si>
    <t>Customer contributions indirects</t>
  </si>
  <si>
    <t>Finance &amp; Regulation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</si>
  <si>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</si>
  <si>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</si>
  <si>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</si>
  <si>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</si>
  <si>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NEW AND REPLACEMENT ASSETS (EXCL. FAULTS)</t>
  </si>
  <si>
    <t>5 Year movement in closing RAV</t>
  </si>
  <si>
    <t>2005/6</t>
  </si>
  <si>
    <t>2006/7</t>
  </si>
  <si>
    <t>2007/8</t>
  </si>
  <si>
    <t>2008/9</t>
  </si>
  <si>
    <t>2004/05</t>
  </si>
  <si>
    <t>(£M)</t>
  </si>
  <si>
    <t>Input</t>
  </si>
  <si>
    <t>Internal DNO analysis (or industry-wide data?)</t>
  </si>
  <si>
    <t>Comment</t>
  </si>
  <si>
    <t>ATW tariffs</t>
  </si>
  <si>
    <t>Current DUoS Statement</t>
  </si>
  <si>
    <t>This data is only used for comparison purposes</t>
  </si>
  <si>
    <t>DNO's forecast</t>
  </si>
  <si>
    <t>Summary of revenue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</si>
  <si>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</si>
  <si>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</si>
  <si>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</si>
  <si>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</si>
  <si>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</si>
  <si>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</si>
  <si>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</si>
  <si>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</si>
  <si>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</si>
  <si>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Non-load non-fault new &amp; replacement assets</t>
  </si>
  <si>
    <t>Faults</t>
  </si>
  <si>
    <t>Inspectns &amp; Maint. (exc. Tree Cutting)</t>
  </si>
  <si>
    <t>Tree Cutting</t>
  </si>
  <si>
    <t>Fines and penalties</t>
  </si>
  <si>
    <t>FBPQ LR4</t>
  </si>
  <si>
    <t>FBPQ LR6</t>
  </si>
  <si>
    <t>FBPQ NL1</t>
  </si>
  <si>
    <t>FBPQ C2</t>
  </si>
  <si>
    <t>RRP 1.3</t>
  </si>
  <si>
    <t>RRP 2.3</t>
  </si>
  <si>
    <t>RRP 2.4</t>
  </si>
  <si>
    <t>RRP 2.6</t>
  </si>
  <si>
    <t>RRP 5.1</t>
  </si>
  <si>
    <t>Regulatory Reporting Pack 07/08</t>
  </si>
  <si>
    <t>Index</t>
  </si>
  <si>
    <t>Select and copy as values from cell F12 in both worksheets</t>
  </si>
  <si>
    <t>PB power numbers, if available</t>
  </si>
  <si>
    <t>PB Power Unit values</t>
  </si>
  <si>
    <t>PB Power analysis (if available)</t>
  </si>
  <si>
    <t>This gets used if no unit cost was submitted with FBPQ.</t>
  </si>
  <si>
    <t>y</t>
  </si>
  <si>
    <t>DATA</t>
  </si>
  <si>
    <t>Sum of MEAV of asset classified in voltage tier</t>
  </si>
  <si>
    <t>Customer Call Centre</t>
  </si>
  <si>
    <t>Stores</t>
  </si>
  <si>
    <t>Overhead Mains</t>
  </si>
  <si>
    <t>Underground Mains</t>
  </si>
  <si>
    <t>Switchgear (incl other plant &amp; equipment)</t>
  </si>
  <si>
    <t>Overhead lines</t>
  </si>
  <si>
    <t>http://www.ofgem.gov.uk/Markets/RetMkts/Metrng/Metering/Documents1/9745-5405.pdf</t>
  </si>
  <si>
    <t>Ofgem licence fee</t>
  </si>
  <si>
    <t>Shetland Balancing Costs (SHEPD only)</t>
  </si>
  <si>
    <t>QUALITY OF SERVICE</t>
  </si>
  <si>
    <t>Historical data</t>
  </si>
  <si>
    <t>Telecoms Non-operational Capital Expenditures</t>
  </si>
  <si>
    <t>Total Non-operational New Assets &amp; Replacement</t>
  </si>
  <si>
    <t>Guaranteed standard of performance compensation payments</t>
  </si>
  <si>
    <t>NETWORK ACTIVITY INDICATORS</t>
  </si>
  <si>
    <t>CONNECTIONS</t>
  </si>
  <si>
    <t>Number of new connections</t>
  </si>
  <si>
    <t>EHV (Includes 132kV)</t>
  </si>
  <si>
    <t>No. Connections</t>
  </si>
  <si>
    <t>HV</t>
  </si>
  <si>
    <t>LV</t>
  </si>
  <si>
    <t>DG</t>
  </si>
  <si>
    <t xml:space="preserve">Total Connected Distributed Generation </t>
  </si>
  <si>
    <t>132kV</t>
  </si>
  <si>
    <t>MW</t>
  </si>
  <si>
    <t>EHV</t>
  </si>
  <si>
    <t>Total</t>
  </si>
  <si>
    <t>DEMANDS</t>
  </si>
  <si>
    <t>ALLOWED ITEMS</t>
  </si>
  <si>
    <t>Network</t>
  </si>
  <si>
    <t>Land and Building</t>
  </si>
  <si>
    <t>Sale of various small elements of surplus Land &amp; Buildings on sites</t>
  </si>
  <si>
    <t>TOTAL</t>
  </si>
  <si>
    <t>0</t>
  </si>
  <si>
    <t>Annesley - Hucknall 33kV</t>
  </si>
  <si>
    <t>33kV</t>
  </si>
  <si>
    <t>b</t>
  </si>
  <si>
    <t>Uprating 33kV double circuit line to 40MVA and interconnection of cables via Linby (approx 10km of cable)</t>
  </si>
  <si>
    <t>Bainton - new GSP</t>
  </si>
  <si>
    <t>a</t>
  </si>
  <si>
    <t>Reconfiguration of the 132kV circuit between Bourne and Stamford</t>
  </si>
  <si>
    <t>Berkswell - Coventry South / Coventry West 132kV</t>
  </si>
  <si>
    <t>Installation of a third circuit from Berkswell.  Alternatively for SCO only, re-energisation of Coventry South - Whitley 132kV circuits</t>
  </si>
  <si>
    <t>Billingborough 33/11kV Substation</t>
  </si>
  <si>
    <t>c</t>
  </si>
  <si>
    <t>Installation of new 10km circuit from Great Hale to Billingborough and additional transformer at Billingborough</t>
  </si>
  <si>
    <t>Bourne 33/11kV Transformer Replacement</t>
  </si>
  <si>
    <t>Uprating of 2 x 10/14.5MVA 33/11kV transformers with 12/24MVA units</t>
  </si>
  <si>
    <t>Brackley - Banbury group P2/6 SCO security</t>
  </si>
  <si>
    <t>Installation of a third 132kV circuit. Costs split evenly across East and West. Wayleaves only in DPCR5, construction in DPCR6.</t>
  </si>
  <si>
    <t>Brackley Town 33/11kV reinforcement</t>
  </si>
  <si>
    <t>Installation of Brackley local primary or strapping 33kV OHL circuits from Brackley Grid together. Installation of a new 33kV circuit (3km), uprating the existing transformers with 2 x 20/40MVA units and installation of a 2000A switchboard</t>
  </si>
  <si>
    <t>Bradwell Abbey 132/33kV reinforcement</t>
  </si>
  <si>
    <t>Installation of a third grid transformer and third section of switchboard</t>
  </si>
  <si>
    <t>Braunstone, Jupiter &amp; Groby Road 33/11kV reinforcement</t>
  </si>
  <si>
    <t>Installation of new 40MVA 33/11kV primary on Hinckley Rd reserve site. Modification of 11kV circuits to enable load transfers.</t>
  </si>
  <si>
    <t>Burton 132/33kV transformer change</t>
  </si>
  <si>
    <t>Uprating the existing 132/33kV transformers with 2 x 90MVA units.</t>
  </si>
  <si>
    <t>Cannon Street 33/11kV reinforcement</t>
  </si>
  <si>
    <t xml:space="preserve">Installation of a 132/11kV primary at Wellingborough Grid to transfer demand off Cannon Street.  </t>
  </si>
  <si>
    <t>Caythorpe 33/11kV</t>
  </si>
  <si>
    <t>Uprating transformer T1 (10.85MVA) with 24MVA transformer</t>
  </si>
  <si>
    <t xml:space="preserve">Clifton 33/11kV reinforcement </t>
  </si>
  <si>
    <t>Installation of a third 33kV circuit and a third 33/11kV 24MVA transformer</t>
  </si>
  <si>
    <t>Coalville 33/11kV transformer change</t>
  </si>
  <si>
    <t>Uprating transformers for larger units.</t>
  </si>
  <si>
    <t>Colwick 33/11kV reinforcement</t>
  </si>
  <si>
    <t>Installation of a third 33kV circuit from Notts East and a third 33/11kV 40MVA transformer. Reconfiguration of Cotgrave 33kV interconnection.</t>
  </si>
  <si>
    <t>Copsewood 33/11kv reinforcement</t>
  </si>
  <si>
    <t>Installation of 40MVA 33kV circuits, transformers and switchgear or installation of a 33/11kV 24MVA primary at Binley.</t>
  </si>
  <si>
    <t xml:space="preserve">Coventry - Rugby 132kV cct reinforcement </t>
  </si>
  <si>
    <t>Transfer of Hinckley to Enderby GSP using the disconnected CA line. Refurbishment of CA1&amp;2.</t>
  </si>
  <si>
    <t>Coventry South 33/11kV Reinforcement</t>
  </si>
  <si>
    <t>Uprating transformers with 20/40 33/11kV units or 30MVA 132/11kV units.</t>
  </si>
  <si>
    <t>Dillotford Avenue 33/11kV Reinforcement</t>
  </si>
  <si>
    <t>Uprating 33kV circuits with 40MVA rated cables and uprating transformers</t>
  </si>
  <si>
    <t>Farndon Road 33kV switchgear reconfiguration</t>
  </si>
  <si>
    <t>g</t>
  </si>
  <si>
    <t>Switchgear reconfiguration</t>
  </si>
  <si>
    <t>Field Street T3 overload</t>
  </si>
  <si>
    <t>Installation of auto opening scheme on the T2-T3 bus section for the loss of T1 or T2, or transfer load to Kettering North at 11kV or Uprate transformer T3.</t>
  </si>
  <si>
    <t>Fiskerton 33/11kV reinforcement</t>
  </si>
  <si>
    <t xml:space="preserve">Uprating existing transformers with 2 x 12/24 MVA units. </t>
  </si>
  <si>
    <t>Gresley - Moira - Ashby - Woodville - Willesley ccts</t>
  </si>
  <si>
    <t>Installation of additional circuits from Gresley &amp; splitting existing circuits.</t>
  </si>
  <si>
    <t>Hatton 33/11kV reinforcement</t>
  </si>
  <si>
    <t>Uprating the existing 2 x 24MVA transformers with 40MVA units and changing the 11kV switchboard.</t>
  </si>
  <si>
    <t>Hawton SCO Reinforcement and BSP reinforcement</t>
  </si>
  <si>
    <t>Replacement of circuit breakers at Staythorpe, additional transformer capacity and 132kV busbars.</t>
  </si>
  <si>
    <t>Heanor 33/11kV  reinforcement</t>
  </si>
  <si>
    <t>Uprating of existing transformers with 20/40 33/11kV units and replacement of circuits 2 x 85m</t>
  </si>
  <si>
    <t>Heanor BSP reinforcement</t>
  </si>
  <si>
    <t>Uprating existing 132/33kV transformer with 120MVA units at Heanor. Looping the 132kV circuit (3km) into Stanton with two new CBs.</t>
  </si>
  <si>
    <t>Kenilworth 33/11kV Reinforcement</t>
  </si>
  <si>
    <t>Installation of a new 33/11kV primary (North Kenilworth) to offload Kenilworth.</t>
  </si>
  <si>
    <t>Kibworth 33/11kV transformer replacement</t>
  </si>
  <si>
    <t>Uprating 33/11kV transformers with 24MVA units.</t>
  </si>
  <si>
    <t>Leicester East - Salutation - Thurmaston 33kV circuit</t>
  </si>
  <si>
    <t>Installation of third and fourth circuits to remove tee-off radial circuits.</t>
  </si>
  <si>
    <t>Lincoln 132/33kV reinforcement</t>
  </si>
  <si>
    <t>Installation of new third 132/33kV 90MVA transformer</t>
  </si>
  <si>
    <t>Lincoln BSP</t>
  </si>
  <si>
    <t>Creation of 132kV cross bay</t>
  </si>
  <si>
    <t>Mackworth 33/11kV reinforcement</t>
  </si>
  <si>
    <t>Installation of a third 33kV circuit (3.5km) and a third transformer (12/24MVA).</t>
  </si>
  <si>
    <t>Middlefield/Barwell 33kV circuit reinforcement</t>
  </si>
  <si>
    <t>Overlaying short lower rated sections of 33kV circuits increasing the rating to 40MVA.</t>
  </si>
  <si>
    <t>Millclose transformer and switchboard replacement</t>
  </si>
  <si>
    <t>Uprating 33/11kV transformer and 11kV switchboard</t>
  </si>
  <si>
    <t>Milton Keynes additional BSP - acquire site and 132kV route</t>
  </si>
  <si>
    <t>Phase 1 - Acquisition of a reserved BSP site on the north eastern edge of the city and a route to an appropriate GSP.</t>
  </si>
  <si>
    <t>Mountsorrel / Syston 33kV ccts</t>
  </si>
  <si>
    <t>Extension of Syston - Mountsorrel 33kV circuit into mid point at Mountsorrel and Syston, installation of RMU and changeover scheme at each end</t>
  </si>
  <si>
    <t>Normanton 33/11kV reinforcement</t>
  </si>
  <si>
    <t>Uprating 33/11kV transformers with 40MVA units.</t>
  </si>
  <si>
    <t>Northampton 132kV reinforcement</t>
  </si>
  <si>
    <t>Installation of fourth 132kV circuit from Grendon to Northampton. Reconfiguration of 132kV running arrangement.</t>
  </si>
  <si>
    <t>Northampton West - Kingsthorpe 33kV circuit reinforcement</t>
  </si>
  <si>
    <t>Installation of 33kV and 11kV switchgear to accommodate all the potential 33kV circuit outages</t>
  </si>
  <si>
    <t>Nottingham North BSP</t>
  </si>
  <si>
    <t>Installation of new 33/11kV substation in vicinity of BSP site (5km double circuit 33kV cable assumed)</t>
  </si>
  <si>
    <t>Nott'm East - Colwick 33kV cct</t>
  </si>
  <si>
    <t>Installation of two new 40MVA cable circuits to tee point to create two direct circuits to Colwick (3km)</t>
  </si>
  <si>
    <t>Olney 33/11kV reinforcement</t>
  </si>
  <si>
    <t>Uprating the existing 33/11kV transformer with 24MVA units and reinforcement of 33kV circuits</t>
  </si>
  <si>
    <t>Raunds 33/11kV reinforcement</t>
  </si>
  <si>
    <t>Installation of a new 40MVA 33kV circuit from Irthlingborough Grid. Uprate transformer with a 12/24MVA unit and install a 2nd 12/24MVA unit.</t>
  </si>
  <si>
    <t>Raynesway 33/11kV Substation</t>
  </si>
  <si>
    <t>Installation of a new 33/11kV primary substation</t>
  </si>
  <si>
    <t>Ripley 33/11kV reinforcement</t>
  </si>
  <si>
    <t>Installation of a third 33kV circuit (6.4km) and a third transformer (12/24MVA).</t>
  </si>
  <si>
    <t>Rugby - Harbury 132kV circuit (Warwick &amp; Harbury Security)</t>
  </si>
  <si>
    <t>Installation of a 132kV interconnector between Harbury and Rugby.</t>
  </si>
  <si>
    <t>Rugby 132/33kV reinforcement</t>
  </si>
  <si>
    <t>Installation of a third 132/33kV transformer or alternatively a 132/11kV double wound transformer at Rugby BSP.</t>
  </si>
  <si>
    <t>Rushden 33/11kV reinforcement</t>
  </si>
  <si>
    <t>Installation of 2 x 40MVA 33kV circuits from Irthlingborough Grid to Rushden and 2 x 20/40MVA 33/11kV transformers at Rushden OR Installation of a 40MVA 33kV cable circuit from Wellingborough - Little Irchester to pick up existing Little Irchester - Rushden 33kV line and uprating Little Irchester.</t>
  </si>
  <si>
    <t>Salutation 33/6.6kV reinforcement</t>
  </si>
  <si>
    <t>Uprating 6.6kV network to 11kV to reduce demand on Salutation s/s.</t>
  </si>
  <si>
    <t>Spondon - Stanton - Heanor - Annesley 132kV reinforcement</t>
  </si>
  <si>
    <t>j</t>
  </si>
  <si>
    <t>Looping 132kV circuit through Heanor, installation of 2 x 132kV circuit breakers at Heanor</t>
  </si>
  <si>
    <t>Spondon 33/11kV reinforcement</t>
  </si>
  <si>
    <t>Installation of a third transformer (20/40MVA).  Co-ordination with 11kV and 33kV switchgear replacements.</t>
  </si>
  <si>
    <t>Stamford 132/33/11kV reinforcement</t>
  </si>
  <si>
    <t>Uprating 33/11kV transformers with 40MVA units</t>
  </si>
  <si>
    <t xml:space="preserve">Stoke Bardolph - New GSP </t>
  </si>
  <si>
    <t>Installation of new GSP to support Ratcliffe picking up Nottingham East on new 132kV cable and new OHL for new BSP to pick up Notts North.</t>
  </si>
  <si>
    <t>Stony Stratford - Buckingham - Wicken - Towcester circuit reinforcement</t>
  </si>
  <si>
    <t>Reinforcement/rebuild/reconfiguration of the network required to increase the thermal rating.</t>
  </si>
  <si>
    <t>Stony Stratford - Shenley Wood - Eldergate circuit reinforcement</t>
  </si>
  <si>
    <t>Installation of a new 40 MVA circuit from Stony Stratford to split the Shenley Wood / Eldergate circuits</t>
  </si>
  <si>
    <t>Syston 33/11kV reinforcement</t>
  </si>
  <si>
    <t>f</t>
  </si>
  <si>
    <t>Installation of capacitors</t>
  </si>
  <si>
    <t>Talbot Street 33/11kV reinforcement</t>
  </si>
  <si>
    <t>Installation of third 33/11kV 24MVA transformer and new 33kV circuit to Nottingham (4km) BSP</t>
  </si>
  <si>
    <t>Tamworth Grid 132/33kV Tamworth Town 132/33kV reinforcement</t>
  </si>
  <si>
    <t>Extension of 40MVA interconnector to be selectable to both sections of the 33kV switchboard at Tamworth Grid, connection to spare CB.</t>
  </si>
  <si>
    <t>Walton 33/11kV</t>
  </si>
  <si>
    <t>C</t>
  </si>
  <si>
    <t>Installation of additional 33/11kV 10MVA transformer and associated switchgear</t>
  </si>
  <si>
    <t>Warwick - Campion Hills - Tee Princethorpe 33kV circuit Reinforcement</t>
  </si>
  <si>
    <t>Increasing 11kV interconnection and application of sequence scheme to transfer demand away.</t>
  </si>
  <si>
    <t>Watnall / Kimberley New Primary Substation</t>
  </si>
  <si>
    <t>Installation of new 33/11kV substation and 33kV circuits</t>
  </si>
  <si>
    <t>Wellesbourne 33/11kV New Primary Substation</t>
  </si>
  <si>
    <t>Following installation of Warwick West, decommissioning Banbury Rd and extending existing dual 33kV circuits to a reserve site at Wellesbourne.</t>
  </si>
  <si>
    <t>West Burton - Lincoln 132kV DC OHL</t>
  </si>
  <si>
    <t>Uprating 132kV overhead line</t>
  </si>
  <si>
    <t xml:space="preserve">West Burton GSP - 3rd SGT </t>
  </si>
  <si>
    <t>Installation of a third SGT and a bus-section at West Burton GSP.</t>
  </si>
  <si>
    <t>Westville 33/11kV</t>
  </si>
  <si>
    <t>Installation of a new 33/11kV substation and 33kV single circuit to Hucknall (3km)</t>
  </si>
  <si>
    <t>Wigston Magna 33/11kV reinforcement</t>
  </si>
  <si>
    <t>Installation of a third 33kV circuit and third 33/11kV 40MVA transformer.</t>
  </si>
  <si>
    <t>Willington - Winster - Uttoxeter 132kV reinforcement</t>
  </si>
  <si>
    <t>Unstitching tee (by cabling to Willington GSP) and refurbishment of both circuits (23km Uttoxeter &amp; 35km Winster).</t>
  </si>
  <si>
    <t>Winster - Longcliffe</t>
  </si>
  <si>
    <t>Installation of new single 40MVA, 33kV circuit (4km ohl)</t>
  </si>
  <si>
    <t/>
  </si>
  <si>
    <t>-</t>
  </si>
  <si>
    <t>LV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</si>
</sst>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000"/>
    <numFmt numFmtId="166" formatCode="0.000"/>
    <numFmt numFmtId="167" formatCode="0.0"/>
    <numFmt numFmtId="168" formatCode="#,##0_);[Red]\(#,##0\);\-"/>
    <numFmt numFmtId="169" formatCode="#,##0.000;[Red]\-#,##0.000;"/>
    <numFmt numFmtId="170" formatCode="#,##0.000;[Red]\-#,##0.000;\-"/>
    <numFmt numFmtId="171" formatCode="_(* #,##0_);_(* \(#,##0\);_(* &quot;-&quot;??_);_(@_)"/>
    <numFmt numFmtId="172" formatCode="#,##0;[Red]\-#,##0;\-"/>
    <numFmt numFmtId="173" formatCode="_-* #,##0.000_-;\-* #,##0.000_-;_-* &quot;-&quot;??_-;_-@_-"/>
    <numFmt numFmtId="174" formatCode="#,##0.0_);[Red]\(#,##0.0\);\-"/>
    <numFmt numFmtId="175" formatCode="0.00000%"/>
    <numFmt numFmtId="176" formatCode="0;\(0\)"/>
    <numFmt numFmtId="177" formatCode="0;[Red]\(0\);\-"/>
    <numFmt numFmtId="178" formatCode="_(* #,##0.0_);_(* \(#,##0.0\);_(* &quot;-&quot;?_);_(@_)"/>
    <numFmt numFmtId="179" formatCode="0.000;\-0.000;"/>
    <numFmt numFmtId="180" formatCode="_(??0.0%_);[Red]\(??0.0%\);"/>
    <numFmt numFmtId="181" formatCode="#,##0.0"/>
  </numFmts>
  <fonts count="58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10"/>
      <name val="Arial"/>
      <family val="2"/>
    </font>
    <font>
      <sz val="11"/>
      <name val="CG Omega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1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1"/>
      <color indexed="12"/>
      <name val="CG Omega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10"/>
      <name val="CG Omega"/>
      <family val="2"/>
    </font>
    <font>
      <i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indexed="12"/>
      <name val="CG Omega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Verdana"/>
      <family val="2"/>
    </font>
    <font>
      <b/>
      <sz val="14"/>
      <name val="CG Omega"/>
      <family val="2"/>
    </font>
    <font>
      <b/>
      <sz val="11"/>
      <color indexed="10"/>
      <name val="CG Omega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8"/>
      <name val="CG Omega"/>
      <family val="2"/>
    </font>
    <font>
      <b/>
      <sz val="16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1"/>
      <color indexed="20"/>
      <name val="Arial"/>
      <family val="2"/>
    </font>
    <font>
      <b/>
      <sz val="12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30"/>
      <name val="CG Omega"/>
      <family val="2"/>
    </font>
    <font>
      <sz val="11"/>
      <name val="Arial"/>
      <family val="2"/>
    </font>
    <font>
      <sz val="9"/>
      <name val="Arial"/>
      <family val="2"/>
    </font>
    <font>
      <sz val="8"/>
      <name val="CG Omeg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40"/>
      <name val="Arial"/>
      <family val="2"/>
    </font>
    <font>
      <u/>
      <sz val="11"/>
      <color indexed="4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id">
        <fgColor indexed="46"/>
      </patternFill>
    </fill>
    <fill>
      <patternFill patternType="solid">
        <fgColor indexed="63"/>
        <bgColor indexed="64"/>
      </patternFill>
    </fill>
    <fill>
      <patternFill patternType="gray125"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" fillId="0" borderId="0"/>
    <xf numFmtId="0" fontId="5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4" fillId="2" borderId="0" xfId="0" applyFont="1" applyFill="1"/>
    <xf numFmtId="0" fontId="0" fillId="0" borderId="2" xfId="0" applyBorder="1"/>
    <xf numFmtId="9" fontId="0" fillId="0" borderId="3" xfId="15" applyFont="1" applyBorder="1"/>
    <xf numFmtId="9" fontId="0" fillId="0" borderId="1" xfId="15" applyFont="1" applyBorder="1"/>
    <xf numFmtId="9" fontId="0" fillId="0" borderId="4" xfId="15" applyFon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10" fontId="0" fillId="0" borderId="3" xfId="0" applyNumberFormat="1" applyBorder="1" applyAlignment="1">
      <alignment vertical="top"/>
    </xf>
    <xf numFmtId="10" fontId="0" fillId="0" borderId="3" xfId="15" applyNumberFormat="1" applyFont="1" applyBorder="1" applyAlignment="1">
      <alignment vertical="top"/>
    </xf>
    <xf numFmtId="9" fontId="0" fillId="0" borderId="3" xfId="15" applyFont="1" applyBorder="1" applyAlignment="1">
      <alignment vertical="top"/>
    </xf>
    <xf numFmtId="10" fontId="0" fillId="0" borderId="4" xfId="15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7" fillId="0" borderId="1" xfId="0" applyFont="1" applyBorder="1" applyAlignment="1">
      <alignment vertical="top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1" fontId="11" fillId="0" borderId="0" xfId="11" applyNumberFormat="1" applyFont="1" applyFill="1" applyBorder="1" applyAlignment="1" applyProtection="1">
      <alignment wrapText="1"/>
    </xf>
    <xf numFmtId="0" fontId="11" fillId="0" borderId="0" xfId="11" applyFont="1" applyFill="1" applyBorder="1" applyAlignment="1" applyProtection="1"/>
    <xf numFmtId="0" fontId="10" fillId="0" borderId="0" xfId="11" applyFont="1" applyFill="1" applyBorder="1" applyProtection="1"/>
    <xf numFmtId="0" fontId="11" fillId="0" borderId="0" xfId="11" applyFont="1" applyFill="1" applyBorder="1" applyProtection="1"/>
    <xf numFmtId="0" fontId="0" fillId="0" borderId="0" xfId="0" applyFill="1" applyBorder="1"/>
    <xf numFmtId="1" fontId="10" fillId="0" borderId="0" xfId="11" applyNumberFormat="1" applyFont="1" applyFill="1" applyBorder="1" applyAlignment="1" applyProtection="1">
      <alignment wrapText="1"/>
    </xf>
    <xf numFmtId="1" fontId="11" fillId="0" borderId="0" xfId="11" applyNumberFormat="1" applyFont="1" applyFill="1" applyBorder="1" applyAlignment="1" applyProtection="1">
      <alignment horizontal="center" wrapText="1"/>
    </xf>
    <xf numFmtId="1" fontId="11" fillId="0" borderId="0" xfId="11" applyNumberFormat="1" applyFont="1" applyFill="1" applyBorder="1" applyAlignment="1" applyProtection="1">
      <alignment horizontal="centerContinuous" wrapText="1"/>
    </xf>
    <xf numFmtId="1" fontId="11" fillId="0" borderId="0" xfId="11" applyNumberFormat="1" applyFont="1" applyFill="1" applyBorder="1" applyAlignment="1" applyProtection="1">
      <alignment horizontal="center" vertical="center" wrapText="1"/>
    </xf>
    <xf numFmtId="1" fontId="10" fillId="0" borderId="0" xfId="11" applyNumberFormat="1" applyFont="1" applyFill="1" applyBorder="1" applyProtection="1"/>
    <xf numFmtId="1" fontId="10" fillId="0" borderId="0" xfId="11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167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1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 vertical="center"/>
    </xf>
    <xf numFmtId="167" fontId="10" fillId="0" borderId="0" xfId="12" applyNumberFormat="1" applyFont="1" applyFill="1" applyBorder="1" applyAlignment="1" applyProtection="1">
      <alignment horizontal="center" vertical="center"/>
    </xf>
    <xf numFmtId="1" fontId="11" fillId="0" borderId="0" xfId="11" applyNumberFormat="1" applyFont="1" applyFill="1" applyBorder="1" applyProtection="1"/>
    <xf numFmtId="168" fontId="12" fillId="0" borderId="0" xfId="11" applyNumberFormat="1" applyFont="1" applyFill="1" applyBorder="1" applyProtection="1"/>
    <xf numFmtId="0" fontId="10" fillId="0" borderId="0" xfId="8" applyFont="1" applyFill="1" applyBorder="1" applyAlignment="1" applyProtection="1"/>
    <xf numFmtId="1" fontId="10" fillId="0" borderId="0" xfId="12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2" fontId="0" fillId="0" borderId="0" xfId="0" applyNumberFormat="1" applyBorder="1"/>
    <xf numFmtId="9" fontId="0" fillId="0" borderId="0" xfId="15" applyFon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9" fontId="0" fillId="0" borderId="2" xfId="15" applyFont="1" applyBorder="1"/>
    <xf numFmtId="10" fontId="0" fillId="0" borderId="5" xfId="0" applyNumberFormat="1" applyBorder="1" applyAlignment="1">
      <alignment vertical="top"/>
    </xf>
    <xf numFmtId="9" fontId="0" fillId="0" borderId="8" xfId="15" applyFont="1" applyBorder="1" applyAlignment="1">
      <alignment vertical="top"/>
    </xf>
    <xf numFmtId="10" fontId="0" fillId="0" borderId="8" xfId="15" applyNumberFormat="1" applyFont="1" applyBorder="1" applyAlignment="1">
      <alignment vertical="top"/>
    </xf>
    <xf numFmtId="10" fontId="0" fillId="0" borderId="10" xfId="15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4" fontId="14" fillId="0" borderId="8" xfId="15" applyNumberFormat="1" applyFont="1" applyBorder="1" applyAlignment="1" applyProtection="1">
      <alignment horizontal="center" vertical="center" wrapText="1"/>
    </xf>
    <xf numFmtId="167" fontId="14" fillId="0" borderId="0" xfId="14" applyNumberFormat="1" applyFont="1" applyBorder="1" applyAlignment="1" applyProtection="1">
      <alignment horizontal="center" vertical="center" wrapText="1"/>
    </xf>
    <xf numFmtId="167" fontId="14" fillId="0" borderId="9" xfId="14" applyNumberFormat="1" applyFont="1" applyBorder="1" applyAlignment="1" applyProtection="1">
      <alignment horizontal="center" vertical="center" wrapText="1"/>
    </xf>
    <xf numFmtId="9" fontId="0" fillId="0" borderId="0" xfId="15" applyFont="1" applyBorder="1" applyAlignment="1"/>
    <xf numFmtId="167" fontId="0" fillId="0" borderId="8" xfId="0" applyNumberFormat="1" applyBorder="1" applyAlignment="1"/>
    <xf numFmtId="167" fontId="0" fillId="0" borderId="0" xfId="0" applyNumberFormat="1" applyBorder="1" applyAlignment="1"/>
    <xf numFmtId="166" fontId="0" fillId="0" borderId="8" xfId="0" applyNumberFormat="1" applyBorder="1" applyAlignment="1"/>
    <xf numFmtId="166" fontId="0" fillId="0" borderId="0" xfId="0" applyNumberFormat="1" applyBorder="1" applyAlignment="1"/>
    <xf numFmtId="0" fontId="14" fillId="5" borderId="16" xfId="14" applyFont="1" applyFill="1" applyBorder="1" applyAlignment="1">
      <alignment horizontal="left" vertical="center" wrapText="1"/>
    </xf>
    <xf numFmtId="164" fontId="14" fillId="0" borderId="8" xfId="15" applyNumberFormat="1" applyFont="1" applyFill="1" applyBorder="1" applyAlignment="1" applyProtection="1">
      <alignment horizontal="center" vertical="center" wrapText="1"/>
    </xf>
    <xf numFmtId="167" fontId="14" fillId="0" borderId="0" xfId="14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167" fontId="0" fillId="0" borderId="0" xfId="0" applyNumberFormat="1" applyFill="1" applyBorder="1" applyAlignment="1"/>
    <xf numFmtId="166" fontId="0" fillId="0" borderId="0" xfId="0" applyNumberFormat="1" applyFill="1" applyBorder="1" applyAlignment="1"/>
    <xf numFmtId="0" fontId="0" fillId="0" borderId="0" xfId="0" applyFill="1" applyAlignment="1"/>
    <xf numFmtId="0" fontId="14" fillId="6" borderId="16" xfId="14" applyFont="1" applyFill="1" applyBorder="1" applyAlignment="1">
      <alignment horizontal="left" vertical="center" wrapText="1"/>
    </xf>
    <xf numFmtId="0" fontId="14" fillId="0" borderId="3" xfId="14" applyFont="1" applyBorder="1" applyAlignment="1">
      <alignment horizontal="left" vertical="center" wrapText="1"/>
    </xf>
    <xf numFmtId="164" fontId="14" fillId="0" borderId="8" xfId="15" applyNumberFormat="1" applyFont="1" applyBorder="1" applyAlignment="1">
      <alignment horizontal="center" vertical="center" wrapText="1"/>
    </xf>
    <xf numFmtId="0" fontId="14" fillId="0" borderId="1" xfId="14" applyFont="1" applyBorder="1" applyAlignment="1">
      <alignment horizontal="left" vertical="center" wrapText="1"/>
    </xf>
    <xf numFmtId="0" fontId="14" fillId="0" borderId="4" xfId="14" applyFont="1" applyBorder="1" applyAlignment="1">
      <alignment horizontal="left" vertical="center" wrapText="1"/>
    </xf>
    <xf numFmtId="167" fontId="19" fillId="0" borderId="0" xfId="14" applyNumberFormat="1" applyFont="1" applyFill="1" applyBorder="1" applyAlignment="1" applyProtection="1">
      <alignment horizontal="left" vertical="center" wrapText="1"/>
    </xf>
    <xf numFmtId="164" fontId="19" fillId="0" borderId="0" xfId="15" applyNumberFormat="1" applyFont="1" applyFill="1" applyBorder="1" applyAlignment="1" applyProtection="1">
      <alignment horizontal="center" vertical="center" wrapText="1"/>
    </xf>
    <xf numFmtId="167" fontId="19" fillId="0" borderId="0" xfId="14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14" fillId="0" borderId="5" xfId="14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167" fontId="14" fillId="0" borderId="1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Fill="1" applyBorder="1" applyAlignment="1" applyProtection="1">
      <alignment horizontal="left" vertical="center" wrapText="1"/>
    </xf>
    <xf numFmtId="0" fontId="15" fillId="0" borderId="2" xfId="14" applyFont="1" applyBorder="1" applyAlignment="1">
      <alignment horizontal="left" vertical="center" wrapText="1"/>
    </xf>
    <xf numFmtId="0" fontId="7" fillId="0" borderId="15" xfId="0" applyFont="1" applyBorder="1" applyAlignment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/>
    <xf numFmtId="167" fontId="7" fillId="0" borderId="0" xfId="0" applyNumberFormat="1" applyFont="1" applyFill="1" applyBorder="1" applyAlignment="1"/>
    <xf numFmtId="167" fontId="7" fillId="0" borderId="0" xfId="0" applyNumberFormat="1" applyFont="1" applyBorder="1" applyAlignment="1"/>
    <xf numFmtId="0" fontId="20" fillId="0" borderId="0" xfId="0" applyFont="1" applyFill="1" applyBorder="1" applyAlignment="1"/>
    <xf numFmtId="167" fontId="20" fillId="0" borderId="0" xfId="0" applyNumberFormat="1" applyFont="1" applyFill="1" applyBorder="1" applyAlignment="1"/>
    <xf numFmtId="0" fontId="20" fillId="0" borderId="0" xfId="0" applyFont="1" applyFill="1" applyBorder="1"/>
    <xf numFmtId="0" fontId="7" fillId="0" borderId="0" xfId="0" applyFont="1" applyBorder="1" applyAlignment="1">
      <alignment wrapText="1"/>
    </xf>
    <xf numFmtId="167" fontId="14" fillId="0" borderId="3" xfId="14" applyNumberFormat="1" applyFont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 applyProtection="1">
      <alignment horizontal="center" vertical="center" wrapText="1"/>
    </xf>
    <xf numFmtId="167" fontId="14" fillId="0" borderId="3" xfId="14" applyNumberFormat="1" applyFont="1" applyFill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>
      <alignment horizontal="center" vertical="center" wrapText="1"/>
    </xf>
    <xf numFmtId="167" fontId="14" fillId="0" borderId="3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>
      <alignment horizontal="center" vertical="center" wrapText="1"/>
    </xf>
    <xf numFmtId="167" fontId="15" fillId="0" borderId="2" xfId="14" applyNumberFormat="1" applyFont="1" applyBorder="1" applyAlignment="1">
      <alignment horizontal="center" vertical="center" wrapText="1"/>
    </xf>
    <xf numFmtId="167" fontId="15" fillId="0" borderId="1" xfId="1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167" fontId="14" fillId="0" borderId="0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 applyProtection="1">
      <alignment horizontal="center" vertical="center" wrapText="1"/>
    </xf>
    <xf numFmtId="167" fontId="0" fillId="0" borderId="18" xfId="0" applyNumberFormat="1" applyBorder="1" applyAlignment="1">
      <alignment horizontal="center" vertical="center"/>
    </xf>
    <xf numFmtId="0" fontId="0" fillId="0" borderId="6" xfId="0" applyBorder="1" applyAlignment="1"/>
    <xf numFmtId="9" fontId="14" fillId="0" borderId="3" xfId="15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7" fontId="0" fillId="0" borderId="1" xfId="0" applyNumberFormat="1" applyBorder="1" applyAlignment="1"/>
    <xf numFmtId="167" fontId="0" fillId="0" borderId="3" xfId="0" applyNumberFormat="1" applyBorder="1" applyAlignment="1"/>
    <xf numFmtId="167" fontId="0" fillId="0" borderId="4" xfId="0" applyNumberFormat="1" applyBorder="1" applyAlignment="1"/>
    <xf numFmtId="167" fontId="14" fillId="0" borderId="4" xfId="14" applyNumberFormat="1" applyFont="1" applyFill="1" applyBorder="1" applyAlignment="1" applyProtection="1">
      <alignment horizontal="center" vertical="center" wrapText="1"/>
    </xf>
    <xf numFmtId="167" fontId="0" fillId="0" borderId="5" xfId="0" applyNumberFormat="1" applyBorder="1" applyAlignment="1"/>
    <xf numFmtId="167" fontId="0" fillId="0" borderId="10" xfId="0" applyNumberFormat="1" applyBorder="1" applyAlignment="1"/>
    <xf numFmtId="0" fontId="15" fillId="0" borderId="0" xfId="14" applyFont="1" applyBorder="1" applyAlignment="1">
      <alignment horizontal="left" vertical="center" wrapText="1"/>
    </xf>
    <xf numFmtId="167" fontId="15" fillId="0" borderId="0" xfId="14" applyNumberFormat="1" applyFont="1" applyBorder="1" applyAlignment="1">
      <alignment horizontal="center" vertical="center" wrapText="1"/>
    </xf>
    <xf numFmtId="9" fontId="0" fillId="0" borderId="15" xfId="15" applyFont="1" applyBorder="1" applyAlignment="1"/>
    <xf numFmtId="167" fontId="0" fillId="0" borderId="15" xfId="0" applyNumberFormat="1" applyBorder="1" applyAlignment="1"/>
    <xf numFmtId="167" fontId="0" fillId="0" borderId="0" xfId="0" applyNumberFormat="1" applyBorder="1" applyAlignment="1">
      <alignment horizontal="center" vertical="center"/>
    </xf>
    <xf numFmtId="170" fontId="0" fillId="7" borderId="0" xfId="0" applyNumberFormat="1" applyFill="1" applyProtection="1">
      <protection locked="0"/>
    </xf>
    <xf numFmtId="170" fontId="0" fillId="8" borderId="0" xfId="0" applyNumberFormat="1" applyFill="1"/>
    <xf numFmtId="171" fontId="0" fillId="0" borderId="0" xfId="0" applyNumberFormat="1" applyFill="1" applyAlignment="1"/>
    <xf numFmtId="3" fontId="0" fillId="0" borderId="0" xfId="0" applyNumberFormat="1" applyFill="1" applyAlignment="1"/>
    <xf numFmtId="172" fontId="0" fillId="8" borderId="0" xfId="0" applyNumberFormat="1" applyFill="1"/>
    <xf numFmtId="0" fontId="0" fillId="0" borderId="3" xfId="0" applyBorder="1" applyAlignment="1">
      <alignment horizontal="center"/>
    </xf>
    <xf numFmtId="167" fontId="15" fillId="0" borderId="15" xfId="14" applyNumberFormat="1" applyFont="1" applyBorder="1" applyAlignment="1">
      <alignment horizontal="center" vertical="center" wrapText="1"/>
    </xf>
    <xf numFmtId="167" fontId="15" fillId="0" borderId="5" xfId="14" applyNumberFormat="1" applyFont="1" applyBorder="1" applyAlignment="1" applyProtection="1">
      <alignment horizontal="center" vertical="center" wrapText="1"/>
    </xf>
    <xf numFmtId="167" fontId="15" fillId="0" borderId="3" xfId="14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9" fontId="0" fillId="0" borderId="0" xfId="15" applyFont="1" applyAlignment="1"/>
    <xf numFmtId="0" fontId="0" fillId="9" borderId="13" xfId="0" applyFill="1" applyBorder="1" applyAlignment="1"/>
    <xf numFmtId="0" fontId="0" fillId="9" borderId="14" xfId="0" applyFill="1" applyBorder="1" applyAlignment="1"/>
    <xf numFmtId="9" fontId="0" fillId="9" borderId="19" xfId="15" applyFont="1" applyFill="1" applyBorder="1" applyAlignment="1"/>
    <xf numFmtId="0" fontId="0" fillId="9" borderId="17" xfId="0" applyFill="1" applyBorder="1" applyAlignment="1"/>
    <xf numFmtId="0" fontId="0" fillId="9" borderId="0" xfId="0" applyFill="1" applyBorder="1" applyAlignment="1"/>
    <xf numFmtId="0" fontId="0" fillId="9" borderId="20" xfId="0" applyFill="1" applyBorder="1" applyAlignment="1"/>
    <xf numFmtId="0" fontId="0" fillId="9" borderId="21" xfId="0" applyFill="1" applyBorder="1" applyAlignment="1"/>
    <xf numFmtId="0" fontId="0" fillId="10" borderId="0" xfId="0" applyFill="1" applyAlignment="1"/>
    <xf numFmtId="167" fontId="0" fillId="10" borderId="0" xfId="0" applyNumberFormat="1" applyFill="1" applyAlignment="1"/>
    <xf numFmtId="0" fontId="16" fillId="10" borderId="0" xfId="0" applyFont="1" applyFill="1" applyAlignment="1">
      <alignment horizontal="center"/>
    </xf>
    <xf numFmtId="164" fontId="0" fillId="0" borderId="0" xfId="15" applyNumberFormat="1" applyFont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10" borderId="19" xfId="0" applyFill="1" applyBorder="1" applyAlignment="1"/>
    <xf numFmtId="0" fontId="0" fillId="10" borderId="17" xfId="0" applyFill="1" applyBorder="1" applyAlignment="1"/>
    <xf numFmtId="0" fontId="0" fillId="10" borderId="0" xfId="0" applyFill="1" applyBorder="1" applyAlignment="1"/>
    <xf numFmtId="0" fontId="0" fillId="10" borderId="22" xfId="0" applyFill="1" applyBorder="1" applyAlignment="1"/>
    <xf numFmtId="0" fontId="0" fillId="10" borderId="2" xfId="0" applyFill="1" applyBorder="1" applyAlignment="1"/>
    <xf numFmtId="0" fontId="0" fillId="10" borderId="2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7" fontId="0" fillId="10" borderId="17" xfId="0" applyNumberFormat="1" applyFill="1" applyBorder="1" applyAlignment="1"/>
    <xf numFmtId="167" fontId="0" fillId="10" borderId="0" xfId="0" applyNumberFormat="1" applyFill="1" applyBorder="1" applyAlignment="1"/>
    <xf numFmtId="43" fontId="0" fillId="10" borderId="17" xfId="0" applyNumberFormat="1" applyFill="1" applyBorder="1" applyAlignment="1">
      <alignment horizontal="center"/>
    </xf>
    <xf numFmtId="43" fontId="0" fillId="10" borderId="0" xfId="0" applyNumberFormat="1" applyFill="1" applyBorder="1" applyAlignment="1">
      <alignment horizontal="center"/>
    </xf>
    <xf numFmtId="43" fontId="0" fillId="10" borderId="22" xfId="0" applyNumberFormat="1" applyFill="1" applyBorder="1" applyAlignment="1"/>
    <xf numFmtId="9" fontId="0" fillId="10" borderId="17" xfId="15" applyFont="1" applyFill="1" applyBorder="1" applyAlignment="1">
      <alignment horizontal="center"/>
    </xf>
    <xf numFmtId="9" fontId="0" fillId="10" borderId="0" xfId="15" applyFont="1" applyFill="1" applyBorder="1" applyAlignment="1">
      <alignment horizontal="center"/>
    </xf>
    <xf numFmtId="9" fontId="0" fillId="10" borderId="22" xfId="15" applyFont="1" applyFill="1" applyBorder="1" applyAlignment="1"/>
    <xf numFmtId="9" fontId="0" fillId="10" borderId="0" xfId="15" applyFont="1" applyFill="1" applyBorder="1" applyAlignment="1"/>
    <xf numFmtId="0" fontId="0" fillId="10" borderId="20" xfId="0" applyFill="1" applyBorder="1" applyAlignment="1"/>
    <xf numFmtId="0" fontId="0" fillId="10" borderId="21" xfId="0" applyFill="1" applyBorder="1" applyAlignment="1"/>
    <xf numFmtId="0" fontId="0" fillId="10" borderId="23" xfId="0" applyFill="1" applyBorder="1" applyAlignment="1"/>
    <xf numFmtId="9" fontId="0" fillId="10" borderId="21" xfId="15" applyFont="1" applyFill="1" applyBorder="1" applyAlignment="1"/>
    <xf numFmtId="0" fontId="0" fillId="10" borderId="15" xfId="0" applyFill="1" applyBorder="1" applyAlignment="1">
      <alignment horizontal="center" wrapText="1"/>
    </xf>
    <xf numFmtId="0" fontId="0" fillId="10" borderId="5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5" xfId="0" applyFill="1" applyBorder="1" applyAlignment="1"/>
    <xf numFmtId="0" fontId="0" fillId="10" borderId="8" xfId="0" applyFill="1" applyBorder="1" applyAlignment="1"/>
    <xf numFmtId="0" fontId="0" fillId="10" borderId="3" xfId="0" applyFill="1" applyBorder="1" applyAlignment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 applyAlignment="1"/>
    <xf numFmtId="1" fontId="0" fillId="10" borderId="0" xfId="0" applyNumberFormat="1" applyFill="1" applyBorder="1" applyAlignment="1">
      <alignment horizontal="center"/>
    </xf>
    <xf numFmtId="0" fontId="0" fillId="5" borderId="17" xfId="0" applyFill="1" applyBorder="1" applyAlignment="1"/>
    <xf numFmtId="167" fontId="0" fillId="10" borderId="8" xfId="0" applyNumberFormat="1" applyFill="1" applyBorder="1" applyAlignment="1">
      <alignment horizontal="center"/>
    </xf>
    <xf numFmtId="167" fontId="0" fillId="10" borderId="0" xfId="0" applyNumberFormat="1" applyFill="1" applyBorder="1" applyAlignment="1">
      <alignment horizontal="center"/>
    </xf>
    <xf numFmtId="167" fontId="0" fillId="10" borderId="9" xfId="0" applyNumberFormat="1" applyFill="1" applyBorder="1" applyAlignment="1">
      <alignment horizontal="center"/>
    </xf>
    <xf numFmtId="173" fontId="0" fillId="10" borderId="8" xfId="1" applyNumberFormat="1" applyFont="1" applyFill="1" applyBorder="1" applyAlignment="1"/>
    <xf numFmtId="173" fontId="0" fillId="10" borderId="0" xfId="1" applyNumberFormat="1" applyFont="1" applyFill="1" applyBorder="1" applyAlignment="1"/>
    <xf numFmtId="9" fontId="0" fillId="10" borderId="8" xfId="15" applyFont="1" applyFill="1" applyBorder="1" applyAlignment="1"/>
    <xf numFmtId="173" fontId="0" fillId="10" borderId="8" xfId="15" applyNumberFormat="1" applyFont="1" applyFill="1" applyBorder="1" applyAlignment="1"/>
    <xf numFmtId="173" fontId="0" fillId="10" borderId="0" xfId="15" applyNumberFormat="1" applyFont="1" applyFill="1" applyBorder="1" applyAlignment="1"/>
    <xf numFmtId="173" fontId="0" fillId="10" borderId="9" xfId="15" applyNumberFormat="1" applyFont="1" applyFill="1" applyBorder="1" applyAlignment="1"/>
    <xf numFmtId="0" fontId="0" fillId="10" borderId="10" xfId="0" applyFill="1" applyBorder="1" applyAlignment="1"/>
    <xf numFmtId="0" fontId="0" fillId="10" borderId="18" xfId="0" applyFill="1" applyBorder="1" applyAlignment="1"/>
    <xf numFmtId="0" fontId="0" fillId="10" borderId="4" xfId="0" applyFill="1" applyBorder="1" applyAlignment="1"/>
    <xf numFmtId="9" fontId="0" fillId="10" borderId="10" xfId="15" applyFont="1" applyFill="1" applyBorder="1" applyAlignment="1">
      <alignment horizontal="center"/>
    </xf>
    <xf numFmtId="9" fontId="0" fillId="10" borderId="18" xfId="15" applyFont="1" applyFill="1" applyBorder="1" applyAlignment="1"/>
    <xf numFmtId="9" fontId="0" fillId="10" borderId="10" xfId="15" applyFont="1" applyFill="1" applyBorder="1" applyAlignment="1"/>
    <xf numFmtId="0" fontId="0" fillId="0" borderId="2" xfId="0" applyFill="1" applyBorder="1" applyAlignment="1"/>
    <xf numFmtId="167" fontId="0" fillId="0" borderId="0" xfId="0" applyNumberFormat="1"/>
    <xf numFmtId="0" fontId="14" fillId="6" borderId="18" xfId="14" applyFont="1" applyFill="1" applyBorder="1" applyAlignment="1">
      <alignment horizontal="left" vertical="center" wrapText="1"/>
    </xf>
    <xf numFmtId="167" fontId="14" fillId="0" borderId="4" xfId="14" applyNumberFormat="1" applyFont="1" applyBorder="1" applyAlignment="1" applyProtection="1">
      <alignment horizontal="left" vertical="center" wrapText="1"/>
    </xf>
    <xf numFmtId="9" fontId="14" fillId="0" borderId="1" xfId="15" applyFont="1" applyBorder="1" applyAlignment="1" applyProtection="1">
      <alignment horizontal="center" vertical="center" wrapText="1"/>
    </xf>
    <xf numFmtId="9" fontId="14" fillId="0" borderId="4" xfId="15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6" fontId="0" fillId="0" borderId="3" xfId="0" applyNumberFormat="1" applyBorder="1" applyAlignment="1"/>
    <xf numFmtId="166" fontId="0" fillId="0" borderId="10" xfId="0" applyNumberFormat="1" applyBorder="1" applyAlignment="1"/>
    <xf numFmtId="166" fontId="0" fillId="0" borderId="4" xfId="0" applyNumberFormat="1" applyBorder="1" applyAlignment="1"/>
    <xf numFmtId="0" fontId="0" fillId="0" borderId="16" xfId="0" applyBorder="1" applyAlignment="1">
      <alignment horizontal="center" vertical="top" wrapText="1"/>
    </xf>
    <xf numFmtId="164" fontId="14" fillId="0" borderId="10" xfId="15" applyNumberFormat="1" applyFont="1" applyBorder="1" applyAlignment="1" applyProtection="1">
      <alignment horizontal="center" vertical="center" wrapText="1"/>
    </xf>
    <xf numFmtId="167" fontId="14" fillId="0" borderId="18" xfId="14" applyNumberFormat="1" applyFont="1" applyBorder="1" applyAlignment="1" applyProtection="1">
      <alignment horizontal="center" vertical="center" wrapText="1"/>
    </xf>
    <xf numFmtId="167" fontId="14" fillId="0" borderId="11" xfId="1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/>
    </xf>
    <xf numFmtId="9" fontId="0" fillId="0" borderId="7" xfId="15" applyFont="1" applyBorder="1"/>
    <xf numFmtId="9" fontId="0" fillId="0" borderId="9" xfId="15" applyFont="1" applyBorder="1"/>
    <xf numFmtId="9" fontId="0" fillId="0" borderId="11" xfId="15" applyFont="1" applyBorder="1"/>
    <xf numFmtId="0" fontId="5" fillId="4" borderId="0" xfId="0" applyFont="1" applyFill="1" applyBorder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4" borderId="9" xfId="0" applyFont="1" applyFill="1" applyBorder="1" applyAlignment="1">
      <alignment horizontal="center"/>
    </xf>
    <xf numFmtId="9" fontId="10" fillId="0" borderId="0" xfId="15" applyFont="1" applyFill="1" applyBorder="1" applyProtection="1"/>
    <xf numFmtId="0" fontId="7" fillId="0" borderId="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9" fontId="0" fillId="0" borderId="0" xfId="15" applyFont="1" applyFill="1" applyBorder="1"/>
    <xf numFmtId="175" fontId="0" fillId="0" borderId="0" xfId="15" applyNumberFormat="1" applyFont="1" applyFill="1" applyBorder="1" applyAlignment="1">
      <alignment horizontal="center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5" fillId="0" borderId="1" xfId="14" applyFont="1" applyBorder="1" applyAlignment="1">
      <alignment horizontal="left" vertical="center" wrapText="1"/>
    </xf>
    <xf numFmtId="0" fontId="15" fillId="0" borderId="15" xfId="14" applyFont="1" applyBorder="1" applyAlignment="1">
      <alignment horizontal="left" vertical="center" wrapText="1"/>
    </xf>
    <xf numFmtId="166" fontId="0" fillId="0" borderId="5" xfId="0" applyNumberFormat="1" applyBorder="1" applyAlignment="1"/>
    <xf numFmtId="166" fontId="0" fillId="0" borderId="1" xfId="0" applyNumberFormat="1" applyBorder="1" applyAlignment="1"/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14" fillId="0" borderId="5" xfId="15" applyNumberFormat="1" applyFont="1" applyFill="1" applyBorder="1" applyAlignment="1" applyProtection="1">
      <alignment horizontal="center" vertical="center" wrapText="1"/>
    </xf>
    <xf numFmtId="164" fontId="14" fillId="0" borderId="10" xfId="15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Fill="1" applyAlignment="1"/>
    <xf numFmtId="0" fontId="21" fillId="0" borderId="0" xfId="0" applyFont="1" applyFill="1"/>
    <xf numFmtId="167" fontId="21" fillId="0" borderId="0" xfId="0" applyNumberFormat="1" applyFont="1" applyFill="1"/>
    <xf numFmtId="0" fontId="21" fillId="11" borderId="0" xfId="0" applyFont="1" applyFill="1" applyAlignment="1"/>
    <xf numFmtId="0" fontId="21" fillId="11" borderId="0" xfId="0" applyFont="1" applyFill="1"/>
    <xf numFmtId="167" fontId="21" fillId="11" borderId="0" xfId="0" applyNumberFormat="1" applyFont="1" applyFill="1"/>
    <xf numFmtId="0" fontId="0" fillId="9" borderId="0" xfId="0" applyFont="1" applyFill="1" applyBorder="1" applyAlignment="1"/>
    <xf numFmtId="9" fontId="4" fillId="0" borderId="6" xfId="15" applyFont="1" applyBorder="1" applyAlignment="1">
      <alignment horizontal="center"/>
    </xf>
    <xf numFmtId="9" fontId="4" fillId="0" borderId="16" xfId="15" applyFont="1" applyBorder="1" applyAlignment="1">
      <alignment horizontal="center"/>
    </xf>
    <xf numFmtId="9" fontId="4" fillId="0" borderId="12" xfId="15" applyFont="1" applyBorder="1" applyAlignment="1">
      <alignment horizontal="center"/>
    </xf>
    <xf numFmtId="164" fontId="0" fillId="0" borderId="0" xfId="15" applyNumberFormat="1" applyFont="1"/>
    <xf numFmtId="0" fontId="22" fillId="0" borderId="0" xfId="0" applyFont="1"/>
    <xf numFmtId="0" fontId="17" fillId="0" borderId="0" xfId="3" applyAlignment="1" applyProtection="1"/>
    <xf numFmtId="0" fontId="0" fillId="0" borderId="0" xfId="0" applyAlignment="1">
      <alignment wrapText="1"/>
    </xf>
    <xf numFmtId="0" fontId="17" fillId="0" borderId="17" xfId="3" applyBorder="1" applyAlignment="1" applyProtection="1"/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3" applyBorder="1" applyAlignment="1" applyProtection="1"/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17" fillId="0" borderId="17" xfId="3" applyBorder="1" applyAlignment="1" applyProtection="1">
      <alignment wrapText="1"/>
    </xf>
    <xf numFmtId="0" fontId="3" fillId="0" borderId="22" xfId="0" applyFont="1" applyBorder="1" applyAlignment="1">
      <alignment wrapText="1"/>
    </xf>
    <xf numFmtId="0" fontId="0" fillId="0" borderId="0" xfId="0" applyProtection="1"/>
    <xf numFmtId="1" fontId="15" fillId="0" borderId="13" xfId="10" applyNumberFormat="1" applyFont="1" applyBorder="1" applyProtection="1"/>
    <xf numFmtId="1" fontId="15" fillId="0" borderId="14" xfId="10" applyNumberFormat="1" applyFont="1" applyBorder="1" applyProtection="1"/>
    <xf numFmtId="1" fontId="15" fillId="0" borderId="27" xfId="10" applyNumberFormat="1" applyFont="1" applyBorder="1" applyProtection="1"/>
    <xf numFmtId="1" fontId="14" fillId="0" borderId="17" xfId="10" applyNumberFormat="1" applyFont="1" applyBorder="1" applyAlignment="1" applyProtection="1">
      <alignment wrapText="1"/>
    </xf>
    <xf numFmtId="1" fontId="15" fillId="0" borderId="0" xfId="10" applyNumberFormat="1" applyFont="1" applyBorder="1" applyAlignment="1" applyProtection="1">
      <alignment wrapText="1"/>
    </xf>
    <xf numFmtId="1" fontId="15" fillId="0" borderId="28" xfId="10" applyNumberFormat="1" applyFont="1" applyBorder="1" applyAlignment="1" applyProtection="1">
      <alignment horizontal="center" wrapText="1"/>
    </xf>
    <xf numFmtId="1" fontId="15" fillId="0" borderId="2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0" xfId="10" applyNumberFormat="1" applyFont="1" applyBorder="1" applyProtection="1"/>
    <xf numFmtId="1" fontId="15" fillId="0" borderId="21" xfId="10" applyNumberFormat="1" applyFont="1" applyBorder="1" applyProtection="1"/>
    <xf numFmtId="1" fontId="14" fillId="0" borderId="17" xfId="10" applyNumberFormat="1" applyFont="1" applyFill="1" applyBorder="1" applyProtection="1"/>
    <xf numFmtId="0" fontId="15" fillId="0" borderId="0" xfId="10" applyFont="1" applyBorder="1" applyAlignment="1" applyProtection="1"/>
    <xf numFmtId="0" fontId="14" fillId="0" borderId="0" xfId="10" applyFont="1" applyBorder="1" applyProtection="1"/>
    <xf numFmtId="1" fontId="14" fillId="0" borderId="27" xfId="10" applyNumberFormat="1" applyFont="1" applyFill="1" applyBorder="1" applyAlignment="1" applyProtection="1">
      <alignment horizontal="center"/>
    </xf>
    <xf numFmtId="1" fontId="14" fillId="0" borderId="29" xfId="10" applyNumberFormat="1" applyFont="1" applyFill="1" applyBorder="1" applyAlignment="1" applyProtection="1">
      <alignment horizontal="center"/>
    </xf>
    <xf numFmtId="1" fontId="14" fillId="0" borderId="30" xfId="10" applyNumberFormat="1" applyFont="1" applyFill="1" applyBorder="1" applyAlignment="1" applyProtection="1">
      <alignment horizontal="center"/>
    </xf>
    <xf numFmtId="1" fontId="14" fillId="0" borderId="31" xfId="10" applyNumberFormat="1" applyFont="1" applyFill="1" applyBorder="1" applyAlignment="1" applyProtection="1">
      <alignment horizontal="center"/>
    </xf>
    <xf numFmtId="0" fontId="15" fillId="0" borderId="0" xfId="10" applyFont="1" applyBorder="1" applyProtection="1"/>
    <xf numFmtId="1" fontId="14" fillId="0" borderId="28" xfId="10" applyNumberFormat="1" applyFont="1" applyFill="1" applyBorder="1" applyAlignment="1" applyProtection="1">
      <alignment horizontal="center"/>
    </xf>
    <xf numFmtId="1" fontId="14" fillId="0" borderId="32" xfId="10" applyNumberFormat="1" applyFont="1" applyFill="1" applyBorder="1" applyAlignment="1" applyProtection="1">
      <alignment horizontal="center"/>
    </xf>
    <xf numFmtId="1" fontId="14" fillId="0" borderId="3" xfId="10" applyNumberFormat="1" applyFont="1" applyFill="1" applyBorder="1" applyAlignment="1" applyProtection="1">
      <alignment horizontal="center"/>
    </xf>
    <xf numFmtId="1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</xf>
    <xf numFmtId="0" fontId="14" fillId="0" borderId="17" xfId="10" applyFont="1" applyBorder="1" applyProtection="1"/>
    <xf numFmtId="168" fontId="15" fillId="11" borderId="33" xfId="10" applyNumberFormat="1" applyFont="1" applyFill="1" applyBorder="1" applyAlignment="1" applyProtection="1">
      <alignment horizontal="center"/>
    </xf>
    <xf numFmtId="168" fontId="14" fillId="0" borderId="34" xfId="10" applyNumberFormat="1" applyFont="1" applyFill="1" applyBorder="1" applyAlignment="1" applyProtection="1">
      <alignment horizontal="center"/>
    </xf>
    <xf numFmtId="168" fontId="14" fillId="0" borderId="2" xfId="10" applyNumberFormat="1" applyFont="1" applyFill="1" applyBorder="1" applyAlignment="1" applyProtection="1">
      <alignment horizontal="center"/>
    </xf>
    <xf numFmtId="167" fontId="23" fillId="10" borderId="33" xfId="10" applyNumberFormat="1" applyFont="1" applyFill="1" applyBorder="1" applyAlignment="1" applyProtection="1">
      <alignment horizontal="center"/>
      <protection locked="0"/>
    </xf>
    <xf numFmtId="168" fontId="14" fillId="0" borderId="6" xfId="10" applyNumberFormat="1" applyFont="1" applyFill="1" applyBorder="1" applyAlignment="1" applyProtection="1">
      <alignment horizontal="center"/>
    </xf>
    <xf numFmtId="168" fontId="15" fillId="0" borderId="28" xfId="10" applyNumberFormat="1" applyFont="1" applyFill="1" applyBorder="1" applyAlignment="1" applyProtection="1">
      <alignment horizontal="center"/>
    </xf>
    <xf numFmtId="168" fontId="14" fillId="0" borderId="32" xfId="10" applyNumberFormat="1" applyFont="1" applyFill="1" applyBorder="1" applyAlignment="1" applyProtection="1">
      <alignment horizontal="center"/>
    </xf>
    <xf numFmtId="168" fontId="14" fillId="0" borderId="3" xfId="10" applyNumberFormat="1" applyFont="1" applyFill="1" applyBorder="1" applyAlignment="1" applyProtection="1">
      <alignment horizontal="center"/>
    </xf>
    <xf numFmtId="168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  <protection locked="0"/>
    </xf>
    <xf numFmtId="168" fontId="23" fillId="0" borderId="35" xfId="10" applyNumberFormat="1" applyFont="1" applyFill="1" applyBorder="1" applyAlignment="1" applyProtection="1">
      <alignment horizontal="center"/>
    </xf>
    <xf numFmtId="168" fontId="14" fillId="0" borderId="36" xfId="10" applyNumberFormat="1" applyFont="1" applyFill="1" applyBorder="1" applyAlignment="1" applyProtection="1">
      <alignment horizontal="center"/>
    </xf>
    <xf numFmtId="168" fontId="14" fillId="0" borderId="37" xfId="10" applyNumberFormat="1" applyFont="1" applyFill="1" applyBorder="1" applyAlignment="1" applyProtection="1">
      <alignment horizontal="center"/>
    </xf>
    <xf numFmtId="168" fontId="14" fillId="0" borderId="38" xfId="10" applyNumberFormat="1" applyFont="1" applyFill="1" applyBorder="1" applyAlignment="1" applyProtection="1">
      <alignment horizontal="center"/>
    </xf>
    <xf numFmtId="168" fontId="14" fillId="0" borderId="35" xfId="10" applyNumberFormat="1" applyFont="1" applyFill="1" applyBorder="1" applyAlignment="1" applyProtection="1">
      <alignment horizontal="center"/>
    </xf>
    <xf numFmtId="167" fontId="23" fillId="0" borderId="35" xfId="10" applyNumberFormat="1" applyFont="1" applyFill="1" applyBorder="1" applyAlignment="1" applyProtection="1">
      <alignment horizontal="center"/>
      <protection locked="0"/>
    </xf>
    <xf numFmtId="0" fontId="14" fillId="0" borderId="13" xfId="10" applyFont="1" applyBorder="1" applyProtection="1"/>
    <xf numFmtId="0" fontId="15" fillId="0" borderId="14" xfId="10" applyFont="1" applyBorder="1" applyAlignment="1" applyProtection="1"/>
    <xf numFmtId="0" fontId="14" fillId="0" borderId="0" xfId="8" applyFont="1" applyAlignment="1" applyProtection="1"/>
    <xf numFmtId="168" fontId="15" fillId="0" borderId="27" xfId="10" applyNumberFormat="1" applyFont="1" applyFill="1" applyBorder="1" applyAlignment="1" applyProtection="1">
      <alignment horizontal="center"/>
    </xf>
    <xf numFmtId="168" fontId="14" fillId="0" borderId="29" xfId="10" applyNumberFormat="1" applyFont="1" applyFill="1" applyBorder="1" applyAlignment="1" applyProtection="1">
      <alignment horizontal="center"/>
    </xf>
    <xf numFmtId="168" fontId="14" fillId="0" borderId="30" xfId="10" applyNumberFormat="1" applyFont="1" applyFill="1" applyBorder="1" applyAlignment="1" applyProtection="1">
      <alignment horizontal="center"/>
    </xf>
    <xf numFmtId="168" fontId="14" fillId="0" borderId="31" xfId="10" applyNumberFormat="1" applyFont="1" applyFill="1" applyBorder="1" applyAlignment="1" applyProtection="1">
      <alignment horizontal="center"/>
    </xf>
    <xf numFmtId="167" fontId="14" fillId="0" borderId="27" xfId="10" applyNumberFormat="1" applyFont="1" applyFill="1" applyBorder="1" applyAlignment="1" applyProtection="1">
      <alignment horizontal="center"/>
      <protection locked="0"/>
    </xf>
    <xf numFmtId="167" fontId="23" fillId="0" borderId="35" xfId="10" applyNumberFormat="1" applyFont="1" applyFill="1" applyBorder="1" applyAlignment="1" applyProtection="1">
      <alignment horizontal="center"/>
    </xf>
    <xf numFmtId="167" fontId="24" fillId="10" borderId="34" xfId="7" applyNumberFormat="1" applyFont="1" applyFill="1" applyBorder="1" applyAlignment="1" applyProtection="1">
      <alignment horizontal="center" vertical="center"/>
      <protection locked="0"/>
    </xf>
    <xf numFmtId="167" fontId="24" fillId="10" borderId="12" xfId="7" applyNumberFormat="1" applyFont="1" applyFill="1" applyBorder="1" applyAlignment="1" applyProtection="1">
      <alignment horizontal="center" vertical="center"/>
      <protection locked="0"/>
    </xf>
    <xf numFmtId="167" fontId="24" fillId="10" borderId="39" xfId="7" applyNumberFormat="1" applyFont="1" applyFill="1" applyBorder="1" applyAlignment="1" applyProtection="1">
      <alignment horizontal="center" vertical="center"/>
      <protection locked="0"/>
    </xf>
    <xf numFmtId="167" fontId="24" fillId="10" borderId="2" xfId="7" applyNumberFormat="1" applyFont="1" applyFill="1" applyBorder="1" applyAlignment="1" applyProtection="1">
      <alignment horizontal="center" vertical="center"/>
      <protection locked="0"/>
    </xf>
    <xf numFmtId="167" fontId="24" fillId="12" borderId="34" xfId="7" applyNumberFormat="1" applyFont="1" applyFill="1" applyBorder="1" applyAlignment="1" applyProtection="1">
      <alignment horizontal="center" vertical="center"/>
    </xf>
    <xf numFmtId="167" fontId="24" fillId="12" borderId="12" xfId="7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167" fontId="24" fillId="12" borderId="40" xfId="7" applyNumberFormat="1" applyFont="1" applyFill="1" applyBorder="1" applyAlignment="1" applyProtection="1">
      <alignment horizontal="center" vertical="center"/>
    </xf>
    <xf numFmtId="167" fontId="24" fillId="12" borderId="41" xfId="7" applyNumberFormat="1" applyFont="1" applyFill="1" applyBorder="1" applyAlignment="1" applyProtection="1">
      <alignment horizontal="center" vertical="center"/>
    </xf>
    <xf numFmtId="167" fontId="24" fillId="10" borderId="41" xfId="7" applyNumberFormat="1" applyFont="1" applyFill="1" applyBorder="1" applyAlignment="1" applyProtection="1">
      <alignment horizontal="center" vertical="center"/>
      <protection locked="0"/>
    </xf>
    <xf numFmtId="167" fontId="24" fillId="10" borderId="42" xfId="7" applyNumberFormat="1" applyFont="1" applyFill="1" applyBorder="1" applyAlignment="1" applyProtection="1">
      <alignment horizontal="center" vertical="center"/>
      <protection locked="0"/>
    </xf>
    <xf numFmtId="167" fontId="24" fillId="10" borderId="43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1" fontId="24" fillId="10" borderId="34" xfId="7" applyNumberFormat="1" applyFont="1" applyFill="1" applyBorder="1" applyAlignment="1" applyProtection="1">
      <alignment horizontal="center" vertical="center"/>
      <protection locked="0"/>
    </xf>
    <xf numFmtId="1" fontId="24" fillId="10" borderId="12" xfId="7" applyNumberFormat="1" applyFont="1" applyFill="1" applyBorder="1" applyAlignment="1" applyProtection="1">
      <alignment horizontal="center" vertical="center"/>
      <protection locked="0"/>
    </xf>
    <xf numFmtId="1" fontId="24" fillId="10" borderId="39" xfId="7" applyNumberFormat="1" applyFont="1" applyFill="1" applyBorder="1" applyAlignment="1" applyProtection="1">
      <alignment horizontal="center" vertical="center"/>
      <protection locked="0"/>
    </xf>
    <xf numFmtId="1" fontId="24" fillId="10" borderId="2" xfId="7" applyNumberFormat="1" applyFont="1" applyFill="1" applyBorder="1" applyAlignment="1" applyProtection="1">
      <alignment horizontal="center" vertical="center"/>
      <protection locked="0"/>
    </xf>
    <xf numFmtId="1" fontId="24" fillId="10" borderId="44" xfId="7" applyNumberFormat="1" applyFont="1" applyFill="1" applyBorder="1" applyAlignment="1" applyProtection="1">
      <alignment horizontal="center" vertical="center"/>
      <protection locked="0"/>
    </xf>
    <xf numFmtId="1" fontId="24" fillId="10" borderId="7" xfId="7" applyNumberFormat="1" applyFont="1" applyFill="1" applyBorder="1" applyAlignment="1" applyProtection="1">
      <alignment horizontal="center" vertical="center"/>
      <protection locked="0"/>
    </xf>
    <xf numFmtId="1" fontId="24" fillId="10" borderId="45" xfId="7" applyNumberFormat="1" applyFont="1" applyFill="1" applyBorder="1" applyAlignment="1" applyProtection="1">
      <alignment horizontal="center" vertical="center"/>
      <protection locked="0"/>
    </xf>
    <xf numFmtId="1" fontId="24" fillId="1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Protection="1"/>
    <xf numFmtId="0" fontId="0" fillId="0" borderId="0" xfId="0" applyAlignment="1" applyProtection="1">
      <alignment horizontal="center"/>
    </xf>
    <xf numFmtId="0" fontId="13" fillId="0" borderId="0" xfId="0" applyFont="1"/>
    <xf numFmtId="0" fontId="9" fillId="0" borderId="0" xfId="0" applyFont="1"/>
    <xf numFmtId="0" fontId="25" fillId="0" borderId="0" xfId="0" applyFont="1" applyBorder="1" applyAlignment="1">
      <alignment horizontal="center"/>
    </xf>
    <xf numFmtId="167" fontId="0" fillId="0" borderId="0" xfId="0" applyNumberFormat="1" applyBorder="1" applyProtection="1"/>
    <xf numFmtId="167" fontId="0" fillId="0" borderId="0" xfId="0" applyNumberFormat="1" applyProtection="1"/>
    <xf numFmtId="167" fontId="18" fillId="0" borderId="0" xfId="0" applyNumberFormat="1" applyFont="1" applyProtection="1"/>
    <xf numFmtId="0" fontId="24" fillId="10" borderId="2" xfId="7" applyFont="1" applyFill="1" applyBorder="1" applyAlignment="1" applyProtection="1">
      <alignment horizontal="center" vertical="center"/>
      <protection locked="0"/>
    </xf>
    <xf numFmtId="0" fontId="24" fillId="10" borderId="6" xfId="7" applyFont="1" applyFill="1" applyBorder="1" applyAlignment="1" applyProtection="1">
      <alignment horizontal="center" vertical="center"/>
      <protection locked="0"/>
    </xf>
    <xf numFmtId="166" fontId="24" fillId="10" borderId="34" xfId="7" applyNumberFormat="1" applyFont="1" applyFill="1" applyBorder="1" applyAlignment="1" applyProtection="1">
      <alignment horizontal="center" vertical="center"/>
      <protection locked="0"/>
    </xf>
    <xf numFmtId="166" fontId="24" fillId="10" borderId="12" xfId="7" applyNumberFormat="1" applyFont="1" applyFill="1" applyBorder="1" applyAlignment="1" applyProtection="1">
      <alignment horizontal="center" vertical="center"/>
      <protection locked="0"/>
    </xf>
    <xf numFmtId="166" fontId="24" fillId="10" borderId="39" xfId="7" applyNumberFormat="1" applyFont="1" applyFill="1" applyBorder="1" applyAlignment="1" applyProtection="1">
      <alignment horizontal="center" vertical="center"/>
      <protection locked="0"/>
    </xf>
    <xf numFmtId="166" fontId="24" fillId="10" borderId="2" xfId="7" applyNumberFormat="1" applyFont="1" applyFill="1" applyBorder="1" applyAlignment="1" applyProtection="1">
      <alignment horizontal="center" vertical="center"/>
      <protection locked="0"/>
    </xf>
    <xf numFmtId="0" fontId="24" fillId="10" borderId="1" xfId="7" applyFont="1" applyFill="1" applyBorder="1" applyAlignment="1" applyProtection="1">
      <alignment horizontal="center" vertical="center"/>
      <protection locked="0"/>
    </xf>
    <xf numFmtId="0" fontId="24" fillId="10" borderId="5" xfId="7" applyFont="1" applyFill="1" applyBorder="1" applyAlignment="1" applyProtection="1">
      <alignment horizontal="center" vertical="center"/>
      <protection locked="0"/>
    </xf>
    <xf numFmtId="166" fontId="24" fillId="10" borderId="44" xfId="7" applyNumberFormat="1" applyFont="1" applyFill="1" applyBorder="1" applyAlignment="1" applyProtection="1">
      <alignment horizontal="center" vertical="center"/>
      <protection locked="0"/>
    </xf>
    <xf numFmtId="166" fontId="24" fillId="10" borderId="7" xfId="7" applyNumberFormat="1" applyFont="1" applyFill="1" applyBorder="1" applyAlignment="1" applyProtection="1">
      <alignment horizontal="center" vertical="center"/>
      <protection locked="0"/>
    </xf>
    <xf numFmtId="166" fontId="24" fillId="10" borderId="45" xfId="7" applyNumberFormat="1" applyFont="1" applyFill="1" applyBorder="1" applyAlignment="1" applyProtection="1">
      <alignment horizontal="center" vertical="center"/>
      <protection locked="0"/>
    </xf>
    <xf numFmtId="166" fontId="24" fillId="10" borderId="1" xfId="7" applyNumberFormat="1" applyFont="1" applyFill="1" applyBorder="1" applyAlignment="1" applyProtection="1">
      <alignment horizontal="center" vertical="center"/>
      <protection locked="0"/>
    </xf>
    <xf numFmtId="2" fontId="0" fillId="11" borderId="43" xfId="0" applyNumberFormat="1" applyFill="1" applyBorder="1" applyAlignment="1" applyProtection="1">
      <alignment horizontal="center"/>
      <protection locked="0"/>
    </xf>
    <xf numFmtId="0" fontId="10" fillId="0" borderId="0" xfId="7" applyFont="1" applyProtection="1"/>
    <xf numFmtId="0" fontId="10" fillId="0" borderId="32" xfId="7" applyFont="1" applyBorder="1" applyProtection="1"/>
    <xf numFmtId="0" fontId="11" fillId="0" borderId="2" xfId="7" applyFont="1" applyBorder="1" applyAlignment="1" applyProtection="1">
      <alignment horizontal="center" vertical="center" wrapText="1"/>
    </xf>
    <xf numFmtId="0" fontId="11" fillId="0" borderId="2" xfId="7" applyNumberFormat="1" applyFont="1" applyBorder="1" applyAlignment="1" applyProtection="1">
      <alignment horizontal="center" vertical="center" wrapText="1"/>
    </xf>
    <xf numFmtId="0" fontId="11" fillId="0" borderId="6" xfId="7" applyFont="1" applyBorder="1" applyAlignment="1" applyProtection="1">
      <alignment horizontal="center" vertical="center" wrapText="1"/>
    </xf>
    <xf numFmtId="0" fontId="11" fillId="0" borderId="34" xfId="7" applyFont="1" applyBorder="1" applyAlignment="1" applyProtection="1">
      <alignment horizontal="center" vertical="center" wrapText="1"/>
    </xf>
    <xf numFmtId="0" fontId="11" fillId="0" borderId="39" xfId="7" applyFont="1" applyBorder="1" applyAlignment="1" applyProtection="1">
      <alignment horizontal="center" vertical="center" wrapText="1"/>
    </xf>
    <xf numFmtId="0" fontId="10" fillId="0" borderId="0" xfId="0" applyFont="1"/>
    <xf numFmtId="1" fontId="24" fillId="10" borderId="46" xfId="5" applyNumberFormat="1" applyFont="1" applyFill="1" applyBorder="1" applyAlignment="1" applyProtection="1">
      <alignment horizontal="center"/>
      <protection locked="0"/>
    </xf>
    <xf numFmtId="1" fontId="24" fillId="10" borderId="11" xfId="5" applyNumberFormat="1" applyFont="1" applyFill="1" applyBorder="1" applyAlignment="1" applyProtection="1">
      <alignment horizontal="center"/>
      <protection locked="0"/>
    </xf>
    <xf numFmtId="1" fontId="24" fillId="10" borderId="47" xfId="5" applyNumberFormat="1" applyFont="1" applyFill="1" applyBorder="1" applyAlignment="1" applyProtection="1">
      <alignment horizontal="center"/>
      <protection locked="0"/>
    </xf>
    <xf numFmtId="1" fontId="24" fillId="10" borderId="34" xfId="5" applyNumberFormat="1" applyFont="1" applyFill="1" applyBorder="1" applyAlignment="1" applyProtection="1">
      <alignment horizontal="center"/>
      <protection locked="0"/>
    </xf>
    <xf numFmtId="1" fontId="24" fillId="10" borderId="12" xfId="5" applyNumberFormat="1" applyFont="1" applyFill="1" applyBorder="1" applyAlignment="1" applyProtection="1">
      <alignment horizontal="center"/>
      <protection locked="0"/>
    </xf>
    <xf numFmtId="1" fontId="24" fillId="10" borderId="48" xfId="5" applyNumberFormat="1" applyFont="1" applyFill="1" applyBorder="1" applyAlignment="1" applyProtection="1">
      <alignment horizontal="center"/>
      <protection locked="0"/>
    </xf>
    <xf numFmtId="1" fontId="24" fillId="10" borderId="40" xfId="5" applyNumberFormat="1" applyFont="1" applyFill="1" applyBorder="1" applyAlignment="1" applyProtection="1">
      <alignment horizontal="center"/>
      <protection locked="0"/>
    </xf>
    <xf numFmtId="1" fontId="24" fillId="10" borderId="43" xfId="5" applyNumberFormat="1" applyFont="1" applyFill="1" applyBorder="1" applyAlignment="1" applyProtection="1">
      <alignment horizontal="center"/>
      <protection locked="0"/>
    </xf>
    <xf numFmtId="1" fontId="24" fillId="10" borderId="42" xfId="5" applyNumberFormat="1" applyFont="1" applyFill="1" applyBorder="1" applyAlignment="1" applyProtection="1">
      <alignment horizontal="center"/>
      <protection locked="0"/>
    </xf>
    <xf numFmtId="1" fontId="24" fillId="10" borderId="39" xfId="5" applyNumberFormat="1" applyFont="1" applyFill="1" applyBorder="1" applyAlignment="1" applyProtection="1">
      <alignment horizontal="center"/>
      <protection locked="0"/>
    </xf>
    <xf numFmtId="1" fontId="24" fillId="10" borderId="41" xfId="5" applyNumberFormat="1" applyFont="1" applyFill="1" applyBorder="1" applyAlignment="1" applyProtection="1">
      <alignment horizontal="center"/>
      <protection locked="0"/>
    </xf>
    <xf numFmtId="0" fontId="26" fillId="0" borderId="0" xfId="0" applyFont="1" applyProtection="1"/>
    <xf numFmtId="0" fontId="26" fillId="0" borderId="0" xfId="0" applyFont="1" applyBorder="1" applyProtection="1"/>
    <xf numFmtId="0" fontId="27" fillId="0" borderId="0" xfId="0" applyFont="1" applyProtection="1"/>
    <xf numFmtId="0" fontId="13" fillId="0" borderId="0" xfId="13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/>
    <xf numFmtId="0" fontId="8" fillId="0" borderId="0" xfId="13" applyFont="1" applyFill="1" applyBorder="1" applyAlignment="1" applyProtection="1">
      <alignment horizontal="left" vertical="center"/>
    </xf>
    <xf numFmtId="0" fontId="8" fillId="0" borderId="0" xfId="5" applyFont="1" applyProtection="1"/>
    <xf numFmtId="0" fontId="13" fillId="0" borderId="13" xfId="9" applyFont="1" applyFill="1" applyBorder="1" applyAlignment="1" applyProtection="1">
      <alignment vertical="center"/>
    </xf>
    <xf numFmtId="0" fontId="13" fillId="0" borderId="19" xfId="9" applyFont="1" applyFill="1" applyBorder="1" applyAlignment="1" applyProtection="1">
      <alignment vertical="center"/>
    </xf>
    <xf numFmtId="1" fontId="13" fillId="0" borderId="49" xfId="5" applyNumberFormat="1" applyFont="1" applyBorder="1" applyAlignment="1" applyProtection="1">
      <alignment horizontal="centerContinuous"/>
    </xf>
    <xf numFmtId="1" fontId="13" fillId="0" borderId="50" xfId="5" applyNumberFormat="1" applyFont="1" applyBorder="1" applyAlignment="1" applyProtection="1">
      <alignment horizontal="centerContinuous"/>
    </xf>
    <xf numFmtId="1" fontId="13" fillId="0" borderId="51" xfId="5" applyNumberFormat="1" applyFont="1" applyBorder="1" applyAlignment="1" applyProtection="1">
      <alignment horizontal="centerContinuous"/>
    </xf>
    <xf numFmtId="0" fontId="13" fillId="0" borderId="17" xfId="9" applyFont="1" applyFill="1" applyBorder="1" applyAlignment="1" applyProtection="1">
      <alignment vertical="center"/>
    </xf>
    <xf numFmtId="0" fontId="13" fillId="0" borderId="22" xfId="9" applyFont="1" applyFill="1" applyBorder="1" applyAlignment="1" applyProtection="1">
      <alignment vertical="center"/>
    </xf>
    <xf numFmtId="0" fontId="13" fillId="0" borderId="34" xfId="13" applyFont="1" applyFill="1" applyBorder="1" applyAlignment="1" applyProtection="1">
      <alignment horizontal="center" vertical="center"/>
    </xf>
    <xf numFmtId="0" fontId="13" fillId="0" borderId="2" xfId="13" applyFont="1" applyFill="1" applyBorder="1" applyAlignment="1" applyProtection="1">
      <alignment horizontal="center" vertical="center"/>
    </xf>
    <xf numFmtId="0" fontId="13" fillId="0" borderId="39" xfId="13" applyFont="1" applyFill="1" applyBorder="1" applyAlignment="1" applyProtection="1">
      <alignment horizontal="center" vertical="center"/>
    </xf>
    <xf numFmtId="0" fontId="29" fillId="0" borderId="52" xfId="9" applyFont="1" applyBorder="1" applyAlignment="1" applyProtection="1">
      <alignment vertical="center"/>
    </xf>
    <xf numFmtId="0" fontId="30" fillId="0" borderId="53" xfId="9" applyFont="1" applyFill="1" applyBorder="1" applyAlignment="1" applyProtection="1">
      <alignment horizontal="centerContinuous" vertical="center"/>
    </xf>
    <xf numFmtId="0" fontId="13" fillId="0" borderId="12" xfId="13" applyFont="1" applyFill="1" applyBorder="1" applyAlignment="1" applyProtection="1">
      <alignment horizontal="center" vertical="center"/>
    </xf>
    <xf numFmtId="0" fontId="14" fillId="0" borderId="47" xfId="9" applyFont="1" applyFill="1" applyBorder="1" applyAlignment="1" applyProtection="1"/>
    <xf numFmtId="167" fontId="31" fillId="0" borderId="46" xfId="13" applyNumberFormat="1" applyFont="1" applyFill="1" applyBorder="1" applyAlignment="1" applyProtection="1">
      <alignment horizontal="center" vertical="center"/>
    </xf>
    <xf numFmtId="167" fontId="31" fillId="0" borderId="4" xfId="13" applyNumberFormat="1" applyFont="1" applyFill="1" applyBorder="1" applyAlignment="1" applyProtection="1">
      <alignment horizontal="center" vertical="center"/>
    </xf>
    <xf numFmtId="167" fontId="31" fillId="0" borderId="47" xfId="13" applyNumberFormat="1" applyFont="1" applyFill="1" applyBorder="1" applyAlignment="1" applyProtection="1">
      <alignment horizontal="center" vertical="center"/>
    </xf>
    <xf numFmtId="0" fontId="14" fillId="0" borderId="39" xfId="9" applyFont="1" applyFill="1" applyBorder="1" applyAlignment="1" applyProtection="1"/>
    <xf numFmtId="167" fontId="31" fillId="0" borderId="34" xfId="13" applyNumberFormat="1" applyFont="1" applyFill="1" applyBorder="1" applyAlignment="1" applyProtection="1">
      <alignment horizontal="center" vertical="center"/>
    </xf>
    <xf numFmtId="167" fontId="31" fillId="0" borderId="2" xfId="13" applyNumberFormat="1" applyFont="1" applyFill="1" applyBorder="1" applyAlignment="1" applyProtection="1">
      <alignment horizontal="center" vertical="center"/>
    </xf>
    <xf numFmtId="167" fontId="31" fillId="0" borderId="39" xfId="13" applyNumberFormat="1" applyFont="1" applyFill="1" applyBorder="1" applyAlignment="1" applyProtection="1">
      <alignment horizontal="center" vertical="center"/>
    </xf>
    <xf numFmtId="0" fontId="14" fillId="0" borderId="39" xfId="9" applyFont="1" applyBorder="1" applyAlignment="1" applyProtection="1"/>
    <xf numFmtId="0" fontId="14" fillId="0" borderId="39" xfId="9" applyFont="1" applyBorder="1" applyAlignment="1" applyProtection="1">
      <alignment vertical="center"/>
    </xf>
    <xf numFmtId="0" fontId="14" fillId="0" borderId="39" xfId="9" applyFont="1" applyFill="1" applyBorder="1" applyAlignment="1" applyProtection="1">
      <alignment vertical="center"/>
    </xf>
    <xf numFmtId="0" fontId="13" fillId="0" borderId="54" xfId="9" applyFont="1" applyBorder="1" applyAlignment="1" applyProtection="1"/>
    <xf numFmtId="0" fontId="13" fillId="0" borderId="55" xfId="9" applyFont="1" applyBorder="1" applyAlignment="1" applyProtection="1"/>
    <xf numFmtId="167" fontId="32" fillId="11" borderId="40" xfId="13" applyNumberFormat="1" applyFont="1" applyFill="1" applyBorder="1" applyAlignment="1" applyProtection="1">
      <alignment horizontal="center" vertical="center"/>
    </xf>
    <xf numFmtId="167" fontId="32" fillId="11" borderId="43" xfId="13" applyNumberFormat="1" applyFont="1" applyFill="1" applyBorder="1" applyAlignment="1" applyProtection="1">
      <alignment horizontal="center" vertical="center"/>
    </xf>
    <xf numFmtId="167" fontId="32" fillId="11" borderId="42" xfId="13" applyNumberFormat="1" applyFont="1" applyFill="1" applyBorder="1" applyAlignment="1" applyProtection="1">
      <alignment horizontal="center" vertical="center"/>
    </xf>
    <xf numFmtId="0" fontId="13" fillId="0" borderId="0" xfId="9" applyFont="1" applyBorder="1" applyAlignment="1" applyProtection="1"/>
    <xf numFmtId="0" fontId="31" fillId="0" borderId="0" xfId="13" applyFont="1" applyFill="1" applyBorder="1" applyAlignment="1" applyProtection="1">
      <alignment horizontal="center" vertical="center"/>
    </xf>
    <xf numFmtId="1" fontId="8" fillId="0" borderId="0" xfId="5" applyNumberFormat="1" applyFont="1" applyProtection="1"/>
    <xf numFmtId="167" fontId="16" fillId="10" borderId="11" xfId="13" applyNumberFormat="1" applyFont="1" applyFill="1" applyBorder="1" applyAlignment="1" applyProtection="1">
      <alignment horizontal="center" vertical="center"/>
      <protection locked="0"/>
    </xf>
    <xf numFmtId="167" fontId="16" fillId="10" borderId="53" xfId="13" applyNumberFormat="1" applyFont="1" applyFill="1" applyBorder="1" applyAlignment="1" applyProtection="1">
      <alignment horizontal="center" vertical="center"/>
      <protection locked="0"/>
    </xf>
    <xf numFmtId="167" fontId="16" fillId="10" borderId="46" xfId="13" applyNumberFormat="1" applyFont="1" applyFill="1" applyBorder="1" applyAlignment="1" applyProtection="1">
      <alignment horizontal="center" vertical="center"/>
      <protection locked="0"/>
    </xf>
    <xf numFmtId="167" fontId="16" fillId="10" borderId="4" xfId="13" applyNumberFormat="1" applyFont="1" applyFill="1" applyBorder="1" applyAlignment="1" applyProtection="1">
      <alignment horizontal="center" vertical="center"/>
      <protection locked="0"/>
    </xf>
    <xf numFmtId="167" fontId="16" fillId="10" borderId="47" xfId="13" applyNumberFormat="1" applyFont="1" applyFill="1" applyBorder="1" applyAlignment="1" applyProtection="1">
      <alignment horizontal="center" vertical="center"/>
      <protection locked="0"/>
    </xf>
    <xf numFmtId="167" fontId="16" fillId="10" borderId="12" xfId="13" applyNumberFormat="1" applyFont="1" applyFill="1" applyBorder="1" applyAlignment="1" applyProtection="1">
      <alignment horizontal="center" vertical="center"/>
      <protection locked="0"/>
    </xf>
    <xf numFmtId="167" fontId="16" fillId="10" borderId="48" xfId="13" applyNumberFormat="1" applyFont="1" applyFill="1" applyBorder="1" applyAlignment="1" applyProtection="1">
      <alignment horizontal="center" vertical="center"/>
      <protection locked="0"/>
    </xf>
    <xf numFmtId="167" fontId="16" fillId="10" borderId="34" xfId="13" applyNumberFormat="1" applyFont="1" applyFill="1" applyBorder="1" applyAlignment="1" applyProtection="1">
      <alignment horizontal="center" vertical="center"/>
      <protection locked="0"/>
    </xf>
    <xf numFmtId="167" fontId="16" fillId="10" borderId="2" xfId="13" applyNumberFormat="1" applyFont="1" applyFill="1" applyBorder="1" applyAlignment="1" applyProtection="1">
      <alignment horizontal="center" vertical="center"/>
      <protection locked="0"/>
    </xf>
    <xf numFmtId="167" fontId="16" fillId="10" borderId="39" xfId="13" applyNumberFormat="1" applyFont="1" applyFill="1" applyBorder="1" applyAlignment="1" applyProtection="1">
      <alignment horizontal="center" vertical="center"/>
      <protection locked="0"/>
    </xf>
    <xf numFmtId="167" fontId="8" fillId="0" borderId="12" xfId="13" applyNumberFormat="1" applyFont="1" applyFill="1" applyBorder="1" applyAlignment="1" applyProtection="1">
      <alignment horizontal="center" vertical="center"/>
    </xf>
    <xf numFmtId="167" fontId="8" fillId="0" borderId="2" xfId="13" applyNumberFormat="1" applyFont="1" applyFill="1" applyBorder="1" applyAlignment="1" applyProtection="1">
      <alignment horizontal="center" vertical="center"/>
    </xf>
    <xf numFmtId="167" fontId="8" fillId="0" borderId="39" xfId="13" applyNumberFormat="1" applyFont="1" applyFill="1" applyBorder="1" applyAlignment="1" applyProtection="1">
      <alignment horizontal="center" vertical="center"/>
    </xf>
    <xf numFmtId="167" fontId="8" fillId="0" borderId="34" xfId="13" applyNumberFormat="1" applyFont="1" applyFill="1" applyBorder="1" applyAlignment="1" applyProtection="1">
      <alignment horizontal="center" vertical="center"/>
    </xf>
    <xf numFmtId="0" fontId="8" fillId="0" borderId="0" xfId="13" applyFont="1" applyFill="1" applyBorder="1" applyAlignment="1" applyProtection="1">
      <alignment horizontal="left" vertical="center"/>
      <protection locked="0"/>
    </xf>
    <xf numFmtId="0" fontId="14" fillId="0" borderId="45" xfId="9" applyFont="1" applyBorder="1" applyAlignment="1" applyProtection="1">
      <alignment vertical="center"/>
    </xf>
    <xf numFmtId="167" fontId="16" fillId="10" borderId="7" xfId="13" applyNumberFormat="1" applyFont="1" applyFill="1" applyBorder="1" applyAlignment="1" applyProtection="1">
      <alignment horizontal="center" vertical="center"/>
      <protection locked="0"/>
    </xf>
    <xf numFmtId="167" fontId="16" fillId="10" borderId="1" xfId="13" applyNumberFormat="1" applyFont="1" applyFill="1" applyBorder="1" applyAlignment="1" applyProtection="1">
      <alignment horizontal="center" vertical="center"/>
      <protection locked="0"/>
    </xf>
    <xf numFmtId="167" fontId="16" fillId="10" borderId="45" xfId="13" applyNumberFormat="1" applyFont="1" applyFill="1" applyBorder="1" applyAlignment="1" applyProtection="1">
      <alignment horizontal="center" vertical="center"/>
      <protection locked="0"/>
    </xf>
    <xf numFmtId="167" fontId="16" fillId="10" borderId="4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/>
    <xf numFmtId="0" fontId="13" fillId="0" borderId="26" xfId="9" applyFont="1" applyBorder="1" applyAlignment="1" applyProtection="1"/>
    <xf numFmtId="167" fontId="13" fillId="11" borderId="56" xfId="13" applyNumberFormat="1" applyFont="1" applyFill="1" applyBorder="1" applyAlignment="1" applyProtection="1">
      <alignment horizontal="center" vertical="center"/>
    </xf>
    <xf numFmtId="167" fontId="13" fillId="11" borderId="57" xfId="13" applyNumberFormat="1" applyFont="1" applyFill="1" applyBorder="1" applyAlignment="1" applyProtection="1">
      <alignment horizontal="center" vertical="center"/>
    </xf>
    <xf numFmtId="167" fontId="13" fillId="11" borderId="58" xfId="13" applyNumberFormat="1" applyFont="1" applyFill="1" applyBorder="1" applyAlignment="1" applyProtection="1">
      <alignment horizontal="center" vertical="center"/>
    </xf>
    <xf numFmtId="167" fontId="13" fillId="11" borderId="59" xfId="13" applyNumberFormat="1" applyFont="1" applyFill="1" applyBorder="1" applyAlignment="1" applyProtection="1">
      <alignment horizontal="center" vertical="center"/>
    </xf>
    <xf numFmtId="167" fontId="13" fillId="11" borderId="41" xfId="13" applyNumberFormat="1" applyFont="1" applyFill="1" applyBorder="1" applyAlignment="1" applyProtection="1">
      <alignment horizontal="center" vertical="center"/>
    </xf>
    <xf numFmtId="167" fontId="13" fillId="11" borderId="43" xfId="13" applyNumberFormat="1" applyFont="1" applyFill="1" applyBorder="1" applyAlignment="1" applyProtection="1">
      <alignment horizontal="center" vertical="center"/>
    </xf>
    <xf numFmtId="167" fontId="13" fillId="11" borderId="42" xfId="13" applyNumberFormat="1" applyFont="1" applyFill="1" applyBorder="1" applyAlignment="1" applyProtection="1">
      <alignment horizontal="center" vertical="center"/>
    </xf>
    <xf numFmtId="167" fontId="13" fillId="11" borderId="40" xfId="13" applyNumberFormat="1" applyFont="1" applyFill="1" applyBorder="1" applyAlignment="1" applyProtection="1">
      <alignment horizontal="center" vertical="center"/>
    </xf>
    <xf numFmtId="0" fontId="8" fillId="0" borderId="39" xfId="13" applyFont="1" applyFill="1" applyBorder="1" applyAlignment="1" applyProtection="1">
      <alignment horizontal="left" vertical="center"/>
    </xf>
    <xf numFmtId="1" fontId="8" fillId="0" borderId="39" xfId="5" applyNumberFormat="1" applyFont="1" applyBorder="1" applyProtection="1"/>
    <xf numFmtId="167" fontId="8" fillId="11" borderId="12" xfId="13" applyNumberFormat="1" applyFont="1" applyFill="1" applyBorder="1" applyAlignment="1" applyProtection="1">
      <alignment horizontal="center" vertical="center"/>
    </xf>
    <xf numFmtId="167" fontId="8" fillId="11" borderId="48" xfId="13" applyNumberFormat="1" applyFont="1" applyFill="1" applyBorder="1" applyAlignment="1" applyProtection="1">
      <alignment horizontal="center" vertical="center"/>
    </xf>
    <xf numFmtId="167" fontId="8" fillId="11" borderId="34" xfId="13" applyNumberFormat="1" applyFont="1" applyFill="1" applyBorder="1" applyAlignment="1" applyProtection="1">
      <alignment horizontal="center" vertical="center"/>
    </xf>
    <xf numFmtId="1" fontId="8" fillId="0" borderId="39" xfId="5" applyNumberFormat="1" applyFont="1" applyBorder="1" applyAlignment="1" applyProtection="1"/>
    <xf numFmtId="0" fontId="18" fillId="0" borderId="40" xfId="0" applyFont="1" applyBorder="1" applyAlignment="1" applyProtection="1">
      <alignment vertical="center"/>
    </xf>
    <xf numFmtId="1" fontId="8" fillId="0" borderId="42" xfId="5" applyNumberFormat="1" applyFont="1" applyBorder="1" applyProtection="1"/>
    <xf numFmtId="167" fontId="8" fillId="11" borderId="41" xfId="13" applyNumberFormat="1" applyFont="1" applyFill="1" applyBorder="1" applyAlignment="1" applyProtection="1">
      <alignment horizontal="center" vertical="center"/>
    </xf>
    <xf numFmtId="167" fontId="8" fillId="11" borderId="55" xfId="13" applyNumberFormat="1" applyFont="1" applyFill="1" applyBorder="1" applyAlignment="1" applyProtection="1">
      <alignment horizontal="center" vertical="center"/>
    </xf>
    <xf numFmtId="167" fontId="8" fillId="11" borderId="40" xfId="13" applyNumberFormat="1" applyFont="1" applyFill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horizontal="centerContinuous"/>
    </xf>
    <xf numFmtId="2" fontId="24" fillId="10" borderId="32" xfId="0" applyNumberFormat="1" applyFont="1" applyFill="1" applyBorder="1" applyAlignment="1" applyProtection="1">
      <alignment horizontal="center" vertical="center"/>
      <protection locked="0"/>
    </xf>
    <xf numFmtId="2" fontId="24" fillId="10" borderId="60" xfId="0" applyNumberFormat="1" applyFont="1" applyFill="1" applyBorder="1" applyAlignment="1" applyProtection="1">
      <alignment horizontal="center" vertical="center"/>
      <protection locked="0"/>
    </xf>
    <xf numFmtId="168" fontId="24" fillId="0" borderId="61" xfId="11" applyNumberFormat="1" applyFont="1" applyFill="1" applyBorder="1" applyProtection="1"/>
    <xf numFmtId="2" fontId="24" fillId="0" borderId="32" xfId="0" applyNumberFormat="1" applyFont="1" applyFill="1" applyBorder="1" applyAlignment="1" applyProtection="1">
      <alignment horizontal="center" vertical="center"/>
    </xf>
    <xf numFmtId="2" fontId="24" fillId="0" borderId="60" xfId="0" applyNumberFormat="1" applyFont="1" applyFill="1" applyBorder="1" applyAlignment="1" applyProtection="1">
      <alignment horizontal="center" vertical="center"/>
    </xf>
    <xf numFmtId="2" fontId="24" fillId="10" borderId="36" xfId="0" applyNumberFormat="1" applyFont="1" applyFill="1" applyBorder="1" applyAlignment="1" applyProtection="1">
      <alignment horizontal="center" vertical="center"/>
      <protection locked="0"/>
    </xf>
    <xf numFmtId="2" fontId="24" fillId="10" borderId="61" xfId="0" applyNumberFormat="1" applyFont="1" applyFill="1" applyBorder="1" applyAlignment="1" applyProtection="1">
      <alignment horizontal="center" vertical="center"/>
      <protection locked="0"/>
    </xf>
    <xf numFmtId="0" fontId="15" fillId="0" borderId="15" xfId="14" applyFont="1" applyBorder="1"/>
    <xf numFmtId="0" fontId="14" fillId="0" borderId="15" xfId="14" applyFont="1" applyBorder="1"/>
    <xf numFmtId="0" fontId="14" fillId="0" borderId="7" xfId="14" applyFont="1" applyBorder="1"/>
    <xf numFmtId="0" fontId="15" fillId="0" borderId="0" xfId="14" applyFont="1" applyBorder="1"/>
    <xf numFmtId="0" fontId="14" fillId="0" borderId="0" xfId="14" applyFont="1" applyBorder="1"/>
    <xf numFmtId="0" fontId="14" fillId="0" borderId="9" xfId="14" applyFont="1" applyBorder="1"/>
    <xf numFmtId="0" fontId="15" fillId="0" borderId="9" xfId="14" applyFont="1" applyBorder="1" applyAlignment="1">
      <alignment horizontal="center" textRotation="90" wrapText="1"/>
    </xf>
    <xf numFmtId="0" fontId="14" fillId="0" borderId="2" xfId="14" applyFont="1" applyBorder="1"/>
    <xf numFmtId="0" fontId="14" fillId="0" borderId="2" xfId="14" applyFont="1" applyBorder="1" applyAlignment="1">
      <alignment horizontal="center"/>
    </xf>
    <xf numFmtId="0" fontId="14" fillId="0" borderId="1" xfId="14" applyFont="1" applyBorder="1"/>
    <xf numFmtId="0" fontId="14" fillId="0" borderId="1" xfId="14" applyFont="1" applyBorder="1" applyAlignment="1">
      <alignment horizontal="center"/>
    </xf>
    <xf numFmtId="0" fontId="14" fillId="0" borderId="3" xfId="14" applyFont="1" applyBorder="1"/>
    <xf numFmtId="176" fontId="14" fillId="0" borderId="3" xfId="14" applyNumberFormat="1" applyFont="1" applyBorder="1"/>
    <xf numFmtId="37" fontId="14" fillId="0" borderId="9" xfId="14" applyNumberFormat="1" applyFont="1" applyBorder="1"/>
    <xf numFmtId="177" fontId="14" fillId="13" borderId="4" xfId="14" applyNumberFormat="1" applyFont="1" applyFill="1" applyBorder="1"/>
    <xf numFmtId="177" fontId="14" fillId="0" borderId="4" xfId="14" applyNumberFormat="1" applyFont="1" applyBorder="1"/>
    <xf numFmtId="176" fontId="14" fillId="0" borderId="9" xfId="14" applyNumberFormat="1" applyFont="1" applyBorder="1"/>
    <xf numFmtId="0" fontId="14" fillId="0" borderId="4" xfId="14" applyFont="1" applyBorder="1"/>
    <xf numFmtId="176" fontId="14" fillId="0" borderId="4" xfId="14" applyNumberFormat="1" applyFont="1" applyBorder="1"/>
    <xf numFmtId="176" fontId="14" fillId="0" borderId="0" xfId="14" applyNumberFormat="1" applyFont="1" applyBorder="1"/>
    <xf numFmtId="0" fontId="14" fillId="0" borderId="0" xfId="0" applyFont="1" applyBorder="1" applyAlignment="1" applyProtection="1"/>
    <xf numFmtId="0" fontId="15" fillId="0" borderId="0" xfId="0" applyFont="1" applyBorder="1" applyAlignment="1">
      <alignment horizontal="right"/>
    </xf>
    <xf numFmtId="37" fontId="15" fillId="0" borderId="0" xfId="0" applyNumberFormat="1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4" fillId="0" borderId="18" xfId="14" applyFont="1" applyBorder="1"/>
    <xf numFmtId="176" fontId="14" fillId="0" borderId="18" xfId="14" applyNumberFormat="1" applyFont="1" applyBorder="1"/>
    <xf numFmtId="37" fontId="14" fillId="0" borderId="11" xfId="14" applyNumberFormat="1" applyFont="1" applyBorder="1"/>
    <xf numFmtId="0" fontId="33" fillId="0" borderId="2" xfId="14" applyFont="1" applyBorder="1" applyAlignment="1">
      <alignment wrapText="1"/>
    </xf>
    <xf numFmtId="167" fontId="33" fillId="0" borderId="2" xfId="14" applyNumberFormat="1" applyFont="1" applyBorder="1" applyAlignment="1" applyProtection="1">
      <alignment horizontal="center" textRotation="90" wrapText="1"/>
    </xf>
    <xf numFmtId="167" fontId="33" fillId="0" borderId="4" xfId="14" applyNumberFormat="1" applyFont="1" applyBorder="1" applyAlignment="1" applyProtection="1">
      <alignment horizontal="center" textRotation="90" wrapText="1"/>
    </xf>
    <xf numFmtId="0" fontId="34" fillId="0" borderId="9" xfId="14" applyFont="1" applyBorder="1" applyAlignment="1">
      <alignment horizontal="center" textRotation="90" wrapText="1"/>
    </xf>
    <xf numFmtId="0" fontId="14" fillId="0" borderId="0" xfId="0" applyFont="1" applyAlignment="1" applyProtection="1"/>
    <xf numFmtId="0" fontId="14" fillId="0" borderId="0" xfId="0" applyFont="1" applyFill="1" applyBorder="1" applyAlignment="1" applyProtection="1"/>
    <xf numFmtId="174" fontId="15" fillId="0" borderId="0" xfId="0" applyNumberFormat="1" applyFont="1" applyFill="1" applyBorder="1" applyAlignment="1" applyProtection="1"/>
    <xf numFmtId="0" fontId="14" fillId="0" borderId="0" xfId="0" applyFont="1" applyBorder="1" applyAlignment="1" applyProtection="1">
      <alignment horizontal="left"/>
    </xf>
    <xf numFmtId="174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8" fillId="0" borderId="0" xfId="0" applyFont="1" applyAlignment="1"/>
    <xf numFmtId="0" fontId="36" fillId="0" borderId="0" xfId="0" applyFont="1" applyBorder="1" applyAlignment="1" applyProtection="1"/>
    <xf numFmtId="0" fontId="8" fillId="0" borderId="0" xfId="0" applyFont="1" applyBorder="1" applyAlignment="1"/>
    <xf numFmtId="0" fontId="13" fillId="0" borderId="6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0" fontId="37" fillId="0" borderId="0" xfId="0" applyFont="1" applyBorder="1" applyAlignment="1">
      <alignment horizontal="left" vertical="center"/>
    </xf>
    <xf numFmtId="0" fontId="13" fillId="0" borderId="35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</xf>
    <xf numFmtId="174" fontId="8" fillId="0" borderId="0" xfId="0" applyNumberFormat="1" applyFont="1" applyAlignment="1">
      <alignment horizontal="right"/>
    </xf>
    <xf numFmtId="174" fontId="16" fillId="10" borderId="63" xfId="0" applyNumberFormat="1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174" fontId="16" fillId="10" borderId="33" xfId="0" applyNumberFormat="1" applyFont="1" applyFill="1" applyBorder="1" applyAlignment="1" applyProtection="1">
      <alignment horizontal="right"/>
      <protection locked="0"/>
    </xf>
    <xf numFmtId="174" fontId="16" fillId="10" borderId="46" xfId="0" applyNumberFormat="1" applyFont="1" applyFill="1" applyBorder="1" applyAlignment="1" applyProtection="1">
      <alignment horizontal="right"/>
      <protection locked="0"/>
    </xf>
    <xf numFmtId="174" fontId="8" fillId="2" borderId="64" xfId="0" applyNumberFormat="1" applyFont="1" applyFill="1" applyBorder="1" applyAlignment="1">
      <alignment horizontal="right"/>
    </xf>
    <xf numFmtId="174" fontId="16" fillId="10" borderId="6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</xf>
    <xf numFmtId="174" fontId="16" fillId="10" borderId="6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 wrapText="1"/>
    </xf>
    <xf numFmtId="174" fontId="8" fillId="2" borderId="33" xfId="0" applyNumberFormat="1" applyFont="1" applyFill="1" applyBorder="1" applyAlignment="1">
      <alignment horizontal="right"/>
    </xf>
    <xf numFmtId="174" fontId="16" fillId="10" borderId="40" xfId="0" applyNumberFormat="1" applyFont="1" applyFill="1" applyBorder="1" applyAlignment="1" applyProtection="1">
      <alignment horizontal="right"/>
      <protection locked="0"/>
    </xf>
    <xf numFmtId="174" fontId="16" fillId="10" borderId="66" xfId="0" applyNumberFormat="1" applyFont="1" applyFill="1" applyBorder="1" applyAlignment="1" applyProtection="1">
      <alignment horizontal="right"/>
      <protection locked="0"/>
    </xf>
    <xf numFmtId="174" fontId="8" fillId="2" borderId="67" xfId="0" applyNumberFormat="1" applyFont="1" applyFill="1" applyBorder="1" applyAlignment="1">
      <alignment horizontal="right"/>
    </xf>
    <xf numFmtId="174" fontId="16" fillId="10" borderId="67" xfId="0" applyNumberFormat="1" applyFont="1" applyFill="1" applyBorder="1" applyAlignment="1" applyProtection="1">
      <alignment horizontal="right"/>
      <protection locked="0"/>
    </xf>
    <xf numFmtId="174" fontId="8" fillId="2" borderId="63" xfId="0" applyNumberFormat="1" applyFont="1" applyFill="1" applyBorder="1" applyAlignment="1">
      <alignment horizontal="right"/>
    </xf>
    <xf numFmtId="0" fontId="8" fillId="0" borderId="3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174" fontId="8" fillId="2" borderId="65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 vertical="center"/>
    </xf>
    <xf numFmtId="174" fontId="16" fillId="10" borderId="68" xfId="0" applyNumberFormat="1" applyFont="1" applyFill="1" applyBorder="1" applyAlignment="1" applyProtection="1">
      <alignment horizontal="right"/>
      <protection locked="0"/>
    </xf>
    <xf numFmtId="174" fontId="16" fillId="10" borderId="34" xfId="0" applyNumberFormat="1" applyFont="1" applyFill="1" applyBorder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 vertical="center" wrapText="1"/>
    </xf>
    <xf numFmtId="174" fontId="8" fillId="2" borderId="62" xfId="0" applyNumberFormat="1" applyFont="1" applyFill="1" applyBorder="1" applyAlignment="1">
      <alignment horizontal="right"/>
    </xf>
    <xf numFmtId="174" fontId="16" fillId="10" borderId="62" xfId="0" applyNumberFormat="1" applyFont="1" applyFill="1" applyBorder="1" applyAlignment="1" applyProtection="1">
      <alignment horizontal="right"/>
      <protection locked="0"/>
    </xf>
    <xf numFmtId="174" fontId="16" fillId="10" borderId="59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left" vertical="center" wrapText="1"/>
    </xf>
    <xf numFmtId="174" fontId="16" fillId="12" borderId="20" xfId="0" applyNumberFormat="1" applyFont="1" applyFill="1" applyBorder="1" applyAlignment="1">
      <alignment horizontal="right"/>
    </xf>
    <xf numFmtId="174" fontId="16" fillId="12" borderId="21" xfId="0" applyNumberFormat="1" applyFont="1" applyFill="1" applyBorder="1" applyAlignment="1">
      <alignment horizontal="right"/>
    </xf>
    <xf numFmtId="174" fontId="8" fillId="12" borderId="35" xfId="0" applyNumberFormat="1" applyFont="1" applyFill="1" applyBorder="1" applyAlignment="1">
      <alignment horizontal="right"/>
    </xf>
    <xf numFmtId="174" fontId="8" fillId="0" borderId="0" xfId="0" applyNumberFormat="1" applyFont="1" applyFill="1" applyAlignment="1">
      <alignment horizontal="right"/>
    </xf>
    <xf numFmtId="174" fontId="16" fillId="10" borderId="3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/>
    <xf numFmtId="174" fontId="16" fillId="12" borderId="24" xfId="0" applyNumberFormat="1" applyFont="1" applyFill="1" applyBorder="1" applyAlignment="1">
      <alignment horizontal="right"/>
    </xf>
    <xf numFmtId="174" fontId="16" fillId="12" borderId="25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 applyProtection="1">
      <alignment horizontal="right"/>
    </xf>
    <xf numFmtId="174" fontId="8" fillId="12" borderId="62" xfId="0" applyNumberFormat="1" applyFont="1" applyFill="1" applyBorder="1" applyAlignment="1" applyProtection="1">
      <alignment horizontal="right"/>
    </xf>
    <xf numFmtId="174" fontId="16" fillId="12" borderId="35" xfId="0" applyNumberFormat="1" applyFont="1" applyFill="1" applyBorder="1" applyAlignment="1">
      <alignment horizontal="right"/>
    </xf>
    <xf numFmtId="0" fontId="13" fillId="0" borderId="24" xfId="0" applyFont="1" applyBorder="1" applyAlignment="1"/>
    <xf numFmtId="0" fontId="13" fillId="0" borderId="25" xfId="0" applyFont="1" applyBorder="1" applyAlignment="1"/>
    <xf numFmtId="0" fontId="13" fillId="0" borderId="26" xfId="0" applyFont="1" applyBorder="1" applyAlignment="1"/>
    <xf numFmtId="0" fontId="13" fillId="0" borderId="0" xfId="0" applyFont="1" applyBorder="1" applyAlignment="1"/>
    <xf numFmtId="174" fontId="13" fillId="2" borderId="35" xfId="0" applyNumberFormat="1" applyFont="1" applyFill="1" applyBorder="1" applyAlignment="1">
      <alignment horizontal="right"/>
    </xf>
    <xf numFmtId="174" fontId="13" fillId="0" borderId="0" xfId="0" applyNumberFormat="1" applyFont="1" applyAlignment="1">
      <alignment horizontal="right"/>
    </xf>
    <xf numFmtId="0" fontId="13" fillId="0" borderId="0" xfId="0" applyFont="1" applyAlignment="1" applyProtection="1"/>
    <xf numFmtId="0" fontId="8" fillId="0" borderId="0" xfId="0" applyFont="1" applyBorder="1" applyAlignment="1" applyProtection="1"/>
    <xf numFmtId="0" fontId="38" fillId="0" borderId="0" xfId="0" applyFont="1" applyAlignment="1" applyProtection="1">
      <alignment horizontal="center"/>
    </xf>
    <xf numFmtId="0" fontId="13" fillId="0" borderId="0" xfId="0" applyFont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37" fillId="0" borderId="24" xfId="0" applyFont="1" applyFill="1" applyBorder="1" applyAlignment="1" applyProtection="1"/>
    <xf numFmtId="0" fontId="13" fillId="0" borderId="25" xfId="0" applyFont="1" applyBorder="1" applyAlignment="1" applyProtection="1"/>
    <xf numFmtId="0" fontId="13" fillId="0" borderId="0" xfId="0" applyFont="1" applyFill="1" applyBorder="1" applyAlignment="1" applyProtection="1"/>
    <xf numFmtId="0" fontId="13" fillId="0" borderId="24" xfId="0" applyFont="1" applyBorder="1" applyAlignment="1" applyProtection="1"/>
    <xf numFmtId="0" fontId="13" fillId="0" borderId="26" xfId="0" applyFont="1" applyFill="1" applyBorder="1" applyAlignment="1" applyProtection="1"/>
    <xf numFmtId="0" fontId="8" fillId="0" borderId="49" xfId="0" applyFont="1" applyBorder="1" applyAlignment="1" applyProtection="1"/>
    <xf numFmtId="0" fontId="8" fillId="0" borderId="50" xfId="0" applyFont="1" applyBorder="1" applyAlignment="1" applyProtection="1"/>
    <xf numFmtId="0" fontId="8" fillId="0" borderId="51" xfId="0" applyFont="1" applyBorder="1" applyAlignment="1" applyProtection="1"/>
    <xf numFmtId="174" fontId="16" fillId="10" borderId="53" xfId="0" applyNumberFormat="1" applyFont="1" applyFill="1" applyBorder="1" applyAlignment="1" applyProtection="1">
      <alignment horizontal="right"/>
      <protection locked="0"/>
    </xf>
    <xf numFmtId="0" fontId="8" fillId="0" borderId="54" xfId="0" applyFont="1" applyBorder="1" applyAlignment="1" applyProtection="1"/>
    <xf numFmtId="0" fontId="8" fillId="0" borderId="69" xfId="0" applyFont="1" applyBorder="1" applyAlignment="1" applyProtection="1"/>
    <xf numFmtId="0" fontId="8" fillId="0" borderId="23" xfId="0" applyFont="1" applyBorder="1" applyAlignment="1" applyProtection="1"/>
    <xf numFmtId="174" fontId="16" fillId="10" borderId="70" xfId="0" applyNumberFormat="1" applyFont="1" applyFill="1" applyBorder="1" applyAlignment="1" applyProtection="1">
      <alignment horizontal="right"/>
      <protection locked="0"/>
    </xf>
    <xf numFmtId="0" fontId="37" fillId="0" borderId="20" xfId="0" applyFont="1" applyBorder="1" applyAlignment="1"/>
    <xf numFmtId="0" fontId="8" fillId="0" borderId="21" xfId="0" applyFont="1" applyBorder="1" applyAlignment="1" applyProtection="1"/>
    <xf numFmtId="0" fontId="8" fillId="0" borderId="25" xfId="0" applyFont="1" applyBorder="1" applyAlignment="1" applyProtection="1"/>
    <xf numFmtId="0" fontId="36" fillId="0" borderId="14" xfId="0" applyFont="1" applyBorder="1" applyAlignment="1" applyProtection="1"/>
    <xf numFmtId="0" fontId="36" fillId="0" borderId="19" xfId="0" applyFont="1" applyBorder="1" applyAlignment="1" applyProtection="1"/>
    <xf numFmtId="0" fontId="8" fillId="0" borderId="19" xfId="0" applyFont="1" applyBorder="1" applyAlignment="1">
      <alignment horizontal="left"/>
    </xf>
    <xf numFmtId="0" fontId="14" fillId="0" borderId="27" xfId="0" applyFont="1" applyBorder="1" applyAlignment="1" applyProtection="1"/>
    <xf numFmtId="0" fontId="36" fillId="0" borderId="21" xfId="0" applyFont="1" applyBorder="1" applyAlignment="1" applyProtection="1"/>
    <xf numFmtId="0" fontId="36" fillId="0" borderId="23" xfId="0" applyFont="1" applyBorder="1" applyAlignment="1" applyProtection="1"/>
    <xf numFmtId="0" fontId="13" fillId="0" borderId="23" xfId="0" applyFont="1" applyBorder="1" applyAlignment="1">
      <alignment horizontal="center"/>
    </xf>
    <xf numFmtId="0" fontId="8" fillId="0" borderId="0" xfId="0" applyFont="1" applyBorder="1" applyAlignment="1" applyProtection="1">
      <alignment wrapText="1"/>
    </xf>
    <xf numFmtId="0" fontId="8" fillId="0" borderId="49" xfId="0" applyFont="1" applyBorder="1" applyAlignment="1" applyProtection="1">
      <alignment wrapText="1"/>
    </xf>
    <xf numFmtId="0" fontId="8" fillId="0" borderId="50" xfId="0" applyFont="1" applyBorder="1" applyAlignment="1" applyProtection="1">
      <alignment wrapText="1"/>
    </xf>
    <xf numFmtId="0" fontId="8" fillId="0" borderId="51" xfId="0" applyFont="1" applyBorder="1" applyAlignment="1" applyProtection="1">
      <alignment wrapText="1"/>
    </xf>
    <xf numFmtId="0" fontId="8" fillId="0" borderId="20" xfId="0" applyFont="1" applyBorder="1" applyAlignment="1" applyProtection="1">
      <alignment wrapText="1"/>
    </xf>
    <xf numFmtId="0" fontId="8" fillId="0" borderId="21" xfId="0" applyFont="1" applyBorder="1" applyAlignment="1" applyProtection="1">
      <alignment wrapText="1"/>
    </xf>
    <xf numFmtId="0" fontId="8" fillId="0" borderId="71" xfId="0" applyFont="1" applyBorder="1" applyAlignment="1" applyProtection="1">
      <alignment wrapText="1"/>
    </xf>
    <xf numFmtId="0" fontId="8" fillId="0" borderId="16" xfId="0" applyFont="1" applyBorder="1" applyAlignment="1" applyProtection="1">
      <alignment wrapText="1"/>
    </xf>
    <xf numFmtId="0" fontId="8" fillId="0" borderId="48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70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24" xfId="0" applyFont="1" applyBorder="1" applyAlignment="1" applyProtection="1">
      <alignment wrapText="1"/>
    </xf>
    <xf numFmtId="0" fontId="13" fillId="0" borderId="25" xfId="0" applyFont="1" applyBorder="1" applyAlignment="1" applyProtection="1">
      <alignment wrapText="1"/>
    </xf>
    <xf numFmtId="0" fontId="13" fillId="0" borderId="26" xfId="0" applyFont="1" applyBorder="1" applyAlignment="1" applyProtection="1">
      <alignment wrapText="1"/>
    </xf>
    <xf numFmtId="174" fontId="13" fillId="2" borderId="26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14" fillId="0" borderId="0" xfId="0" applyFont="1" applyAlignment="1"/>
    <xf numFmtId="0" fontId="15" fillId="0" borderId="0" xfId="0" applyFont="1" applyBorder="1" applyAlignment="1" applyProtection="1"/>
    <xf numFmtId="0" fontId="14" fillId="0" borderId="24" xfId="0" applyFont="1" applyBorder="1" applyAlignment="1"/>
    <xf numFmtId="0" fontId="15" fillId="0" borderId="25" xfId="0" applyFont="1" applyBorder="1" applyAlignment="1" applyProtection="1">
      <alignment horizontal="center"/>
    </xf>
    <xf numFmtId="0" fontId="14" fillId="0" borderId="26" xfId="0" applyFont="1" applyBorder="1" applyAlignment="1"/>
    <xf numFmtId="0" fontId="15" fillId="0" borderId="62" xfId="0" applyFont="1" applyBorder="1" applyAlignment="1" applyProtection="1">
      <alignment horizontal="center"/>
    </xf>
    <xf numFmtId="0" fontId="15" fillId="0" borderId="62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9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Continuous" vertical="center"/>
    </xf>
    <xf numFmtId="0" fontId="8" fillId="5" borderId="26" xfId="0" applyFont="1" applyFill="1" applyBorder="1" applyAlignment="1">
      <alignment horizontal="centerContinuous" vertical="center"/>
    </xf>
    <xf numFmtId="0" fontId="37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8" fillId="5" borderId="72" xfId="0" applyFont="1" applyFill="1" applyBorder="1" applyAlignment="1" applyProtection="1">
      <alignment horizontal="center" vertical="center" textRotation="90" wrapText="1"/>
    </xf>
    <xf numFmtId="0" fontId="8" fillId="5" borderId="30" xfId="0" applyFont="1" applyFill="1" applyBorder="1" applyAlignment="1" applyProtection="1">
      <alignment horizontal="center" vertical="center" textRotation="90" wrapText="1"/>
    </xf>
    <xf numFmtId="0" fontId="8" fillId="5" borderId="72" xfId="0" applyFont="1" applyFill="1" applyBorder="1" applyAlignment="1" applyProtection="1">
      <alignment horizontal="center" textRotation="90" wrapText="1"/>
    </xf>
    <xf numFmtId="0" fontId="8" fillId="5" borderId="57" xfId="0" applyFont="1" applyFill="1" applyBorder="1" applyAlignment="1" applyProtection="1">
      <alignment horizontal="center" vertical="center" textRotation="90" wrapText="1"/>
    </xf>
    <xf numFmtId="0" fontId="8" fillId="5" borderId="58" xfId="0" applyFont="1" applyFill="1" applyBorder="1" applyAlignment="1" applyProtection="1">
      <alignment horizontal="center" vertical="center" textRotation="90" wrapText="1"/>
    </xf>
    <xf numFmtId="0" fontId="13" fillId="5" borderId="62" xfId="0" applyFont="1" applyFill="1" applyBorder="1" applyAlignment="1" applyProtection="1">
      <alignment horizontal="center" textRotation="90"/>
    </xf>
    <xf numFmtId="0" fontId="13" fillId="0" borderId="2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7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12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8" fillId="12" borderId="33" xfId="0" applyFont="1" applyFill="1" applyBorder="1" applyAlignment="1"/>
    <xf numFmtId="174" fontId="16" fillId="12" borderId="2" xfId="0" applyNumberFormat="1" applyFont="1" applyFill="1" applyBorder="1" applyAlignment="1" applyProtection="1"/>
    <xf numFmtId="174" fontId="16" fillId="12" borderId="6" xfId="0" applyNumberFormat="1" applyFont="1" applyFill="1" applyBorder="1" applyAlignment="1" applyProtection="1"/>
    <xf numFmtId="174" fontId="16" fillId="12" borderId="6" xfId="0" applyNumberFormat="1" applyFont="1" applyFill="1" applyBorder="1" applyAlignment="1"/>
    <xf numFmtId="174" fontId="8" fillId="2" borderId="33" xfId="0" applyNumberFormat="1" applyFont="1" applyFill="1" applyBorder="1" applyAlignment="1"/>
    <xf numFmtId="0" fontId="13" fillId="0" borderId="1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74" fontId="13" fillId="12" borderId="9" xfId="0" applyNumberFormat="1" applyFont="1" applyFill="1" applyBorder="1" applyAlignment="1">
      <alignment horizontal="center"/>
    </xf>
    <xf numFmtId="174" fontId="13" fillId="12" borderId="3" xfId="0" applyNumberFormat="1" applyFont="1" applyFill="1" applyBorder="1" applyAlignment="1">
      <alignment horizontal="center"/>
    </xf>
    <xf numFmtId="174" fontId="8" fillId="12" borderId="33" xfId="0" applyNumberFormat="1" applyFont="1" applyFill="1" applyBorder="1" applyAlignment="1"/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/>
    </xf>
    <xf numFmtId="174" fontId="16" fillId="12" borderId="12" xfId="0" applyNumberFormat="1" applyFont="1" applyFill="1" applyBorder="1" applyAlignment="1" applyProtection="1"/>
    <xf numFmtId="0" fontId="8" fillId="0" borderId="47" xfId="0" applyFont="1" applyBorder="1" applyAlignment="1">
      <alignment vertical="center"/>
    </xf>
    <xf numFmtId="174" fontId="16" fillId="12" borderId="12" xfId="0" applyNumberFormat="1" applyFont="1" applyFill="1" applyBorder="1" applyAlignment="1"/>
    <xf numFmtId="174" fontId="16" fillId="12" borderId="2" xfId="0" applyNumberFormat="1" applyFont="1" applyFill="1" applyBorder="1" applyAlignment="1"/>
    <xf numFmtId="0" fontId="13" fillId="0" borderId="34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174" fontId="13" fillId="2" borderId="12" xfId="0" applyNumberFormat="1" applyFont="1" applyFill="1" applyBorder="1" applyAlignment="1"/>
    <xf numFmtId="174" fontId="13" fillId="2" borderId="16" xfId="0" applyNumberFormat="1" applyFont="1" applyFill="1" applyBorder="1" applyAlignment="1"/>
    <xf numFmtId="174" fontId="13" fillId="2" borderId="33" xfId="0" applyNumberFormat="1" applyFont="1" applyFill="1" applyBorder="1" applyAlignment="1"/>
    <xf numFmtId="0" fontId="38" fillId="0" borderId="0" xfId="0" quotePrefix="1" applyFont="1" applyAlignment="1" applyProtection="1"/>
    <xf numFmtId="0" fontId="8" fillId="0" borderId="34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174" fontId="13" fillId="2" borderId="2" xfId="0" applyNumberFormat="1" applyFont="1" applyFill="1" applyBorder="1" applyAlignment="1"/>
    <xf numFmtId="174" fontId="13" fillId="2" borderId="6" xfId="0" applyNumberFormat="1" applyFont="1" applyFill="1" applyBorder="1" applyAlignment="1"/>
    <xf numFmtId="0" fontId="8" fillId="0" borderId="0" xfId="0" quotePrefix="1" applyFont="1" applyAlignment="1" applyProtection="1"/>
    <xf numFmtId="0" fontId="8" fillId="0" borderId="44" xfId="0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174" fontId="16" fillId="12" borderId="1" xfId="0" applyNumberFormat="1" applyFont="1" applyFill="1" applyBorder="1" applyAlignment="1"/>
    <xf numFmtId="174" fontId="8" fillId="12" borderId="1" xfId="0" applyNumberFormat="1" applyFont="1" applyFill="1" applyBorder="1" applyAlignment="1"/>
    <xf numFmtId="174" fontId="13" fillId="2" borderId="67" xfId="0" applyNumberFormat="1" applyFont="1" applyFill="1" applyBorder="1" applyAlignment="1"/>
    <xf numFmtId="0" fontId="38" fillId="0" borderId="0" xfId="0" applyFont="1" applyAlignment="1" applyProtection="1"/>
    <xf numFmtId="0" fontId="13" fillId="0" borderId="59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174" fontId="13" fillId="2" borderId="56" xfId="0" applyNumberFormat="1" applyFont="1" applyFill="1" applyBorder="1" applyAlignment="1"/>
    <xf numFmtId="174" fontId="13" fillId="2" borderId="57" xfId="0" applyNumberFormat="1" applyFont="1" applyFill="1" applyBorder="1" applyAlignment="1"/>
    <xf numFmtId="174" fontId="13" fillId="2" borderId="73" xfId="0" applyNumberFormat="1" applyFont="1" applyFill="1" applyBorder="1" applyAlignment="1"/>
    <xf numFmtId="174" fontId="13" fillId="2" borderId="62" xfId="0" applyNumberFormat="1" applyFont="1" applyFill="1" applyBorder="1" applyAlignment="1"/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9" borderId="24" xfId="0" applyFont="1" applyFill="1" applyBorder="1" applyAlignment="1">
      <alignment horizontal="left" vertical="center"/>
    </xf>
    <xf numFmtId="0" fontId="13" fillId="9" borderId="25" xfId="0" applyFont="1" applyFill="1" applyBorder="1" applyAlignment="1">
      <alignment horizontal="left" vertical="center"/>
    </xf>
    <xf numFmtId="0" fontId="13" fillId="9" borderId="25" xfId="0" applyFont="1" applyFill="1" applyBorder="1" applyAlignment="1" applyProtection="1">
      <alignment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9" borderId="28" xfId="0" applyFont="1" applyFill="1" applyBorder="1" applyAlignment="1" applyProtection="1">
      <alignment horizontal="center" vertical="center" wrapText="1"/>
    </xf>
    <xf numFmtId="0" fontId="37" fillId="0" borderId="17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9" borderId="27" xfId="0" applyFont="1" applyFill="1" applyBorder="1" applyAlignment="1" applyProtection="1">
      <alignment vertical="center" wrapText="1"/>
    </xf>
    <xf numFmtId="0" fontId="13" fillId="9" borderId="27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vertical="center"/>
    </xf>
    <xf numFmtId="0" fontId="8" fillId="0" borderId="74" xfId="0" applyFont="1" applyFill="1" applyBorder="1" applyAlignment="1" applyProtection="1"/>
    <xf numFmtId="174" fontId="16" fillId="10" borderId="33" xfId="0" applyNumberFormat="1" applyFont="1" applyFill="1" applyBorder="1" applyAlignment="1" applyProtection="1">
      <protection locked="0"/>
    </xf>
    <xf numFmtId="174" fontId="8" fillId="2" borderId="64" xfId="0" applyNumberFormat="1" applyFont="1" applyFill="1" applyBorder="1" applyAlignment="1"/>
    <xf numFmtId="0" fontId="8" fillId="0" borderId="66" xfId="0" applyFont="1" applyFill="1" applyBorder="1" applyAlignment="1" applyProtection="1"/>
    <xf numFmtId="174" fontId="16" fillId="10" borderId="65" xfId="0" applyNumberFormat="1" applyFont="1" applyFill="1" applyBorder="1" applyAlignment="1" applyProtection="1">
      <protection locked="0"/>
    </xf>
    <xf numFmtId="174" fontId="8" fillId="2" borderId="65" xfId="0" applyNumberFormat="1" applyFont="1" applyFill="1" applyBorder="1" applyAlignment="1"/>
    <xf numFmtId="0" fontId="8" fillId="0" borderId="6" xfId="0" applyFont="1" applyFill="1" applyBorder="1" applyAlignment="1" applyProtection="1"/>
    <xf numFmtId="0" fontId="8" fillId="0" borderId="66" xfId="0" applyFont="1" applyBorder="1" applyAlignment="1" applyProtection="1"/>
    <xf numFmtId="0" fontId="8" fillId="0" borderId="6" xfId="0" applyFont="1" applyBorder="1" applyAlignment="1" applyProtection="1"/>
    <xf numFmtId="0" fontId="8" fillId="0" borderId="66" xfId="0" applyFont="1" applyBorder="1" applyAlignment="1" applyProtection="1">
      <alignment vertical="center"/>
    </xf>
    <xf numFmtId="0" fontId="8" fillId="0" borderId="74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174" fontId="8" fillId="2" borderId="62" xfId="0" applyNumberFormat="1" applyFont="1" applyFill="1" applyBorder="1" applyAlignment="1"/>
    <xf numFmtId="0" fontId="8" fillId="0" borderId="17" xfId="0" applyFont="1" applyBorder="1" applyAlignment="1"/>
    <xf numFmtId="0" fontId="13" fillId="9" borderId="24" xfId="0" applyFont="1" applyFill="1" applyBorder="1" applyAlignment="1">
      <alignment horizontal="left" vertical="center"/>
    </xf>
    <xf numFmtId="0" fontId="0" fillId="9" borderId="25" xfId="0" applyFill="1" applyBorder="1" applyAlignment="1"/>
    <xf numFmtId="0" fontId="15" fillId="9" borderId="62" xfId="0" applyFont="1" applyFill="1" applyBorder="1" applyAlignment="1" applyProtection="1">
      <alignment horizontal="center" wrapText="1"/>
    </xf>
    <xf numFmtId="0" fontId="29" fillId="0" borderId="24" xfId="0" applyFont="1" applyBorder="1" applyAlignment="1">
      <alignment vertical="center"/>
    </xf>
    <xf numFmtId="0" fontId="0" fillId="0" borderId="25" xfId="0" applyBorder="1" applyAlignment="1"/>
    <xf numFmtId="0" fontId="14" fillId="0" borderId="52" xfId="0" applyFont="1" applyBorder="1" applyAlignment="1" applyProtection="1"/>
    <xf numFmtId="0" fontId="14" fillId="0" borderId="18" xfId="0" applyFont="1" applyBorder="1" applyAlignment="1" applyProtection="1">
      <alignment wrapText="1"/>
    </xf>
    <xf numFmtId="174" fontId="13" fillId="2" borderId="63" xfId="0" applyNumberFormat="1" applyFont="1" applyFill="1" applyBorder="1" applyAlignment="1"/>
    <xf numFmtId="0" fontId="14" fillId="0" borderId="71" xfId="0" applyFont="1" applyBorder="1" applyAlignment="1" applyProtection="1"/>
    <xf numFmtId="0" fontId="14" fillId="0" borderId="16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54" xfId="0" applyFont="1" applyBorder="1" applyAlignment="1" applyProtection="1"/>
    <xf numFmtId="0" fontId="14" fillId="0" borderId="69" xfId="0" applyFont="1" applyBorder="1" applyAlignment="1" applyProtection="1">
      <alignment wrapText="1"/>
    </xf>
    <xf numFmtId="174" fontId="13" fillId="2" borderId="65" xfId="0" applyNumberFormat="1" applyFont="1" applyFill="1" applyBorder="1" applyAlignment="1"/>
    <xf numFmtId="0" fontId="15" fillId="0" borderId="24" xfId="0" applyFont="1" applyBorder="1" applyAlignment="1" applyProtection="1"/>
    <xf numFmtId="0" fontId="15" fillId="0" borderId="25" xfId="0" applyFont="1" applyBorder="1" applyAlignment="1" applyProtection="1">
      <alignment wrapText="1"/>
    </xf>
    <xf numFmtId="0" fontId="14" fillId="0" borderId="17" xfId="0" applyFont="1" applyBorder="1" applyAlignment="1"/>
    <xf numFmtId="174" fontId="0" fillId="2" borderId="62" xfId="0" applyNumberFormat="1" applyFill="1" applyBorder="1" applyAlignment="1"/>
    <xf numFmtId="0" fontId="15" fillId="0" borderId="0" xfId="0" applyFont="1" applyBorder="1" applyAlignment="1" applyProtection="1">
      <alignment wrapText="1"/>
    </xf>
    <xf numFmtId="0" fontId="39" fillId="0" borderId="0" xfId="0" applyFont="1" applyFill="1" applyBorder="1" applyAlignment="1"/>
    <xf numFmtId="174" fontId="13" fillId="0" borderId="62" xfId="0" applyNumberFormat="1" applyFont="1" applyFill="1" applyBorder="1" applyAlignment="1"/>
    <xf numFmtId="174" fontId="8" fillId="0" borderId="33" xfId="0" applyNumberFormat="1" applyFont="1" applyFill="1" applyBorder="1" applyAlignment="1" applyProtection="1">
      <protection locked="0"/>
    </xf>
    <xf numFmtId="0" fontId="29" fillId="6" borderId="13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25" xfId="0" applyFont="1" applyFill="1" applyBorder="1" applyAlignment="1" applyProtection="1">
      <alignment horizontal="center" wrapText="1"/>
    </xf>
    <xf numFmtId="0" fontId="13" fillId="6" borderId="26" xfId="0" applyFont="1" applyFill="1" applyBorder="1" applyAlignment="1" applyProtection="1">
      <alignment horizontal="center" wrapText="1"/>
    </xf>
    <xf numFmtId="0" fontId="37" fillId="0" borderId="13" xfId="0" applyFont="1" applyFill="1" applyBorder="1" applyAlignment="1"/>
    <xf numFmtId="0" fontId="13" fillId="6" borderId="23" xfId="0" applyFont="1" applyFill="1" applyBorder="1" applyAlignment="1" applyProtection="1">
      <alignment horizontal="center" wrapText="1"/>
    </xf>
    <xf numFmtId="0" fontId="13" fillId="6" borderId="35" xfId="0" applyFont="1" applyFill="1" applyBorder="1" applyAlignment="1" applyProtection="1">
      <alignment horizontal="center" wrapText="1"/>
    </xf>
    <xf numFmtId="0" fontId="13" fillId="0" borderId="20" xfId="0" applyFont="1" applyFill="1" applyBorder="1" applyAlignment="1">
      <alignment vertical="center"/>
    </xf>
    <xf numFmtId="0" fontId="8" fillId="0" borderId="23" xfId="0" applyFont="1" applyFill="1" applyBorder="1" applyAlignment="1"/>
    <xf numFmtId="0" fontId="13" fillId="0" borderId="26" xfId="0" applyFont="1" applyBorder="1" applyAlignment="1">
      <alignment horizontal="center"/>
    </xf>
    <xf numFmtId="0" fontId="8" fillId="0" borderId="52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wrapText="1"/>
    </xf>
    <xf numFmtId="0" fontId="8" fillId="0" borderId="71" xfId="0" applyFont="1" applyBorder="1" applyAlignment="1" applyProtection="1">
      <alignment horizontal="left"/>
    </xf>
    <xf numFmtId="0" fontId="14" fillId="0" borderId="0" xfId="0" applyFont="1" applyFill="1" applyBorder="1" applyAlignment="1"/>
    <xf numFmtId="0" fontId="15" fillId="0" borderId="21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 applyProtection="1"/>
    <xf numFmtId="0" fontId="15" fillId="0" borderId="62" xfId="0" applyFont="1" applyFill="1" applyBorder="1" applyAlignment="1">
      <alignment horizontal="center"/>
    </xf>
    <xf numFmtId="0" fontId="15" fillId="0" borderId="19" xfId="0" applyFont="1" applyFill="1" applyBorder="1" applyAlignment="1" applyProtection="1">
      <alignment horizontal="center"/>
    </xf>
    <xf numFmtId="0" fontId="14" fillId="0" borderId="17" xfId="0" applyFont="1" applyBorder="1" applyAlignment="1" applyProtection="1"/>
    <xf numFmtId="0" fontId="14" fillId="0" borderId="0" xfId="0" applyFont="1" applyBorder="1" applyAlignment="1"/>
    <xf numFmtId="174" fontId="14" fillId="0" borderId="0" xfId="0" applyNumberFormat="1" applyFont="1" applyFill="1" applyBorder="1" applyAlignment="1"/>
    <xf numFmtId="174" fontId="15" fillId="0" borderId="62" xfId="0" applyNumberFormat="1" applyFont="1" applyFill="1" applyBorder="1" applyAlignment="1">
      <alignment horizontal="center"/>
    </xf>
    <xf numFmtId="0" fontId="14" fillId="0" borderId="17" xfId="0" applyFont="1" applyFill="1" applyBorder="1" applyAlignment="1"/>
    <xf numFmtId="0" fontId="14" fillId="0" borderId="22" xfId="0" applyFont="1" applyFill="1" applyBorder="1" applyAlignment="1"/>
    <xf numFmtId="0" fontId="19" fillId="0" borderId="0" xfId="0" applyFont="1" applyFill="1" applyBorder="1" applyAlignment="1">
      <alignment horizontal="center"/>
    </xf>
    <xf numFmtId="174" fontId="14" fillId="0" borderId="22" xfId="0" applyNumberFormat="1" applyFont="1" applyFill="1" applyBorder="1" applyAlignment="1"/>
    <xf numFmtId="0" fontId="14" fillId="0" borderId="25" xfId="0" applyFont="1" applyFill="1" applyBorder="1" applyAlignment="1"/>
    <xf numFmtId="174" fontId="14" fillId="0" borderId="62" xfId="0" applyNumberFormat="1" applyFont="1" applyFill="1" applyBorder="1" applyAlignment="1">
      <alignment horizontal="center" wrapText="1"/>
    </xf>
    <xf numFmtId="174" fontId="35" fillId="0" borderId="62" xfId="0" applyNumberFormat="1" applyFont="1" applyFill="1" applyBorder="1" applyAlignment="1">
      <alignment horizontal="center"/>
    </xf>
    <xf numFmtId="174" fontId="35" fillId="0" borderId="62" xfId="0" applyNumberFormat="1" applyFont="1" applyFill="1" applyBorder="1" applyAlignment="1">
      <alignment horizontal="center" textRotation="90" wrapText="1"/>
    </xf>
    <xf numFmtId="174" fontId="35" fillId="0" borderId="27" xfId="0" applyNumberFormat="1" applyFont="1" applyFill="1" applyBorder="1" applyAlignment="1">
      <alignment horizontal="center"/>
    </xf>
    <xf numFmtId="174" fontId="35" fillId="0" borderId="27" xfId="0" applyNumberFormat="1" applyFont="1" applyFill="1" applyBorder="1" applyAlignment="1">
      <alignment horizontal="center" textRotation="90" wrapText="1"/>
    </xf>
    <xf numFmtId="0" fontId="14" fillId="0" borderId="0" xfId="0" applyFont="1" applyBorder="1" applyAlignment="1">
      <alignment horizontal="left"/>
    </xf>
    <xf numFmtId="0" fontId="14" fillId="0" borderId="20" xfId="0" applyFont="1" applyBorder="1" applyAlignment="1"/>
    <xf numFmtId="0" fontId="14" fillId="0" borderId="21" xfId="0" applyFont="1" applyBorder="1" applyAlignment="1"/>
    <xf numFmtId="0" fontId="14" fillId="0" borderId="21" xfId="0" applyFont="1" applyFill="1" applyBorder="1" applyAlignment="1"/>
    <xf numFmtId="0" fontId="14" fillId="0" borderId="14" xfId="0" applyFont="1" applyBorder="1" applyAlignment="1" applyProtection="1">
      <alignment horizontal="left" indent="1"/>
    </xf>
    <xf numFmtId="174" fontId="14" fillId="0" borderId="14" xfId="0" applyNumberFormat="1" applyFont="1" applyFill="1" applyBorder="1" applyAlignment="1"/>
    <xf numFmtId="0" fontId="14" fillId="0" borderId="19" xfId="0" applyFont="1" applyFill="1" applyBorder="1" applyAlignment="1"/>
    <xf numFmtId="0" fontId="14" fillId="0" borderId="0" xfId="0" applyFont="1" applyBorder="1" applyAlignment="1" applyProtection="1">
      <alignment horizontal="left" indent="1"/>
    </xf>
    <xf numFmtId="0" fontId="14" fillId="0" borderId="0" xfId="0" applyFont="1" applyBorder="1" applyAlignment="1">
      <alignment horizontal="left" indent="1"/>
    </xf>
    <xf numFmtId="174" fontId="35" fillId="0" borderId="0" xfId="0" applyNumberFormat="1" applyFont="1" applyFill="1" applyBorder="1" applyAlignment="1"/>
    <xf numFmtId="174" fontId="14" fillId="0" borderId="21" xfId="0" applyNumberFormat="1" applyFont="1" applyFill="1" applyBorder="1" applyAlignment="1"/>
    <xf numFmtId="174" fontId="35" fillId="0" borderId="21" xfId="0" applyNumberFormat="1" applyFont="1" applyFill="1" applyBorder="1" applyAlignment="1"/>
    <xf numFmtId="0" fontId="14" fillId="0" borderId="23" xfId="0" applyFont="1" applyFill="1" applyBorder="1" applyAlignment="1"/>
    <xf numFmtId="0" fontId="14" fillId="0" borderId="13" xfId="0" applyFont="1" applyBorder="1" applyAlignment="1"/>
    <xf numFmtId="0" fontId="14" fillId="0" borderId="14" xfId="0" applyFont="1" applyBorder="1" applyAlignment="1"/>
    <xf numFmtId="0" fontId="14" fillId="0" borderId="14" xfId="0" applyFont="1" applyFill="1" applyBorder="1" applyAlignment="1"/>
    <xf numFmtId="174" fontId="35" fillId="0" borderId="14" xfId="0" applyNumberFormat="1" applyFont="1" applyFill="1" applyBorder="1" applyAlignment="1"/>
    <xf numFmtId="174" fontId="14" fillId="0" borderId="19" xfId="0" applyNumberFormat="1" applyFont="1" applyFill="1" applyBorder="1" applyAlignment="1"/>
    <xf numFmtId="174" fontId="15" fillId="0" borderId="22" xfId="0" applyNumberFormat="1" applyFont="1" applyFill="1" applyBorder="1" applyAlignment="1">
      <alignment horizontal="center"/>
    </xf>
    <xf numFmtId="174" fontId="15" fillId="0" borderId="0" xfId="0" applyNumberFormat="1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>
      <alignment horizontal="right"/>
    </xf>
    <xf numFmtId="0" fontId="15" fillId="0" borderId="14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 indent="1"/>
    </xf>
    <xf numFmtId="0" fontId="15" fillId="0" borderId="0" xfId="0" applyFont="1" applyBorder="1" applyAlignment="1" applyProtection="1">
      <alignment horizontal="right"/>
    </xf>
    <xf numFmtId="178" fontId="15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78" fontId="15" fillId="0" borderId="4" xfId="0" applyNumberFormat="1" applyFont="1" applyBorder="1" applyAlignment="1"/>
    <xf numFmtId="178" fontId="15" fillId="0" borderId="4" xfId="0" applyNumberFormat="1" applyFont="1" applyBorder="1" applyAlignment="1">
      <alignment horizontal="center"/>
    </xf>
    <xf numFmtId="178" fontId="15" fillId="0" borderId="10" xfId="0" applyNumberFormat="1" applyFont="1" applyBorder="1" applyAlignment="1">
      <alignment horizontal="center"/>
    </xf>
    <xf numFmtId="178" fontId="40" fillId="10" borderId="3" xfId="0" applyNumberFormat="1" applyFont="1" applyFill="1" applyBorder="1" applyAlignment="1" applyProtection="1">
      <alignment horizontal="left"/>
      <protection locked="0"/>
    </xf>
    <xf numFmtId="178" fontId="40" fillId="10" borderId="1" xfId="0" applyNumberFormat="1" applyFont="1" applyFill="1" applyBorder="1" applyAlignment="1" applyProtection="1">
      <alignment horizontal="left"/>
      <protection locked="0"/>
    </xf>
    <xf numFmtId="178" fontId="40" fillId="10" borderId="4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/>
    <xf numFmtId="0" fontId="15" fillId="0" borderId="21" xfId="0" applyFont="1" applyBorder="1" applyAlignment="1" applyProtection="1">
      <alignment horizontal="right"/>
    </xf>
    <xf numFmtId="0" fontId="19" fillId="0" borderId="21" xfId="0" quotePrefix="1" applyFont="1" applyBorder="1" applyAlignment="1" applyProtection="1">
      <alignment horizontal="center"/>
    </xf>
    <xf numFmtId="0" fontId="19" fillId="0" borderId="21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right"/>
    </xf>
    <xf numFmtId="0" fontId="15" fillId="0" borderId="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4" fontId="23" fillId="0" borderId="22" xfId="0" applyNumberFormat="1" applyFont="1" applyFill="1" applyBorder="1" applyAlignment="1" applyProtection="1">
      <protection locked="0"/>
    </xf>
    <xf numFmtId="174" fontId="23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left"/>
    </xf>
    <xf numFmtId="174" fontId="14" fillId="0" borderId="0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>
      <protection locked="0"/>
    </xf>
    <xf numFmtId="174" fontId="15" fillId="0" borderId="22" xfId="0" applyNumberFormat="1" applyFont="1" applyFill="1" applyBorder="1" applyAlignment="1" applyProtection="1"/>
    <xf numFmtId="1" fontId="8" fillId="0" borderId="0" xfId="4" applyNumberFormat="1" applyFont="1" applyProtection="1"/>
    <xf numFmtId="1" fontId="8" fillId="0" borderId="0" xfId="4" applyNumberFormat="1" applyFont="1" applyAlignment="1" applyProtection="1">
      <alignment horizontal="center"/>
    </xf>
    <xf numFmtId="0" fontId="8" fillId="0" borderId="0" xfId="10" applyFont="1" applyProtection="1"/>
    <xf numFmtId="0" fontId="8" fillId="0" borderId="0" xfId="13" applyFont="1" applyFill="1" applyBorder="1" applyAlignment="1" applyProtection="1">
      <alignment horizontal="center" vertical="center"/>
    </xf>
    <xf numFmtId="0" fontId="8" fillId="0" borderId="13" xfId="13" applyFont="1" applyFill="1" applyBorder="1" applyAlignment="1" applyProtection="1">
      <alignment horizontal="left" vertical="center"/>
    </xf>
    <xf numFmtId="0" fontId="13" fillId="0" borderId="13" xfId="13" applyFont="1" applyFill="1" applyBorder="1" applyAlignment="1" applyProtection="1">
      <alignment horizontal="center" vertical="center"/>
    </xf>
    <xf numFmtId="0" fontId="13" fillId="0" borderId="13" xfId="13" applyFont="1" applyFill="1" applyBorder="1" applyAlignment="1" applyProtection="1">
      <alignment horizontal="left" vertical="center"/>
    </xf>
    <xf numFmtId="1" fontId="8" fillId="0" borderId="27" xfId="10" applyNumberFormat="1" applyFont="1" applyFill="1" applyBorder="1" applyAlignment="1" applyProtection="1">
      <alignment horizontal="center"/>
    </xf>
    <xf numFmtId="0" fontId="8" fillId="0" borderId="14" xfId="13" applyFont="1" applyFill="1" applyBorder="1" applyAlignment="1" applyProtection="1">
      <alignment horizontal="center" vertical="center"/>
    </xf>
    <xf numFmtId="0" fontId="8" fillId="0" borderId="28" xfId="13" applyFont="1" applyFill="1" applyBorder="1" applyAlignment="1" applyProtection="1">
      <alignment horizontal="left" vertical="center" indent="1"/>
    </xf>
    <xf numFmtId="0" fontId="0" fillId="0" borderId="28" xfId="0" applyBorder="1" applyAlignment="1">
      <alignment horizontal="center"/>
    </xf>
    <xf numFmtId="0" fontId="8" fillId="14" borderId="34" xfId="13" applyFont="1" applyFill="1" applyBorder="1" applyAlignment="1" applyProtection="1">
      <alignment horizontal="center" vertical="center"/>
    </xf>
    <xf numFmtId="0" fontId="8" fillId="14" borderId="2" xfId="13" applyFont="1" applyFill="1" applyBorder="1" applyAlignment="1" applyProtection="1">
      <alignment horizontal="center" vertical="center"/>
    </xf>
    <xf numFmtId="0" fontId="16" fillId="10" borderId="2" xfId="13" applyFont="1" applyFill="1" applyBorder="1" applyAlignment="1" applyProtection="1">
      <alignment horizontal="center" vertical="center"/>
      <protection locked="0"/>
    </xf>
    <xf numFmtId="168" fontId="16" fillId="0" borderId="35" xfId="10" applyNumberFormat="1" applyFont="1" applyFill="1" applyBorder="1" applyProtection="1"/>
    <xf numFmtId="1" fontId="13" fillId="0" borderId="20" xfId="10" applyNumberFormat="1" applyFont="1" applyBorder="1" applyProtection="1"/>
    <xf numFmtId="1" fontId="13" fillId="0" borderId="21" xfId="10" applyNumberFormat="1" applyFont="1" applyBorder="1" applyProtection="1"/>
    <xf numFmtId="0" fontId="13" fillId="0" borderId="27" xfId="13" applyFont="1" applyFill="1" applyBorder="1" applyAlignment="1" applyProtection="1">
      <alignment horizontal="left" vertical="center"/>
    </xf>
    <xf numFmtId="0" fontId="8" fillId="0" borderId="17" xfId="13" applyFont="1" applyFill="1" applyBorder="1" applyAlignment="1" applyProtection="1">
      <alignment horizontal="center" vertical="center"/>
    </xf>
    <xf numFmtId="0" fontId="0" fillId="0" borderId="28" xfId="0" applyBorder="1" applyAlignment="1"/>
    <xf numFmtId="0" fontId="15" fillId="0" borderId="17" xfId="0" applyFont="1" applyFill="1" applyBorder="1" applyAlignment="1" applyProtection="1"/>
    <xf numFmtId="168" fontId="14" fillId="2" borderId="56" xfId="0" applyNumberFormat="1" applyFont="1" applyFill="1" applyBorder="1" applyAlignment="1" applyProtection="1">
      <alignment horizontal="right"/>
    </xf>
    <xf numFmtId="164" fontId="8" fillId="0" borderId="2" xfId="13" applyNumberFormat="1" applyFont="1" applyFill="1" applyBorder="1" applyAlignment="1" applyProtection="1">
      <alignment horizontal="right" vertical="center"/>
    </xf>
    <xf numFmtId="0" fontId="0" fillId="0" borderId="2" xfId="0" applyBorder="1" applyAlignment="1"/>
    <xf numFmtId="0" fontId="41" fillId="0" borderId="75" xfId="0" applyFont="1" applyBorder="1" applyProtection="1">
      <protection locked="0"/>
    </xf>
    <xf numFmtId="0" fontId="4" fillId="14" borderId="0" xfId="0" applyFont="1" applyFill="1" applyAlignment="1">
      <alignment horizontal="center" vertical="center" wrapText="1"/>
    </xf>
    <xf numFmtId="0" fontId="4" fillId="14" borderId="0" xfId="0" applyFont="1" applyFill="1" applyAlignment="1">
      <alignment vertical="center" wrapText="1"/>
    </xf>
    <xf numFmtId="179" fontId="0" fillId="15" borderId="0" xfId="0" applyNumberFormat="1" applyFill="1" applyProtection="1">
      <protection locked="0"/>
    </xf>
    <xf numFmtId="180" fontId="1" fillId="4" borderId="0" xfId="0" applyNumberFormat="1" applyFont="1" applyFill="1" applyAlignment="1" applyProtection="1">
      <alignment horizontal="center"/>
      <protection locked="0"/>
    </xf>
    <xf numFmtId="0" fontId="42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4" fillId="10" borderId="76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43" fillId="0" borderId="0" xfId="0" applyFont="1" applyBorder="1"/>
    <xf numFmtId="0" fontId="44" fillId="0" borderId="0" xfId="0" applyFont="1" applyBorder="1"/>
    <xf numFmtId="0" fontId="45" fillId="0" borderId="0" xfId="3" applyFont="1" applyAlignment="1" applyProtection="1"/>
    <xf numFmtId="0" fontId="46" fillId="0" borderId="0" xfId="0" applyFont="1" applyBorder="1"/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48" fillId="0" borderId="0" xfId="0" applyFont="1"/>
    <xf numFmtId="0" fontId="47" fillId="0" borderId="0" xfId="0" applyFont="1" applyAlignment="1"/>
    <xf numFmtId="0" fontId="47" fillId="0" borderId="0" xfId="0" applyFont="1" applyFill="1" applyBorder="1" applyAlignment="1"/>
    <xf numFmtId="0" fontId="47" fillId="0" borderId="0" xfId="0" applyFont="1" applyBorder="1" applyAlignment="1"/>
    <xf numFmtId="0" fontId="47" fillId="0" borderId="13" xfId="0" applyFont="1" applyBorder="1" applyAlignment="1"/>
    <xf numFmtId="0" fontId="47" fillId="0" borderId="14" xfId="0" applyFont="1" applyFill="1" applyBorder="1" applyAlignment="1"/>
    <xf numFmtId="0" fontId="47" fillId="0" borderId="14" xfId="0" applyFont="1" applyBorder="1" applyAlignment="1">
      <alignment horizontal="center"/>
    </xf>
    <xf numFmtId="0" fontId="47" fillId="0" borderId="19" xfId="0" applyFont="1" applyFill="1" applyBorder="1" applyAlignment="1"/>
    <xf numFmtId="0" fontId="47" fillId="0" borderId="17" xfId="0" applyFont="1" applyBorder="1" applyAlignment="1"/>
    <xf numFmtId="0" fontId="47" fillId="0" borderId="22" xfId="0" applyFont="1" applyFill="1" applyBorder="1" applyAlignment="1"/>
    <xf numFmtId="0" fontId="47" fillId="0" borderId="17" xfId="0" applyFont="1" applyBorder="1" applyAlignment="1" applyProtection="1"/>
    <xf numFmtId="0" fontId="47" fillId="0" borderId="0" xfId="0" applyFont="1" applyFill="1" applyBorder="1" applyAlignment="1" applyProtection="1"/>
    <xf numFmtId="0" fontId="47" fillId="0" borderId="13" xfId="0" applyFont="1" applyFill="1" applyBorder="1" applyAlignment="1" applyProtection="1"/>
    <xf numFmtId="174" fontId="16" fillId="10" borderId="17" xfId="0" applyNumberFormat="1" applyFont="1" applyFill="1" applyBorder="1" applyAlignment="1" applyProtection="1">
      <protection locked="0"/>
    </xf>
    <xf numFmtId="174" fontId="8" fillId="0" borderId="22" xfId="0" applyNumberFormat="1" applyFont="1" applyFill="1" applyBorder="1" applyAlignment="1" applyProtection="1"/>
    <xf numFmtId="174" fontId="47" fillId="0" borderId="22" xfId="0" applyNumberFormat="1" applyFont="1" applyFill="1" applyBorder="1" applyAlignment="1"/>
    <xf numFmtId="174" fontId="47" fillId="0" borderId="0" xfId="0" applyNumberFormat="1" applyFont="1" applyFill="1" applyBorder="1" applyAlignment="1"/>
    <xf numFmtId="174" fontId="8" fillId="0" borderId="17" xfId="0" applyNumberFormat="1" applyFont="1" applyFill="1" applyBorder="1" applyAlignment="1" applyProtection="1"/>
    <xf numFmtId="174" fontId="16" fillId="0" borderId="22" xfId="0" applyNumberFormat="1" applyFont="1" applyFill="1" applyBorder="1" applyAlignment="1" applyProtection="1"/>
    <xf numFmtId="0" fontId="47" fillId="0" borderId="0" xfId="0" applyFont="1" applyBorder="1" applyAlignment="1" applyProtection="1">
      <alignment horizontal="left"/>
    </xf>
    <xf numFmtId="174" fontId="8" fillId="0" borderId="20" xfId="0" applyNumberFormat="1" applyFont="1" applyFill="1" applyBorder="1" applyAlignment="1" applyProtection="1"/>
    <xf numFmtId="174" fontId="13" fillId="2" borderId="77" xfId="0" applyNumberFormat="1" applyFont="1" applyFill="1" applyBorder="1" applyAlignment="1" applyProtection="1"/>
    <xf numFmtId="0" fontId="47" fillId="0" borderId="20" xfId="0" applyFont="1" applyBorder="1" applyAlignment="1"/>
    <xf numFmtId="0" fontId="47" fillId="0" borderId="21" xfId="0" applyFont="1" applyFill="1" applyBorder="1" applyAlignment="1"/>
    <xf numFmtId="0" fontId="47" fillId="0" borderId="21" xfId="0" applyFont="1" applyBorder="1" applyAlignment="1"/>
    <xf numFmtId="174" fontId="47" fillId="0" borderId="21" xfId="0" applyNumberFormat="1" applyFont="1" applyFill="1" applyBorder="1" applyAlignment="1"/>
    <xf numFmtId="174" fontId="47" fillId="0" borderId="23" xfId="0" applyNumberFormat="1" applyFont="1" applyFill="1" applyBorder="1" applyAlignment="1"/>
    <xf numFmtId="0" fontId="47" fillId="0" borderId="14" xfId="0" applyFont="1" applyBorder="1" applyAlignment="1"/>
    <xf numFmtId="174" fontId="47" fillId="0" borderId="14" xfId="0" applyNumberFormat="1" applyFont="1" applyFill="1" applyBorder="1" applyAlignment="1"/>
    <xf numFmtId="0" fontId="47" fillId="0" borderId="17" xfId="0" applyFont="1" applyFill="1" applyBorder="1" applyAlignment="1"/>
    <xf numFmtId="174" fontId="16" fillId="10" borderId="28" xfId="0" applyNumberFormat="1" applyFont="1" applyFill="1" applyBorder="1" applyAlignment="1" applyProtection="1">
      <protection locked="0"/>
    </xf>
    <xf numFmtId="174" fontId="13" fillId="2" borderId="78" xfId="0" applyNumberFormat="1" applyFont="1" applyFill="1" applyBorder="1" applyAlignment="1" applyProtection="1">
      <protection locked="0"/>
    </xf>
    <xf numFmtId="178" fontId="49" fillId="10" borderId="3" xfId="0" applyNumberFormat="1" applyFont="1" applyFill="1" applyBorder="1" applyAlignment="1" applyProtection="1">
      <alignment horizontal="left"/>
      <protection locked="0"/>
    </xf>
    <xf numFmtId="174" fontId="16" fillId="10" borderId="8" xfId="0" applyNumberFormat="1" applyFont="1" applyFill="1" applyBorder="1" applyAlignment="1" applyProtection="1">
      <alignment horizontal="right"/>
      <protection locked="0"/>
    </xf>
    <xf numFmtId="174" fontId="8" fillId="2" borderId="3" xfId="12" applyNumberFormat="1" applyFont="1" applyFill="1" applyBorder="1"/>
    <xf numFmtId="167" fontId="13" fillId="2" borderId="2" xfId="0" applyNumberFormat="1" applyFont="1" applyFill="1" applyBorder="1" applyAlignment="1"/>
    <xf numFmtId="174" fontId="13" fillId="2" borderId="33" xfId="0" applyNumberFormat="1" applyFont="1" applyFill="1" applyBorder="1" applyAlignment="1" applyProtection="1"/>
    <xf numFmtId="174" fontId="16" fillId="12" borderId="27" xfId="0" applyNumberFormat="1" applyFont="1" applyFill="1" applyBorder="1" applyAlignment="1" applyProtection="1"/>
    <xf numFmtId="174" fontId="16" fillId="10" borderId="35" xfId="0" applyNumberFormat="1" applyFont="1" applyFill="1" applyBorder="1" applyAlignment="1" applyProtection="1">
      <protection locked="0"/>
    </xf>
    <xf numFmtId="174" fontId="13" fillId="2" borderId="78" xfId="0" applyNumberFormat="1" applyFont="1" applyFill="1" applyBorder="1" applyAlignment="1" applyProtection="1"/>
    <xf numFmtId="174" fontId="8" fillId="2" borderId="27" xfId="0" applyNumberFormat="1" applyFont="1" applyFill="1" applyBorder="1" applyAlignment="1" applyProtection="1"/>
    <xf numFmtId="174" fontId="16" fillId="10" borderId="29" xfId="0" applyNumberFormat="1" applyFont="1" applyFill="1" applyBorder="1" applyAlignment="1" applyProtection="1">
      <protection locked="0"/>
    </xf>
    <xf numFmtId="174" fontId="16" fillId="10" borderId="72" xfId="0" applyNumberFormat="1" applyFont="1" applyFill="1" applyBorder="1" applyAlignment="1" applyProtection="1">
      <protection locked="0"/>
    </xf>
    <xf numFmtId="174" fontId="16" fillId="10" borderId="79" xfId="0" applyNumberFormat="1" applyFont="1" applyFill="1" applyBorder="1" applyAlignment="1" applyProtection="1">
      <protection locked="0"/>
    </xf>
    <xf numFmtId="174" fontId="8" fillId="2" borderId="35" xfId="0" applyNumberFormat="1" applyFont="1" applyFill="1" applyBorder="1" applyAlignment="1" applyProtection="1"/>
    <xf numFmtId="174" fontId="16" fillId="10" borderId="36" xfId="0" applyNumberFormat="1" applyFont="1" applyFill="1" applyBorder="1" applyAlignment="1" applyProtection="1">
      <protection locked="0"/>
    </xf>
    <xf numFmtId="174" fontId="16" fillId="10" borderId="80" xfId="0" applyNumberFormat="1" applyFont="1" applyFill="1" applyBorder="1" applyAlignment="1" applyProtection="1">
      <protection locked="0"/>
    </xf>
    <xf numFmtId="174" fontId="16" fillId="10" borderId="61" xfId="0" applyNumberFormat="1" applyFont="1" applyFill="1" applyBorder="1" applyAlignment="1" applyProtection="1">
      <protection locked="0"/>
    </xf>
    <xf numFmtId="174" fontId="8" fillId="2" borderId="28" xfId="0" applyNumberFormat="1" applyFont="1" applyFill="1" applyBorder="1" applyAlignment="1" applyProtection="1"/>
    <xf numFmtId="174" fontId="16" fillId="10" borderId="32" xfId="0" applyNumberFormat="1" applyFont="1" applyFill="1" applyBorder="1" applyAlignment="1" applyProtection="1">
      <protection locked="0"/>
    </xf>
    <xf numFmtId="174" fontId="16" fillId="10" borderId="9" xfId="0" applyNumberFormat="1" applyFont="1" applyFill="1" applyBorder="1" applyAlignment="1" applyProtection="1">
      <protection locked="0"/>
    </xf>
    <xf numFmtId="174" fontId="16" fillId="10" borderId="3" xfId="0" applyNumberFormat="1" applyFont="1" applyFill="1" applyBorder="1" applyAlignment="1" applyProtection="1">
      <protection locked="0"/>
    </xf>
    <xf numFmtId="174" fontId="16" fillId="10" borderId="22" xfId="0" applyNumberFormat="1" applyFont="1" applyFill="1" applyBorder="1" applyAlignment="1" applyProtection="1">
      <protection locked="0"/>
    </xf>
    <xf numFmtId="174" fontId="16" fillId="10" borderId="46" xfId="0" applyNumberFormat="1" applyFont="1" applyFill="1" applyBorder="1" applyAlignment="1" applyProtection="1">
      <protection locked="0"/>
    </xf>
    <xf numFmtId="174" fontId="16" fillId="10" borderId="11" xfId="0" applyNumberFormat="1" applyFont="1" applyFill="1" applyBorder="1" applyAlignment="1" applyProtection="1">
      <protection locked="0"/>
    </xf>
    <xf numFmtId="174" fontId="16" fillId="10" borderId="4" xfId="0" applyNumberFormat="1" applyFont="1" applyFill="1" applyBorder="1" applyAlignment="1" applyProtection="1">
      <protection locked="0"/>
    </xf>
    <xf numFmtId="174" fontId="16" fillId="10" borderId="53" xfId="0" applyNumberFormat="1" applyFont="1" applyFill="1" applyBorder="1" applyAlignment="1" applyProtection="1">
      <protection locked="0"/>
    </xf>
    <xf numFmtId="174" fontId="13" fillId="2" borderId="65" xfId="0" applyNumberFormat="1" applyFont="1" applyFill="1" applyBorder="1" applyAlignment="1" applyProtection="1"/>
    <xf numFmtId="174" fontId="8" fillId="16" borderId="28" xfId="0" applyNumberFormat="1" applyFont="1" applyFill="1" applyBorder="1" applyAlignment="1" applyProtection="1"/>
    <xf numFmtId="174" fontId="16" fillId="16" borderId="32" xfId="0" applyNumberFormat="1" applyFont="1" applyFill="1" applyBorder="1" applyAlignment="1" applyProtection="1"/>
    <xf numFmtId="174" fontId="16" fillId="16" borderId="9" xfId="0" applyNumberFormat="1" applyFont="1" applyFill="1" applyBorder="1" applyAlignment="1" applyProtection="1"/>
    <xf numFmtId="174" fontId="16" fillId="16" borderId="3" xfId="0" applyNumberFormat="1" applyFont="1" applyFill="1" applyBorder="1" applyAlignment="1" applyProtection="1"/>
    <xf numFmtId="174" fontId="16" fillId="16" borderId="22" xfId="0" applyNumberFormat="1" applyFont="1" applyFill="1" applyBorder="1" applyAlignment="1" applyProtection="1"/>
    <xf numFmtId="174" fontId="16" fillId="16" borderId="46" xfId="0" applyNumberFormat="1" applyFont="1" applyFill="1" applyBorder="1" applyAlignment="1" applyProtection="1"/>
    <xf numFmtId="174" fontId="16" fillId="16" borderId="11" xfId="0" applyNumberFormat="1" applyFont="1" applyFill="1" applyBorder="1" applyAlignment="1" applyProtection="1"/>
    <xf numFmtId="174" fontId="16" fillId="16" borderId="4" xfId="0" applyNumberFormat="1" applyFont="1" applyFill="1" applyBorder="1" applyAlignment="1" applyProtection="1"/>
    <xf numFmtId="174" fontId="16" fillId="16" borderId="53" xfId="0" applyNumberFormat="1" applyFont="1" applyFill="1" applyBorder="1" applyAlignment="1" applyProtection="1"/>
    <xf numFmtId="174" fontId="13" fillId="16" borderId="65" xfId="0" applyNumberFormat="1" applyFont="1" applyFill="1" applyBorder="1" applyAlignment="1" applyProtection="1"/>
    <xf numFmtId="174" fontId="8" fillId="2" borderId="62" xfId="0" applyNumberFormat="1" applyFont="1" applyFill="1" applyBorder="1" applyAlignment="1" applyProtection="1"/>
    <xf numFmtId="174" fontId="16" fillId="12" borderId="56" xfId="0" applyNumberFormat="1" applyFont="1" applyFill="1" applyBorder="1" applyAlignment="1" applyProtection="1"/>
    <xf numFmtId="174" fontId="16" fillId="10" borderId="56" xfId="0" applyNumberFormat="1" applyFont="1" applyFill="1" applyBorder="1" applyAlignment="1" applyProtection="1">
      <protection locked="0"/>
    </xf>
    <xf numFmtId="174" fontId="16" fillId="12" borderId="57" xfId="0" applyNumberFormat="1" applyFont="1" applyFill="1" applyBorder="1" applyAlignment="1" applyProtection="1"/>
    <xf numFmtId="174" fontId="16" fillId="12" borderId="26" xfId="0" applyNumberFormat="1" applyFont="1" applyFill="1" applyBorder="1" applyAlignment="1" applyProtection="1"/>
    <xf numFmtId="174" fontId="16" fillId="10" borderId="62" xfId="0" applyNumberFormat="1" applyFont="1" applyFill="1" applyBorder="1" applyAlignment="1" applyProtection="1">
      <protection locked="0"/>
    </xf>
    <xf numFmtId="174" fontId="16" fillId="10" borderId="81" xfId="0" applyNumberFormat="1" applyFont="1" applyFill="1" applyBorder="1" applyAlignment="1" applyProtection="1">
      <protection locked="0"/>
    </xf>
    <xf numFmtId="0" fontId="16" fillId="10" borderId="82" xfId="0" applyFont="1" applyFill="1" applyBorder="1" applyAlignment="1" applyProtection="1">
      <protection locked="0"/>
    </xf>
    <xf numFmtId="174" fontId="16" fillId="10" borderId="64" xfId="0" applyNumberFormat="1" applyFont="1" applyFill="1" applyBorder="1" applyAlignment="1" applyProtection="1">
      <protection locked="0"/>
    </xf>
    <xf numFmtId="174" fontId="8" fillId="12" borderId="52" xfId="0" applyNumberFormat="1" applyFont="1" applyFill="1" applyBorder="1" applyAlignment="1" applyProtection="1">
      <protection locked="0"/>
    </xf>
    <xf numFmtId="174" fontId="16" fillId="10" borderId="2" xfId="0" applyNumberFormat="1" applyFont="1" applyFill="1" applyBorder="1" applyAlignment="1" applyProtection="1">
      <protection locked="0"/>
    </xf>
    <xf numFmtId="174" fontId="16" fillId="10" borderId="63" xfId="0" applyNumberFormat="1" applyFont="1" applyFill="1" applyBorder="1" applyAlignment="1" applyProtection="1">
      <protection locked="0"/>
    </xf>
    <xf numFmtId="174" fontId="16" fillId="10" borderId="67" xfId="0" applyNumberFormat="1" applyFont="1" applyFill="1" applyBorder="1" applyAlignment="1" applyProtection="1">
      <protection locked="0"/>
    </xf>
    <xf numFmtId="0" fontId="37" fillId="0" borderId="0" xfId="0" applyFont="1" applyAlignment="1" applyProtection="1"/>
    <xf numFmtId="0" fontId="47" fillId="0" borderId="0" xfId="0" applyFont="1" applyAlignment="1" applyProtection="1"/>
    <xf numFmtId="0" fontId="47" fillId="0" borderId="0" xfId="0" applyFont="1" applyBorder="1" applyAlignment="1" applyProtection="1"/>
    <xf numFmtId="0" fontId="47" fillId="0" borderId="0" xfId="0" applyFont="1"/>
    <xf numFmtId="0" fontId="15" fillId="0" borderId="59" xfId="0" applyFont="1" applyBorder="1" applyAlignment="1" applyProtection="1">
      <alignment horizontal="center"/>
    </xf>
    <xf numFmtId="0" fontId="15" fillId="0" borderId="73" xfId="0" applyFont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27" xfId="0" applyFont="1" applyBorder="1" applyAlignment="1" applyProtection="1">
      <alignment horizontal="center"/>
    </xf>
    <xf numFmtId="0" fontId="15" fillId="0" borderId="68" xfId="0" applyFont="1" applyBorder="1" applyAlignment="1" applyProtection="1">
      <alignment horizontal="center"/>
    </xf>
    <xf numFmtId="0" fontId="15" fillId="0" borderId="74" xfId="0" applyFont="1" applyBorder="1" applyAlignment="1" applyProtection="1">
      <alignment horizontal="center"/>
    </xf>
    <xf numFmtId="0" fontId="15" fillId="0" borderId="63" xfId="0" applyFont="1" applyBorder="1" applyAlignment="1" applyProtection="1">
      <alignment horizontal="center"/>
    </xf>
    <xf numFmtId="0" fontId="15" fillId="0" borderId="36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174" fontId="16" fillId="10" borderId="10" xfId="0" applyNumberFormat="1" applyFont="1" applyFill="1" applyBorder="1" applyAlignment="1" applyProtection="1">
      <alignment horizontal="right"/>
      <protection locked="0"/>
    </xf>
    <xf numFmtId="174" fontId="16" fillId="10" borderId="6" xfId="0" applyNumberFormat="1" applyFont="1" applyFill="1" applyBorder="1" applyAlignment="1" applyProtection="1">
      <alignment horizontal="right"/>
      <protection locked="0"/>
    </xf>
    <xf numFmtId="174" fontId="16" fillId="10" borderId="44" xfId="0" applyNumberFormat="1" applyFont="1" applyFill="1" applyBorder="1" applyAlignment="1" applyProtection="1">
      <alignment horizontal="right"/>
      <protection locked="0"/>
    </xf>
    <xf numFmtId="174" fontId="16" fillId="10" borderId="5" xfId="0" applyNumberFormat="1" applyFont="1" applyFill="1" applyBorder="1" applyAlignment="1" applyProtection="1">
      <alignment horizontal="right"/>
      <protection locked="0"/>
    </xf>
    <xf numFmtId="174" fontId="16" fillId="10" borderId="74" xfId="0" applyNumberFormat="1" applyFont="1" applyFill="1" applyBorder="1" applyAlignment="1" applyProtection="1">
      <alignment horizontal="right"/>
      <protection locked="0"/>
    </xf>
    <xf numFmtId="174" fontId="16" fillId="10" borderId="83" xfId="0" applyNumberFormat="1" applyFont="1" applyFill="1" applyBorder="1" applyAlignment="1" applyProtection="1">
      <alignment horizontal="right"/>
      <protection locked="0"/>
    </xf>
    <xf numFmtId="174" fontId="16" fillId="10" borderId="39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/>
      <protection locked="0"/>
    </xf>
    <xf numFmtId="174" fontId="16" fillId="10" borderId="25" xfId="0" applyNumberFormat="1" applyFont="1" applyFill="1" applyBorder="1" applyAlignment="1" applyProtection="1">
      <alignment horizontal="right"/>
      <protection locked="0"/>
    </xf>
    <xf numFmtId="174" fontId="16" fillId="10" borderId="58" xfId="0" applyNumberFormat="1" applyFont="1" applyFill="1" applyBorder="1" applyAlignment="1" applyProtection="1">
      <alignment horizontal="right"/>
      <protection locked="0"/>
    </xf>
    <xf numFmtId="174" fontId="16" fillId="10" borderId="23" xfId="0" applyNumberFormat="1" applyFont="1" applyFill="1" applyBorder="1" applyAlignment="1" applyProtection="1">
      <alignment horizontal="right"/>
      <protection locked="0"/>
    </xf>
    <xf numFmtId="174" fontId="16" fillId="10" borderId="48" xfId="0" applyNumberFormat="1" applyFont="1" applyFill="1" applyBorder="1" applyAlignment="1" applyProtection="1">
      <alignment horizontal="right"/>
      <protection locked="0"/>
    </xf>
    <xf numFmtId="0" fontId="51" fillId="0" borderId="0" xfId="0" applyFont="1"/>
    <xf numFmtId="1" fontId="47" fillId="0" borderId="13" xfId="10" applyNumberFormat="1" applyFont="1" applyBorder="1" applyAlignment="1" applyProtection="1">
      <alignment wrapText="1"/>
    </xf>
    <xf numFmtId="1" fontId="48" fillId="0" borderId="14" xfId="10" applyNumberFormat="1" applyFont="1" applyBorder="1" applyAlignment="1" applyProtection="1">
      <alignment wrapText="1"/>
    </xf>
    <xf numFmtId="1" fontId="48" fillId="0" borderId="79" xfId="10" applyNumberFormat="1" applyFont="1" applyBorder="1" applyAlignment="1" applyProtection="1">
      <alignment horizontal="center" wrapText="1"/>
    </xf>
    <xf numFmtId="1" fontId="48" fillId="0" borderId="49" xfId="10" applyNumberFormat="1" applyFont="1" applyBorder="1" applyAlignment="1" applyProtection="1">
      <alignment horizontal="centerContinuous" wrapText="1"/>
    </xf>
    <xf numFmtId="1" fontId="48" fillId="0" borderId="17" xfId="10" applyNumberFormat="1" applyFont="1" applyBorder="1" applyAlignment="1" applyProtection="1">
      <alignment wrapText="1"/>
    </xf>
    <xf numFmtId="1" fontId="48" fillId="0" borderId="0" xfId="10" applyNumberFormat="1" applyFont="1" applyBorder="1" applyAlignment="1" applyProtection="1">
      <alignment wrapText="1"/>
    </xf>
    <xf numFmtId="1" fontId="48" fillId="0" borderId="60" xfId="10" applyNumberFormat="1" applyFont="1" applyBorder="1" applyAlignment="1" applyProtection="1">
      <alignment wrapText="1"/>
    </xf>
    <xf numFmtId="1" fontId="48" fillId="0" borderId="44" xfId="10" applyNumberFormat="1" applyFont="1" applyBorder="1" applyAlignment="1" applyProtection="1">
      <alignment horizontal="center" vertical="center" wrapText="1"/>
    </xf>
    <xf numFmtId="1" fontId="48" fillId="0" borderId="45" xfId="10" applyNumberFormat="1" applyFont="1" applyBorder="1" applyAlignment="1" applyProtection="1">
      <alignment horizontal="center" vertical="center" wrapText="1"/>
    </xf>
    <xf numFmtId="1" fontId="48" fillId="0" borderId="0" xfId="10" applyNumberFormat="1" applyFont="1" applyFill="1" applyBorder="1" applyAlignment="1" applyProtection="1">
      <alignment horizontal="center" vertical="center" wrapText="1"/>
    </xf>
    <xf numFmtId="1" fontId="48" fillId="0" borderId="20" xfId="10" applyNumberFormat="1" applyFont="1" applyBorder="1" applyProtection="1"/>
    <xf numFmtId="1" fontId="48" fillId="0" borderId="21" xfId="10" applyNumberFormat="1" applyFont="1" applyBorder="1" applyProtection="1"/>
    <xf numFmtId="1" fontId="48" fillId="0" borderId="61" xfId="10" applyNumberFormat="1" applyFont="1" applyBorder="1" applyProtection="1"/>
    <xf numFmtId="1" fontId="48" fillId="0" borderId="36" xfId="10" applyNumberFormat="1" applyFont="1" applyBorder="1" applyAlignment="1" applyProtection="1">
      <alignment horizontal="center"/>
    </xf>
    <xf numFmtId="1" fontId="48" fillId="0" borderId="61" xfId="10" applyNumberFormat="1" applyFont="1" applyBorder="1" applyAlignment="1" applyProtection="1">
      <alignment horizontal="center"/>
    </xf>
    <xf numFmtId="1" fontId="47" fillId="0" borderId="17" xfId="10" applyNumberFormat="1" applyFont="1" applyFill="1" applyBorder="1" applyProtection="1"/>
    <xf numFmtId="0" fontId="48" fillId="0" borderId="0" xfId="10" applyFont="1" applyBorder="1" applyAlignment="1" applyProtection="1"/>
    <xf numFmtId="0" fontId="47" fillId="0" borderId="0" xfId="10" applyFont="1" applyBorder="1" applyProtection="1"/>
    <xf numFmtId="1" fontId="47" fillId="0" borderId="79" xfId="11" applyNumberFormat="1" applyFont="1" applyFill="1" applyBorder="1" applyAlignment="1" applyProtection="1">
      <alignment horizontal="center"/>
    </xf>
    <xf numFmtId="0" fontId="47" fillId="0" borderId="29" xfId="0" applyFont="1" applyBorder="1" applyAlignment="1" applyProtection="1"/>
    <xf numFmtId="0" fontId="47" fillId="0" borderId="79" xfId="0" applyFont="1" applyBorder="1" applyAlignment="1" applyProtection="1"/>
    <xf numFmtId="0" fontId="48" fillId="0" borderId="0" xfId="10" applyFont="1" applyBorder="1" applyProtection="1"/>
    <xf numFmtId="1" fontId="47" fillId="0" borderId="60" xfId="11" applyNumberFormat="1" applyFont="1" applyBorder="1" applyProtection="1"/>
    <xf numFmtId="0" fontId="47" fillId="0" borderId="32" xfId="0" applyFont="1" applyBorder="1" applyAlignment="1" applyProtection="1"/>
    <xf numFmtId="0" fontId="47" fillId="0" borderId="60" xfId="0" applyFont="1" applyBorder="1" applyAlignment="1" applyProtection="1"/>
    <xf numFmtId="0" fontId="47" fillId="0" borderId="17" xfId="10" applyFont="1" applyBorder="1" applyProtection="1"/>
    <xf numFmtId="0" fontId="47" fillId="0" borderId="60" xfId="11" applyFont="1" applyBorder="1" applyAlignment="1" applyProtection="1">
      <alignment horizontal="center"/>
    </xf>
    <xf numFmtId="2" fontId="0" fillId="0" borderId="0" xfId="0" applyNumberFormat="1"/>
    <xf numFmtId="2" fontId="47" fillId="0" borderId="32" xfId="0" applyNumberFormat="1" applyFont="1" applyBorder="1" applyAlignment="1" applyProtection="1">
      <alignment horizontal="center" vertical="center"/>
    </xf>
    <xf numFmtId="2" fontId="47" fillId="0" borderId="60" xfId="0" applyNumberFormat="1" applyFont="1" applyBorder="1" applyAlignment="1" applyProtection="1">
      <alignment horizontal="center" vertical="center"/>
    </xf>
    <xf numFmtId="2" fontId="47" fillId="12" borderId="34" xfId="12" applyNumberFormat="1" applyFont="1" applyFill="1" applyBorder="1" applyAlignment="1" applyProtection="1">
      <alignment horizontal="center" vertical="center"/>
    </xf>
    <xf numFmtId="2" fontId="47" fillId="12" borderId="39" xfId="12" applyNumberFormat="1" applyFont="1" applyFill="1" applyBorder="1" applyAlignment="1" applyProtection="1">
      <alignment horizontal="center" vertical="center"/>
    </xf>
    <xf numFmtId="2" fontId="47" fillId="0" borderId="36" xfId="0" applyNumberFormat="1" applyFont="1" applyBorder="1" applyAlignment="1" applyProtection="1">
      <alignment horizontal="center" vertical="center"/>
    </xf>
    <xf numFmtId="2" fontId="47" fillId="0" borderId="61" xfId="0" applyNumberFormat="1" applyFont="1" applyBorder="1" applyAlignment="1" applyProtection="1">
      <alignment horizontal="center" vertical="center"/>
    </xf>
    <xf numFmtId="0" fontId="47" fillId="0" borderId="13" xfId="10" applyFont="1" applyBorder="1" applyProtection="1"/>
    <xf numFmtId="0" fontId="48" fillId="0" borderId="14" xfId="10" applyFont="1" applyBorder="1" applyAlignment="1" applyProtection="1"/>
    <xf numFmtId="0" fontId="47" fillId="0" borderId="0" xfId="8" applyFont="1" applyAlignment="1" applyProtection="1"/>
    <xf numFmtId="0" fontId="47" fillId="0" borderId="60" xfId="11" applyFont="1" applyFill="1" applyBorder="1" applyAlignment="1" applyProtection="1">
      <alignment horizontal="center"/>
    </xf>
    <xf numFmtId="2" fontId="47" fillId="0" borderId="40" xfId="0" applyNumberFormat="1" applyFont="1" applyBorder="1" applyAlignment="1" applyProtection="1">
      <alignment horizontal="center" vertical="center"/>
    </xf>
    <xf numFmtId="2" fontId="47" fillId="0" borderId="42" xfId="0" applyNumberFormat="1" applyFont="1" applyBorder="1" applyAlignment="1" applyProtection="1">
      <alignment horizontal="center" vertical="center"/>
    </xf>
    <xf numFmtId="0" fontId="47" fillId="0" borderId="40" xfId="0" applyFont="1" applyBorder="1" applyAlignment="1" applyProtection="1"/>
    <xf numFmtId="0" fontId="47" fillId="0" borderId="42" xfId="0" applyFont="1" applyBorder="1" applyAlignment="1" applyProtection="1"/>
    <xf numFmtId="1" fontId="47" fillId="0" borderId="13" xfId="10" applyNumberFormat="1" applyFont="1" applyFill="1" applyBorder="1" applyProtection="1"/>
    <xf numFmtId="0" fontId="48" fillId="0" borderId="14" xfId="10" applyFont="1" applyBorder="1" applyProtection="1"/>
    <xf numFmtId="0" fontId="47" fillId="0" borderId="14" xfId="10" applyFont="1" applyBorder="1" applyProtection="1"/>
    <xf numFmtId="0" fontId="47" fillId="0" borderId="79" xfId="11" applyFont="1" applyBorder="1" applyAlignment="1" applyProtection="1">
      <alignment horizontal="center"/>
    </xf>
    <xf numFmtId="2" fontId="47" fillId="0" borderId="29" xfId="0" applyNumberFormat="1" applyFont="1" applyBorder="1" applyAlignment="1" applyProtection="1">
      <alignment horizontal="center" vertical="center"/>
    </xf>
    <xf numFmtId="2" fontId="47" fillId="0" borderId="79" xfId="0" applyNumberFormat="1" applyFont="1" applyBorder="1" applyAlignment="1" applyProtection="1">
      <alignment horizontal="center" vertical="center"/>
    </xf>
    <xf numFmtId="0" fontId="47" fillId="0" borderId="0" xfId="10" applyFont="1" applyBorder="1" applyAlignment="1" applyProtection="1">
      <alignment horizontal="left" indent="1"/>
    </xf>
    <xf numFmtId="0" fontId="47" fillId="0" borderId="20" xfId="10" applyFont="1" applyBorder="1" applyProtection="1"/>
    <xf numFmtId="0" fontId="47" fillId="0" borderId="21" xfId="10" applyFont="1" applyBorder="1" applyProtection="1"/>
    <xf numFmtId="0" fontId="48" fillId="0" borderId="21" xfId="10" applyFont="1" applyBorder="1" applyProtection="1"/>
    <xf numFmtId="0" fontId="47" fillId="0" borderId="21" xfId="10" applyFont="1" applyBorder="1" applyAlignment="1" applyProtection="1">
      <alignment horizontal="left" indent="1"/>
    </xf>
    <xf numFmtId="0" fontId="47" fillId="0" borderId="61" xfId="11" applyFont="1" applyBorder="1" applyAlignment="1" applyProtection="1">
      <alignment horizontal="center"/>
    </xf>
    <xf numFmtId="0" fontId="48" fillId="0" borderId="68" xfId="7" applyFont="1" applyBorder="1" applyAlignment="1" applyProtection="1">
      <alignment horizontal="centerContinuous" vertical="center"/>
    </xf>
    <xf numFmtId="0" fontId="48" fillId="0" borderId="84" xfId="7" applyFont="1" applyBorder="1" applyAlignment="1" applyProtection="1">
      <alignment horizontal="centerContinuous" vertical="center"/>
    </xf>
    <xf numFmtId="0" fontId="48" fillId="0" borderId="83" xfId="7" applyFont="1" applyBorder="1" applyAlignment="1" applyProtection="1">
      <alignment horizontal="centerContinuous" vertical="center"/>
    </xf>
    <xf numFmtId="0" fontId="48" fillId="0" borderId="34" xfId="7" applyFont="1" applyBorder="1" applyAlignment="1" applyProtection="1">
      <alignment horizontal="center" vertical="center" wrapText="1"/>
    </xf>
    <xf numFmtId="0" fontId="48" fillId="0" borderId="2" xfId="7" applyFont="1" applyBorder="1" applyAlignment="1" applyProtection="1">
      <alignment horizontal="center" vertical="center" wrapText="1"/>
    </xf>
    <xf numFmtId="0" fontId="48" fillId="0" borderId="39" xfId="7" applyFont="1" applyBorder="1" applyAlignment="1" applyProtection="1">
      <alignment horizontal="center" vertical="center" wrapText="1"/>
    </xf>
    <xf numFmtId="0" fontId="47" fillId="0" borderId="52" xfId="7" applyFont="1" applyBorder="1" applyAlignment="1" applyProtection="1">
      <alignment horizontal="center" vertical="center"/>
    </xf>
    <xf numFmtId="0" fontId="47" fillId="0" borderId="18" xfId="7" applyFont="1" applyBorder="1" applyAlignment="1" applyProtection="1">
      <alignment horizontal="center" vertical="center"/>
    </xf>
    <xf numFmtId="0" fontId="47" fillId="0" borderId="53" xfId="7" applyFont="1" applyBorder="1" applyAlignment="1" applyProtection="1">
      <alignment horizontal="center" vertical="center"/>
    </xf>
    <xf numFmtId="0" fontId="47" fillId="0" borderId="52" xfId="7" applyFont="1" applyFill="1" applyBorder="1" applyAlignment="1" applyProtection="1">
      <alignment horizontal="center" vertical="center"/>
    </xf>
    <xf numFmtId="0" fontId="47" fillId="0" borderId="53" xfId="7" applyFont="1" applyFill="1" applyBorder="1" applyAlignment="1" applyProtection="1">
      <alignment horizontal="center" vertical="center"/>
    </xf>
    <xf numFmtId="167" fontId="47" fillId="11" borderId="34" xfId="7" applyNumberFormat="1" applyFont="1" applyFill="1" applyBorder="1" applyAlignment="1" applyProtection="1">
      <alignment horizontal="center" vertical="center"/>
    </xf>
    <xf numFmtId="167" fontId="47" fillId="11" borderId="2" xfId="7" applyNumberFormat="1" applyFont="1" applyFill="1" applyBorder="1" applyAlignment="1" applyProtection="1">
      <alignment horizontal="center" vertical="center"/>
    </xf>
    <xf numFmtId="167" fontId="47" fillId="11" borderId="39" xfId="7" applyNumberFormat="1" applyFont="1" applyFill="1" applyBorder="1" applyAlignment="1" applyProtection="1">
      <alignment horizontal="center" vertical="center"/>
    </xf>
    <xf numFmtId="164" fontId="47" fillId="11" borderId="39" xfId="15" applyNumberFormat="1" applyFont="1" applyFill="1" applyBorder="1" applyAlignment="1" applyProtection="1">
      <alignment horizontal="center" vertical="center"/>
    </xf>
    <xf numFmtId="167" fontId="47" fillId="11" borderId="40" xfId="7" applyNumberFormat="1" applyFont="1" applyFill="1" applyBorder="1" applyAlignment="1" applyProtection="1">
      <alignment horizontal="center" vertical="center"/>
    </xf>
    <xf numFmtId="167" fontId="47" fillId="11" borderId="43" xfId="7" applyNumberFormat="1" applyFont="1" applyFill="1" applyBorder="1" applyAlignment="1" applyProtection="1">
      <alignment horizontal="center" vertical="center"/>
    </xf>
    <xf numFmtId="167" fontId="47" fillId="11" borderId="42" xfId="7" applyNumberFormat="1" applyFont="1" applyFill="1" applyBorder="1" applyAlignment="1" applyProtection="1">
      <alignment horizontal="center" vertical="center"/>
    </xf>
    <xf numFmtId="164" fontId="47" fillId="11" borderId="42" xfId="15" applyNumberFormat="1" applyFont="1" applyFill="1" applyBorder="1" applyAlignment="1" applyProtection="1">
      <alignment horizontal="center" vertical="center"/>
    </xf>
    <xf numFmtId="164" fontId="47" fillId="11" borderId="39" xfId="16" applyNumberFormat="1" applyFont="1" applyFill="1" applyBorder="1" applyAlignment="1" applyProtection="1">
      <alignment horizontal="center" vertical="center"/>
    </xf>
    <xf numFmtId="0" fontId="13" fillId="0" borderId="34" xfId="13" applyFont="1" applyFill="1" applyBorder="1" applyAlignment="1" applyProtection="1">
      <alignment vertical="center"/>
    </xf>
    <xf numFmtId="164" fontId="47" fillId="11" borderId="42" xfId="16" applyNumberFormat="1" applyFont="1" applyFill="1" applyBorder="1" applyAlignment="1" applyProtection="1">
      <alignment horizontal="center" vertical="center"/>
    </xf>
    <xf numFmtId="0" fontId="48" fillId="0" borderId="0" xfId="7" applyFont="1" applyProtection="1"/>
    <xf numFmtId="0" fontId="47" fillId="0" borderId="0" xfId="7" applyFont="1" applyProtection="1"/>
    <xf numFmtId="0" fontId="47" fillId="0" borderId="13" xfId="5" applyFont="1" applyBorder="1" applyProtection="1"/>
    <xf numFmtId="0" fontId="47" fillId="0" borderId="14" xfId="5" applyFont="1" applyBorder="1" applyProtection="1"/>
    <xf numFmtId="0" fontId="47" fillId="0" borderId="68" xfId="5" applyFont="1" applyBorder="1" applyAlignment="1" applyProtection="1">
      <alignment horizontal="centerContinuous" vertical="center"/>
    </xf>
    <xf numFmtId="0" fontId="47" fillId="0" borderId="84" xfId="5" applyFont="1" applyBorder="1" applyAlignment="1" applyProtection="1">
      <alignment horizontal="centerContinuous" vertical="center"/>
    </xf>
    <xf numFmtId="0" fontId="47" fillId="0" borderId="83" xfId="5" applyFont="1" applyBorder="1" applyAlignment="1" applyProtection="1">
      <alignment horizontal="centerContinuous" vertical="center"/>
    </xf>
    <xf numFmtId="0" fontId="47" fillId="0" borderId="52" xfId="5" applyFont="1" applyBorder="1" applyProtection="1"/>
    <xf numFmtId="0" fontId="47" fillId="0" borderId="18" xfId="5" applyFont="1" applyBorder="1" applyProtection="1"/>
    <xf numFmtId="0" fontId="47" fillId="0" borderId="34" xfId="5" applyFont="1" applyBorder="1" applyAlignment="1" applyProtection="1">
      <alignment horizontal="center"/>
    </xf>
    <xf numFmtId="0" fontId="47" fillId="0" borderId="2" xfId="5" applyFont="1" applyBorder="1" applyAlignment="1" applyProtection="1">
      <alignment horizontal="center"/>
    </xf>
    <xf numFmtId="0" fontId="47" fillId="0" borderId="39" xfId="5" applyFont="1" applyBorder="1" applyAlignment="1" applyProtection="1">
      <alignment horizontal="center"/>
    </xf>
    <xf numFmtId="0" fontId="47" fillId="0" borderId="17" xfId="5" applyFont="1" applyBorder="1" applyProtection="1"/>
    <xf numFmtId="0" fontId="47" fillId="0" borderId="22" xfId="5" applyFont="1" applyBorder="1" applyProtection="1"/>
    <xf numFmtId="0" fontId="47" fillId="0" borderId="20" xfId="5" applyFont="1" applyBorder="1" applyProtection="1"/>
    <xf numFmtId="0" fontId="47" fillId="0" borderId="23" xfId="5" applyFont="1" applyBorder="1" applyProtection="1"/>
    <xf numFmtId="0" fontId="47" fillId="0" borderId="0" xfId="5" applyFont="1" applyBorder="1" applyProtection="1"/>
    <xf numFmtId="0" fontId="48" fillId="0" borderId="13" xfId="7" applyFont="1" applyBorder="1" applyProtection="1"/>
    <xf numFmtId="0" fontId="48" fillId="0" borderId="49" xfId="7" applyFont="1" applyBorder="1" applyAlignment="1" applyProtection="1">
      <alignment horizontal="centerContinuous" vertical="center"/>
    </xf>
    <xf numFmtId="0" fontId="48" fillId="0" borderId="50" xfId="7" applyFont="1" applyBorder="1" applyAlignment="1" applyProtection="1">
      <alignment horizontal="centerContinuous" vertical="center"/>
    </xf>
    <xf numFmtId="0" fontId="47" fillId="0" borderId="51" xfId="7" applyFont="1" applyBorder="1" applyAlignment="1" applyProtection="1">
      <alignment horizontal="centerContinuous" vertical="center"/>
    </xf>
    <xf numFmtId="0" fontId="47" fillId="0" borderId="50" xfId="7" applyFont="1" applyBorder="1" applyAlignment="1" applyProtection="1">
      <alignment horizontal="centerContinuous" vertical="center"/>
    </xf>
    <xf numFmtId="0" fontId="48" fillId="0" borderId="17" xfId="7" applyFont="1" applyBorder="1" applyProtection="1"/>
    <xf numFmtId="0" fontId="48" fillId="0" borderId="52" xfId="7" applyFont="1" applyBorder="1" applyProtection="1"/>
    <xf numFmtId="0" fontId="48" fillId="0" borderId="46" xfId="7" applyFont="1" applyFill="1" applyBorder="1" applyAlignment="1" applyProtection="1">
      <alignment horizontal="center" vertical="center"/>
    </xf>
    <xf numFmtId="0" fontId="48" fillId="0" borderId="4" xfId="7" applyFont="1" applyFill="1" applyBorder="1" applyAlignment="1" applyProtection="1">
      <alignment horizontal="center" vertical="center"/>
    </xf>
    <xf numFmtId="0" fontId="48" fillId="0" borderId="47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indent="1"/>
    </xf>
    <xf numFmtId="0" fontId="47" fillId="0" borderId="17" xfId="7" applyFont="1" applyFill="1" applyBorder="1" applyAlignment="1" applyProtection="1">
      <alignment horizontal="center" vertical="center"/>
    </xf>
    <xf numFmtId="0" fontId="47" fillId="0" borderId="0" xfId="7" applyFont="1" applyFill="1" applyBorder="1" applyAlignment="1" applyProtection="1">
      <alignment horizontal="center" vertical="center"/>
    </xf>
    <xf numFmtId="0" fontId="47" fillId="0" borderId="22" xfId="7" applyFont="1" applyFill="1" applyBorder="1" applyAlignment="1" applyProtection="1">
      <alignment horizontal="center" vertical="center"/>
    </xf>
    <xf numFmtId="0" fontId="47" fillId="0" borderId="0" xfId="7" applyFont="1" applyBorder="1" applyAlignment="1" applyProtection="1">
      <alignment horizontal="center" vertical="center"/>
    </xf>
    <xf numFmtId="0" fontId="47" fillId="0" borderId="22" xfId="7" applyFont="1" applyBorder="1" applyAlignment="1" applyProtection="1">
      <alignment horizontal="center" vertical="center"/>
    </xf>
    <xf numFmtId="9" fontId="47" fillId="0" borderId="22" xfId="15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wrapText="1" indent="2"/>
    </xf>
    <xf numFmtId="0" fontId="48" fillId="0" borderId="20" xfId="7" applyFont="1" applyBorder="1" applyAlignment="1" applyProtection="1">
      <alignment horizontal="left" indent="1"/>
    </xf>
    <xf numFmtId="167" fontId="48" fillId="11" borderId="40" xfId="7" applyNumberFormat="1" applyFont="1" applyFill="1" applyBorder="1" applyAlignment="1" applyProtection="1">
      <alignment horizontal="center" vertical="center"/>
    </xf>
    <xf numFmtId="167" fontId="48" fillId="11" borderId="41" xfId="7" applyNumberFormat="1" applyFont="1" applyFill="1" applyBorder="1" applyAlignment="1" applyProtection="1">
      <alignment horizontal="center" vertical="center"/>
    </xf>
    <xf numFmtId="167" fontId="48" fillId="11" borderId="42" xfId="7" applyNumberFormat="1" applyFont="1" applyFill="1" applyBorder="1" applyAlignment="1" applyProtection="1">
      <alignment horizontal="center" vertical="center"/>
    </xf>
    <xf numFmtId="167" fontId="48" fillId="11" borderId="43" xfId="7" applyNumberFormat="1" applyFont="1" applyFill="1" applyBorder="1" applyAlignment="1" applyProtection="1">
      <alignment horizontal="center" vertical="center"/>
    </xf>
    <xf numFmtId="164" fontId="48" fillId="11" borderId="42" xfId="15" applyNumberFormat="1" applyFont="1" applyFill="1" applyBorder="1" applyAlignment="1" applyProtection="1">
      <alignment horizontal="center" vertical="center"/>
    </xf>
    <xf numFmtId="0" fontId="48" fillId="0" borderId="29" xfId="7" applyFont="1" applyBorder="1" applyProtection="1"/>
    <xf numFmtId="0" fontId="47" fillId="0" borderId="32" xfId="7" applyFont="1" applyBorder="1" applyProtection="1"/>
    <xf numFmtId="0" fontId="48" fillId="0" borderId="12" xfId="7" applyFont="1" applyBorder="1" applyAlignment="1" applyProtection="1">
      <alignment horizontal="center" vertical="center" wrapText="1"/>
    </xf>
    <xf numFmtId="0" fontId="47" fillId="0" borderId="46" xfId="7" applyFont="1" applyBorder="1" applyProtection="1"/>
    <xf numFmtId="0" fontId="48" fillId="0" borderId="1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/>
    </xf>
    <xf numFmtId="0" fontId="47" fillId="0" borderId="17" xfId="7" applyFont="1" applyBorder="1" applyAlignment="1" applyProtection="1">
      <alignment horizontal="left" wrapText="1" indent="1"/>
    </xf>
    <xf numFmtId="0" fontId="48" fillId="0" borderId="17" xfId="7" applyFont="1" applyBorder="1" applyAlignment="1" applyProtection="1">
      <alignment horizontal="left" wrapText="1"/>
    </xf>
    <xf numFmtId="167" fontId="48" fillId="11" borderId="34" xfId="7" applyNumberFormat="1" applyFont="1" applyFill="1" applyBorder="1" applyAlignment="1" applyProtection="1">
      <alignment horizontal="center" vertical="center"/>
    </xf>
    <xf numFmtId="167" fontId="48" fillId="11" borderId="12" xfId="7" applyNumberFormat="1" applyFont="1" applyFill="1" applyBorder="1" applyAlignment="1" applyProtection="1">
      <alignment horizontal="center" vertical="center"/>
    </xf>
    <xf numFmtId="167" fontId="48" fillId="11" borderId="39" xfId="7" applyNumberFormat="1" applyFont="1" applyFill="1" applyBorder="1" applyAlignment="1" applyProtection="1">
      <alignment horizontal="center" vertical="center"/>
    </xf>
    <xf numFmtId="167" fontId="48" fillId="11" borderId="2" xfId="7" applyNumberFormat="1" applyFont="1" applyFill="1" applyBorder="1" applyAlignment="1" applyProtection="1">
      <alignment horizontal="center" vertical="center"/>
    </xf>
    <xf numFmtId="164" fontId="48" fillId="11" borderId="39" xfId="7" applyNumberFormat="1" applyFont="1" applyFill="1" applyBorder="1" applyAlignment="1" applyProtection="1">
      <alignment horizontal="center" vertical="center"/>
    </xf>
    <xf numFmtId="167" fontId="47" fillId="0" borderId="17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Fill="1" applyBorder="1" applyAlignment="1" applyProtection="1">
      <alignment horizontal="center" vertical="center"/>
    </xf>
    <xf numFmtId="167" fontId="47" fillId="0" borderId="22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Border="1" applyAlignment="1" applyProtection="1">
      <alignment horizontal="center" vertical="center"/>
    </xf>
    <xf numFmtId="167" fontId="47" fillId="0" borderId="22" xfId="7" applyNumberFormat="1" applyFont="1" applyBorder="1" applyAlignment="1" applyProtection="1">
      <alignment horizontal="center" vertical="center"/>
    </xf>
    <xf numFmtId="164" fontId="47" fillId="0" borderId="22" xfId="15" applyNumberFormat="1" applyFont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/>
    </xf>
    <xf numFmtId="0" fontId="47" fillId="0" borderId="29" xfId="7" applyFont="1" applyBorder="1" applyProtection="1"/>
    <xf numFmtId="0" fontId="48" fillId="0" borderId="74" xfId="7" applyFont="1" applyBorder="1" applyAlignment="1" applyProtection="1">
      <alignment horizontal="centerContinuous" vertical="center"/>
    </xf>
    <xf numFmtId="0" fontId="47" fillId="0" borderId="68" xfId="7" applyFont="1" applyBorder="1" applyAlignment="1" applyProtection="1">
      <alignment horizontal="centerContinuous"/>
    </xf>
    <xf numFmtId="0" fontId="47" fillId="0" borderId="83" xfId="7" applyFont="1" applyBorder="1" applyAlignment="1" applyProtection="1">
      <alignment horizontal="centerContinuous"/>
    </xf>
    <xf numFmtId="0" fontId="48" fillId="0" borderId="13" xfId="7" applyFont="1" applyBorder="1" applyAlignment="1" applyProtection="1">
      <alignment horizontal="centerContinuous"/>
    </xf>
    <xf numFmtId="0" fontId="47" fillId="0" borderId="14" xfId="7" applyFont="1" applyBorder="1" applyAlignment="1" applyProtection="1">
      <alignment horizontal="centerContinuous"/>
    </xf>
    <xf numFmtId="0" fontId="47" fillId="0" borderId="19" xfId="7" applyFont="1" applyBorder="1" applyAlignment="1" applyProtection="1">
      <alignment horizontal="centerContinuous"/>
    </xf>
    <xf numFmtId="0" fontId="48" fillId="0" borderId="2" xfId="7" applyFont="1" applyBorder="1" applyAlignment="1" applyProtection="1">
      <alignment horizontal="center" vertical="center"/>
    </xf>
    <xf numFmtId="0" fontId="48" fillId="0" borderId="2" xfId="7" applyNumberFormat="1" applyFont="1" applyBorder="1" applyAlignment="1" applyProtection="1">
      <alignment horizontal="center" vertical="center" wrapText="1"/>
    </xf>
    <xf numFmtId="0" fontId="48" fillId="0" borderId="6" xfId="7" applyFont="1" applyBorder="1" applyAlignment="1" applyProtection="1">
      <alignment horizontal="center" vertical="center"/>
    </xf>
    <xf numFmtId="0" fontId="48" fillId="0" borderId="34" xfId="7" applyFont="1" applyBorder="1" applyAlignment="1" applyProtection="1">
      <alignment horizontal="center" vertical="center"/>
    </xf>
    <xf numFmtId="0" fontId="48" fillId="0" borderId="39" xfId="7" applyFont="1" applyBorder="1" applyAlignment="1" applyProtection="1">
      <alignment horizontal="center" vertical="center"/>
    </xf>
    <xf numFmtId="0" fontId="47" fillId="0" borderId="0" xfId="7" applyFont="1" applyProtection="1">
      <protection locked="0"/>
    </xf>
    <xf numFmtId="0" fontId="47" fillId="0" borderId="44" xfId="7" applyFont="1" applyBorder="1" applyProtection="1">
      <protection locked="0"/>
    </xf>
    <xf numFmtId="167" fontId="47" fillId="11" borderId="39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Protection="1">
      <protection locked="0"/>
    </xf>
    <xf numFmtId="167" fontId="47" fillId="11" borderId="45" xfId="7" applyNumberFormat="1" applyFont="1" applyFill="1" applyBorder="1" applyAlignment="1" applyProtection="1">
      <alignment horizontal="center" vertical="center"/>
      <protection locked="0"/>
    </xf>
    <xf numFmtId="0" fontId="47" fillId="0" borderId="17" xfId="7" applyFont="1" applyBorder="1" applyProtection="1">
      <protection locked="0"/>
    </xf>
    <xf numFmtId="0" fontId="24" fillId="10" borderId="15" xfId="7" applyFont="1" applyFill="1" applyBorder="1" applyAlignment="1" applyProtection="1">
      <alignment horizontal="center" vertical="center"/>
      <protection locked="0"/>
    </xf>
    <xf numFmtId="166" fontId="24" fillId="10" borderId="76" xfId="7" applyNumberFormat="1" applyFont="1" applyFill="1" applyBorder="1" applyAlignment="1" applyProtection="1">
      <alignment horizontal="center" vertical="center"/>
      <protection locked="0"/>
    </xf>
    <xf numFmtId="167" fontId="47" fillId="11" borderId="5" xfId="7" applyNumberFormat="1" applyFont="1" applyFill="1" applyBorder="1" applyAlignment="1" applyProtection="1">
      <alignment horizontal="center" vertical="center"/>
      <protection locked="0"/>
    </xf>
    <xf numFmtId="166" fontId="24" fillId="10" borderId="70" xfId="7" applyNumberFormat="1" applyFont="1" applyFill="1" applyBorder="1" applyAlignment="1" applyProtection="1">
      <alignment horizontal="center" vertical="center"/>
      <protection locked="0"/>
    </xf>
    <xf numFmtId="166" fontId="24" fillId="10" borderId="15" xfId="7" applyNumberFormat="1" applyFont="1" applyFill="1" applyBorder="1" applyAlignment="1" applyProtection="1">
      <alignment horizontal="center" vertical="center"/>
      <protection locked="0"/>
    </xf>
    <xf numFmtId="0" fontId="47" fillId="11" borderId="54" xfId="7" applyFont="1" applyFill="1" applyBorder="1" applyProtection="1">
      <protection locked="0"/>
    </xf>
    <xf numFmtId="0" fontId="47" fillId="11" borderId="69" xfId="7" applyFont="1" applyFill="1" applyBorder="1" applyAlignment="1" applyProtection="1">
      <alignment horizontal="center" vertical="center"/>
      <protection locked="0"/>
    </xf>
    <xf numFmtId="0" fontId="47" fillId="12" borderId="43" xfId="7" applyFont="1" applyFill="1" applyBorder="1" applyAlignment="1" applyProtection="1">
      <alignment horizontal="center" vertical="center"/>
      <protection locked="0"/>
    </xf>
    <xf numFmtId="1" fontId="47" fillId="11" borderId="55" xfId="7" applyNumberFormat="1" applyFont="1" applyFill="1" applyBorder="1" applyAlignment="1" applyProtection="1">
      <alignment horizontal="center" vertical="center"/>
      <protection locked="0"/>
    </xf>
    <xf numFmtId="167" fontId="47" fillId="11" borderId="54" xfId="7" applyNumberFormat="1" applyFont="1" applyFill="1" applyBorder="1" applyAlignment="1" applyProtection="1">
      <alignment horizontal="center" vertical="center"/>
      <protection locked="0"/>
    </xf>
    <xf numFmtId="167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 vertical="center"/>
      <protection locked="0"/>
    </xf>
    <xf numFmtId="2" fontId="47" fillId="11" borderId="54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/>
      <protection locked="0"/>
    </xf>
    <xf numFmtId="0" fontId="47" fillId="12" borderId="54" xfId="7" applyFont="1" applyFill="1" applyBorder="1" applyProtection="1">
      <protection locked="0"/>
    </xf>
    <xf numFmtId="0" fontId="47" fillId="12" borderId="69" xfId="7" applyFont="1" applyFill="1" applyBorder="1" applyProtection="1">
      <protection locked="0"/>
    </xf>
    <xf numFmtId="0" fontId="47" fillId="12" borderId="55" xfId="7" applyFont="1" applyFill="1" applyBorder="1" applyProtection="1">
      <protection locked="0"/>
    </xf>
    <xf numFmtId="0" fontId="47" fillId="0" borderId="0" xfId="7" applyFont="1" applyAlignment="1" applyProtection="1">
      <alignment horizontal="center"/>
    </xf>
    <xf numFmtId="0" fontId="47" fillId="0" borderId="79" xfId="7" applyFont="1" applyBorder="1" applyAlignment="1" applyProtection="1">
      <alignment horizontal="center"/>
    </xf>
    <xf numFmtId="0" fontId="48" fillId="0" borderId="47" xfId="7" applyFont="1" applyBorder="1" applyAlignment="1" applyProtection="1">
      <alignment horizontal="center" vertical="center"/>
    </xf>
    <xf numFmtId="0" fontId="48" fillId="0" borderId="46" xfId="7" applyFont="1" applyBorder="1" applyAlignment="1" applyProtection="1">
      <alignment horizontal="center" vertical="center" wrapText="1"/>
    </xf>
    <xf numFmtId="0" fontId="48" fillId="0" borderId="4" xfId="7" applyFont="1" applyBorder="1" applyAlignment="1" applyProtection="1">
      <alignment horizontal="center" vertical="center" wrapText="1"/>
    </xf>
    <xf numFmtId="0" fontId="48" fillId="0" borderId="47" xfId="7" applyFont="1" applyBorder="1" applyAlignment="1" applyProtection="1">
      <alignment horizontal="center" vertical="center" wrapText="1"/>
    </xf>
    <xf numFmtId="0" fontId="48" fillId="0" borderId="11" xfId="7" applyFont="1" applyBorder="1" applyAlignment="1" applyProtection="1">
      <alignment horizontal="center" vertical="center" wrapText="1"/>
    </xf>
    <xf numFmtId="0" fontId="47" fillId="0" borderId="17" xfId="7" applyFont="1" applyBorder="1" applyProtection="1"/>
    <xf numFmtId="0" fontId="47" fillId="0" borderId="60" xfId="7" applyNumberFormat="1" applyFont="1" applyBorder="1" applyAlignment="1" applyProtection="1">
      <alignment horizontal="center" wrapText="1"/>
    </xf>
    <xf numFmtId="167" fontId="47" fillId="0" borderId="46" xfId="7" applyNumberFormat="1" applyFont="1" applyFill="1" applyBorder="1" applyAlignment="1" applyProtection="1">
      <alignment horizontal="center" vertical="center"/>
    </xf>
    <xf numFmtId="167" fontId="47" fillId="0" borderId="11" xfId="7" applyNumberFormat="1" applyFont="1" applyFill="1" applyBorder="1" applyAlignment="1" applyProtection="1">
      <alignment horizontal="center" vertical="center"/>
    </xf>
    <xf numFmtId="167" fontId="47" fillId="0" borderId="47" xfId="7" applyNumberFormat="1" applyFont="1" applyFill="1" applyBorder="1" applyAlignment="1" applyProtection="1">
      <alignment horizontal="center" vertical="center"/>
    </xf>
    <xf numFmtId="167" fontId="47" fillId="0" borderId="4" xfId="7" applyNumberFormat="1" applyFont="1" applyFill="1" applyBorder="1" applyAlignment="1" applyProtection="1">
      <alignment horizontal="center" vertical="center"/>
    </xf>
    <xf numFmtId="167" fontId="47" fillId="0" borderId="34" xfId="7" applyNumberFormat="1" applyFont="1" applyFill="1" applyBorder="1" applyAlignment="1" applyProtection="1">
      <alignment horizontal="center" vertical="center"/>
    </xf>
    <xf numFmtId="167" fontId="47" fillId="0" borderId="12" xfId="7" applyNumberFormat="1" applyFont="1" applyFill="1" applyBorder="1" applyAlignment="1" applyProtection="1">
      <alignment horizontal="center" vertical="center"/>
    </xf>
    <xf numFmtId="167" fontId="47" fillId="0" borderId="39" xfId="7" applyNumberFormat="1" applyFont="1" applyFill="1" applyBorder="1" applyAlignment="1" applyProtection="1">
      <alignment horizontal="center" vertical="center"/>
    </xf>
    <xf numFmtId="167" fontId="47" fillId="0" borderId="2" xfId="7" applyNumberFormat="1" applyFont="1" applyFill="1" applyBorder="1" applyAlignment="1" applyProtection="1">
      <alignment horizontal="center" vertical="center"/>
    </xf>
    <xf numFmtId="0" fontId="47" fillId="0" borderId="20" xfId="7" applyFont="1" applyBorder="1" applyProtection="1"/>
    <xf numFmtId="0" fontId="47" fillId="0" borderId="61" xfId="7" applyNumberFormat="1" applyFont="1" applyBorder="1" applyAlignment="1" applyProtection="1">
      <alignment horizontal="center" wrapText="1"/>
    </xf>
    <xf numFmtId="0" fontId="47" fillId="0" borderId="0" xfId="7" applyFont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indent="1"/>
    </xf>
    <xf numFmtId="0" fontId="47" fillId="0" borderId="60" xfId="7" applyFont="1" applyFill="1" applyBorder="1" applyAlignment="1" applyProtection="1">
      <alignment horizontal="center"/>
    </xf>
    <xf numFmtId="0" fontId="47" fillId="0" borderId="18" xfId="7" applyFont="1" applyFill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/>
    </xf>
    <xf numFmtId="167" fontId="47" fillId="10" borderId="34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Alignment="1" applyProtection="1">
      <alignment horizontal="left" wrapText="1" indent="1"/>
    </xf>
    <xf numFmtId="0" fontId="48" fillId="0" borderId="32" xfId="7" applyFont="1" applyBorder="1" applyAlignment="1" applyProtection="1">
      <alignment horizontal="left"/>
    </xf>
    <xf numFmtId="0" fontId="47" fillId="0" borderId="60" xfId="7" applyNumberFormat="1" applyFont="1" applyBorder="1" applyAlignment="1" applyProtection="1">
      <alignment horizontal="center"/>
    </xf>
    <xf numFmtId="0" fontId="47" fillId="0" borderId="76" xfId="7" applyFont="1" applyBorder="1" applyAlignment="1" applyProtection="1">
      <alignment horizontal="center" vertical="center"/>
    </xf>
    <xf numFmtId="0" fontId="47" fillId="0" borderId="15" xfId="7" applyFont="1" applyBorder="1" applyAlignment="1" applyProtection="1">
      <alignment horizontal="center" vertical="center"/>
    </xf>
    <xf numFmtId="0" fontId="47" fillId="0" borderId="70" xfId="7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indent="1"/>
    </xf>
    <xf numFmtId="0" fontId="47" fillId="0" borderId="17" xfId="7" applyFont="1" applyBorder="1" applyAlignment="1" applyProtection="1">
      <alignment horizontal="center" vertical="center"/>
    </xf>
    <xf numFmtId="0" fontId="47" fillId="0" borderId="52" xfId="7" applyFont="1" applyBorder="1" applyProtection="1"/>
    <xf numFmtId="0" fontId="47" fillId="0" borderId="18" xfId="7" applyFont="1" applyBorder="1" applyProtection="1"/>
    <xf numFmtId="0" fontId="47" fillId="0" borderId="53" xfId="7" applyFont="1" applyBorder="1" applyProtection="1"/>
    <xf numFmtId="0" fontId="47" fillId="0" borderId="31" xfId="7" applyFont="1" applyBorder="1" applyAlignment="1" applyProtection="1">
      <alignment horizontal="center"/>
    </xf>
    <xf numFmtId="0" fontId="48" fillId="0" borderId="10" xfId="7" applyFont="1" applyBorder="1" applyAlignment="1" applyProtection="1">
      <alignment horizontal="center" vertical="center"/>
    </xf>
    <xf numFmtId="0" fontId="48" fillId="0" borderId="32" xfId="7" applyFont="1" applyBorder="1" applyProtection="1"/>
    <xf numFmtId="0" fontId="48" fillId="0" borderId="8" xfId="7" applyFont="1" applyBorder="1" applyAlignment="1" applyProtection="1">
      <alignment horizontal="center"/>
    </xf>
    <xf numFmtId="0" fontId="48" fillId="0" borderId="76" xfId="7" applyFont="1" applyBorder="1" applyAlignment="1" applyProtection="1">
      <alignment horizontal="center" vertical="center"/>
    </xf>
    <xf numFmtId="0" fontId="48" fillId="0" borderId="15" xfId="7" applyFont="1" applyBorder="1" applyAlignment="1" applyProtection="1">
      <alignment horizontal="center" vertical="center"/>
    </xf>
    <xf numFmtId="0" fontId="48" fillId="0" borderId="70" xfId="7" applyFont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 wrapText="1"/>
    </xf>
    <xf numFmtId="0" fontId="48" fillId="0" borderId="17" xfId="7" applyFont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center" vertical="center"/>
    </xf>
    <xf numFmtId="0" fontId="48" fillId="0" borderId="22" xfId="7" applyFont="1" applyBorder="1" applyAlignment="1" applyProtection="1">
      <alignment horizontal="center" vertical="center"/>
    </xf>
    <xf numFmtId="0" fontId="47" fillId="0" borderId="32" xfId="7" applyFont="1" applyBorder="1" applyAlignment="1" applyProtection="1">
      <alignment horizontal="left" indent="2"/>
    </xf>
    <xf numFmtId="1" fontId="48" fillId="0" borderId="17" xfId="7" applyNumberFormat="1" applyFont="1" applyBorder="1" applyAlignment="1" applyProtection="1">
      <alignment horizontal="center" vertical="center"/>
    </xf>
    <xf numFmtId="1" fontId="48" fillId="0" borderId="0" xfId="7" applyNumberFormat="1" applyFont="1" applyBorder="1" applyAlignment="1" applyProtection="1">
      <alignment horizontal="center" vertical="center"/>
    </xf>
    <xf numFmtId="1" fontId="48" fillId="0" borderId="22" xfId="7" applyNumberFormat="1" applyFont="1" applyBorder="1" applyAlignment="1" applyProtection="1">
      <alignment horizontal="center" vertical="center"/>
    </xf>
    <xf numFmtId="1" fontId="47" fillId="0" borderId="0" xfId="7" applyNumberFormat="1" applyFont="1" applyBorder="1" applyAlignment="1" applyProtection="1">
      <alignment horizontal="center" vertical="center"/>
    </xf>
    <xf numFmtId="1" fontId="47" fillId="0" borderId="22" xfId="7" applyNumberFormat="1" applyFont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 indent="1"/>
    </xf>
    <xf numFmtId="1" fontId="48" fillId="11" borderId="34" xfId="7" applyNumberFormat="1" applyFont="1" applyFill="1" applyBorder="1" applyAlignment="1" applyProtection="1">
      <alignment horizontal="center" vertical="center"/>
    </xf>
    <xf numFmtId="1" fontId="48" fillId="11" borderId="2" xfId="7" applyNumberFormat="1" applyFont="1" applyFill="1" applyBorder="1" applyAlignment="1" applyProtection="1">
      <alignment horizontal="center" vertical="center"/>
    </xf>
    <xf numFmtId="1" fontId="48" fillId="11" borderId="39" xfId="7" applyNumberFormat="1" applyFont="1" applyFill="1" applyBorder="1" applyAlignment="1" applyProtection="1">
      <alignment horizontal="center" vertical="center"/>
    </xf>
    <xf numFmtId="1" fontId="48" fillId="11" borderId="12" xfId="7" applyNumberFormat="1" applyFont="1" applyFill="1" applyBorder="1" applyAlignment="1" applyProtection="1">
      <alignment horizontal="center" vertical="center"/>
    </xf>
    <xf numFmtId="0" fontId="48" fillId="0" borderId="36" xfId="7" applyFont="1" applyBorder="1" applyAlignment="1" applyProtection="1">
      <alignment horizontal="left" wrapText="1" indent="1"/>
    </xf>
    <xf numFmtId="0" fontId="47" fillId="0" borderId="38" xfId="7" applyNumberFormat="1" applyFont="1" applyBorder="1" applyAlignment="1" applyProtection="1">
      <alignment horizontal="center" wrapText="1"/>
    </xf>
    <xf numFmtId="1" fontId="48" fillId="11" borderId="40" xfId="7" applyNumberFormat="1" applyFont="1" applyFill="1" applyBorder="1" applyAlignment="1" applyProtection="1">
      <alignment horizontal="center" vertical="center"/>
    </xf>
    <xf numFmtId="1" fontId="48" fillId="11" borderId="43" xfId="7" applyNumberFormat="1" applyFont="1" applyFill="1" applyBorder="1" applyAlignment="1" applyProtection="1">
      <alignment horizontal="center" vertical="center"/>
    </xf>
    <xf numFmtId="1" fontId="48" fillId="11" borderId="42" xfId="7" applyNumberFormat="1" applyFont="1" applyFill="1" applyBorder="1" applyAlignment="1" applyProtection="1">
      <alignment horizontal="center" vertical="center"/>
    </xf>
    <xf numFmtId="1" fontId="48" fillId="11" borderId="41" xfId="7" applyNumberFormat="1" applyFont="1" applyFill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left" wrapText="1" indent="1"/>
    </xf>
    <xf numFmtId="0" fontId="48" fillId="0" borderId="0" xfId="7" applyFont="1" applyAlignment="1" applyProtection="1">
      <alignment horizontal="left" wrapText="1" indent="1"/>
    </xf>
    <xf numFmtId="0" fontId="47" fillId="0" borderId="0" xfId="7" applyNumberFormat="1" applyFont="1" applyAlignment="1" applyProtection="1">
      <alignment horizontal="center" wrapText="1"/>
    </xf>
    <xf numFmtId="0" fontId="47" fillId="0" borderId="0" xfId="7" applyFont="1" applyFill="1" applyAlignment="1" applyProtection="1">
      <alignment horizontal="center" vertical="center"/>
    </xf>
    <xf numFmtId="0" fontId="47" fillId="0" borderId="13" xfId="7" applyFont="1" applyBorder="1" applyProtection="1"/>
    <xf numFmtId="0" fontId="48" fillId="0" borderId="52" xfId="7" applyFont="1" applyBorder="1" applyAlignment="1" applyProtection="1">
      <alignment horizontal="center" vertical="center"/>
    </xf>
    <xf numFmtId="0" fontId="48" fillId="0" borderId="5" xfId="7" applyFont="1" applyBorder="1" applyAlignment="1" applyProtection="1">
      <alignment horizontal="center"/>
    </xf>
    <xf numFmtId="0" fontId="47" fillId="0" borderId="8" xfId="7" applyFont="1" applyFill="1" applyBorder="1" applyAlignment="1" applyProtection="1">
      <alignment horizontal="center"/>
    </xf>
    <xf numFmtId="0" fontId="48" fillId="0" borderId="17" xfId="7" applyFont="1" applyBorder="1" applyAlignment="1" applyProtection="1">
      <alignment horizontal="left" wrapText="1" indent="2"/>
    </xf>
    <xf numFmtId="167" fontId="47" fillId="11" borderId="12" xfId="7" applyNumberFormat="1" applyFont="1" applyFill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/>
    </xf>
    <xf numFmtId="0" fontId="47" fillId="0" borderId="71" xfId="7" applyFont="1" applyBorder="1" applyAlignment="1" applyProtection="1">
      <alignment horizontal="center" vertical="center"/>
    </xf>
    <xf numFmtId="0" fontId="47" fillId="0" borderId="16" xfId="7" applyFont="1" applyBorder="1" applyAlignment="1" applyProtection="1">
      <alignment horizontal="center" vertical="center"/>
    </xf>
    <xf numFmtId="0" fontId="47" fillId="0" borderId="48" xfId="7" applyFont="1" applyBorder="1" applyAlignment="1" applyProtection="1">
      <alignment horizontal="center" vertical="center"/>
    </xf>
    <xf numFmtId="0" fontId="47" fillId="0" borderId="7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wrapText="1" indent="1"/>
    </xf>
    <xf numFmtId="164" fontId="48" fillId="11" borderId="39" xfId="15" applyNumberFormat="1" applyFont="1" applyFill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 indent="1"/>
    </xf>
    <xf numFmtId="0" fontId="47" fillId="0" borderId="17" xfId="7" applyFont="1" applyBorder="1" applyAlignment="1" applyProtection="1">
      <alignment horizontal="left" wrapText="1"/>
    </xf>
    <xf numFmtId="0" fontId="47" fillId="0" borderId="60" xfId="7" applyFont="1" applyBorder="1" applyAlignment="1" applyProtection="1">
      <alignment horizontal="center"/>
    </xf>
    <xf numFmtId="167" fontId="47" fillId="11" borderId="46" xfId="7" applyNumberFormat="1" applyFont="1" applyFill="1" applyBorder="1" applyAlignment="1" applyProtection="1">
      <alignment horizontal="center" vertical="center"/>
    </xf>
    <xf numFmtId="167" fontId="47" fillId="11" borderId="4" xfId="7" applyNumberFormat="1" applyFont="1" applyFill="1" applyBorder="1" applyAlignment="1" applyProtection="1">
      <alignment horizontal="center" vertical="center"/>
    </xf>
    <xf numFmtId="167" fontId="47" fillId="11" borderId="47" xfId="7" applyNumberFormat="1" applyFont="1" applyFill="1" applyBorder="1" applyAlignment="1" applyProtection="1">
      <alignment horizontal="center" vertical="center"/>
    </xf>
    <xf numFmtId="164" fontId="47" fillId="11" borderId="47" xfId="15" applyNumberFormat="1" applyFont="1" applyFill="1" applyBorder="1" applyAlignment="1" applyProtection="1">
      <alignment horizontal="center" vertical="center"/>
    </xf>
    <xf numFmtId="0" fontId="47" fillId="0" borderId="20" xfId="7" applyFont="1" applyBorder="1" applyAlignment="1" applyProtection="1">
      <alignment horizontal="left" wrapText="1"/>
    </xf>
    <xf numFmtId="0" fontId="47" fillId="0" borderId="61" xfId="7" applyFont="1" applyBorder="1" applyAlignment="1" applyProtection="1">
      <alignment horizontal="center"/>
    </xf>
    <xf numFmtId="167" fontId="47" fillId="0" borderId="40" xfId="7" applyNumberFormat="1" applyFont="1" applyFill="1" applyBorder="1" applyAlignment="1" applyProtection="1">
      <alignment horizontal="center" vertical="center"/>
    </xf>
    <xf numFmtId="167" fontId="47" fillId="0" borderId="41" xfId="7" applyNumberFormat="1" applyFont="1" applyFill="1" applyBorder="1" applyAlignment="1" applyProtection="1">
      <alignment horizontal="center" vertical="center"/>
    </xf>
    <xf numFmtId="167" fontId="47" fillId="0" borderId="42" xfId="7" applyNumberFormat="1" applyFont="1" applyFill="1" applyBorder="1" applyAlignment="1" applyProtection="1">
      <alignment horizontal="center" vertical="center"/>
    </xf>
    <xf numFmtId="167" fontId="47" fillId="0" borderId="43" xfId="7" applyNumberFormat="1" applyFont="1" applyFill="1" applyBorder="1" applyAlignment="1" applyProtection="1">
      <alignment horizontal="center" vertical="center"/>
    </xf>
    <xf numFmtId="0" fontId="47" fillId="0" borderId="0" xfId="7" applyFont="1" applyBorder="1" applyProtection="1"/>
    <xf numFmtId="0" fontId="47" fillId="0" borderId="0" xfId="7" applyFont="1" applyBorder="1" applyAlignment="1" applyProtection="1">
      <alignment horizontal="center"/>
    </xf>
    <xf numFmtId="0" fontId="48" fillId="0" borderId="35" xfId="7" applyFont="1" applyBorder="1" applyAlignment="1" applyProtection="1">
      <alignment horizontal="center" vertical="center" wrapText="1"/>
    </xf>
    <xf numFmtId="0" fontId="48" fillId="0" borderId="41" xfId="7" applyFont="1" applyBorder="1" applyAlignment="1" applyProtection="1">
      <alignment horizontal="center" vertical="center" wrapText="1"/>
    </xf>
    <xf numFmtId="0" fontId="48" fillId="0" borderId="43" xfId="7" applyFont="1" applyBorder="1" applyAlignment="1" applyProtection="1">
      <alignment horizontal="center" vertical="center" wrapText="1"/>
    </xf>
    <xf numFmtId="0" fontId="48" fillId="0" borderId="40" xfId="7" applyFont="1" applyBorder="1" applyAlignment="1" applyProtection="1">
      <alignment horizontal="center" vertical="center" wrapText="1"/>
    </xf>
    <xf numFmtId="0" fontId="48" fillId="0" borderId="66" xfId="7" applyFont="1" applyBorder="1" applyAlignment="1" applyProtection="1">
      <alignment horizontal="center" vertical="center" wrapText="1"/>
    </xf>
    <xf numFmtId="0" fontId="48" fillId="0" borderId="33" xfId="7" applyFont="1" applyBorder="1" applyAlignment="1" applyProtection="1">
      <alignment horizontal="center" vertical="center" wrapText="1"/>
    </xf>
    <xf numFmtId="0" fontId="48" fillId="0" borderId="42" xfId="7" applyFont="1" applyBorder="1" applyAlignment="1" applyProtection="1">
      <alignment horizontal="center" vertical="center" wrapText="1"/>
    </xf>
    <xf numFmtId="0" fontId="48" fillId="0" borderId="48" xfId="7" applyFont="1" applyBorder="1" applyAlignment="1" applyProtection="1">
      <alignment horizontal="center" vertical="center" wrapText="1"/>
    </xf>
    <xf numFmtId="167" fontId="0" fillId="0" borderId="0" xfId="0" applyNumberFormat="1" applyAlignment="1">
      <alignment horizontal="right"/>
    </xf>
    <xf numFmtId="167" fontId="48" fillId="0" borderId="0" xfId="0" applyNumberFormat="1" applyFont="1"/>
    <xf numFmtId="166" fontId="0" fillId="0" borderId="0" xfId="0" applyNumberFormat="1"/>
    <xf numFmtId="0" fontId="52" fillId="0" borderId="0" xfId="0" applyFont="1" applyFill="1" applyBorder="1"/>
    <xf numFmtId="0" fontId="50" fillId="0" borderId="0" xfId="0" applyFont="1" applyFill="1" applyBorder="1"/>
    <xf numFmtId="0" fontId="50" fillId="0" borderId="0" xfId="0" applyFont="1"/>
    <xf numFmtId="166" fontId="50" fillId="4" borderId="0" xfId="1" applyNumberFormat="1" applyFont="1" applyFill="1"/>
    <xf numFmtId="166" fontId="50" fillId="0" borderId="18" xfId="1" applyNumberFormat="1" applyFont="1" applyBorder="1"/>
    <xf numFmtId="166" fontId="50" fillId="5" borderId="0" xfId="1" applyNumberFormat="1" applyFont="1" applyFill="1" applyBorder="1"/>
    <xf numFmtId="166" fontId="50" fillId="0" borderId="0" xfId="1" applyNumberFormat="1" applyFont="1"/>
    <xf numFmtId="166" fontId="50" fillId="5" borderId="16" xfId="1" applyNumberFormat="1" applyFont="1" applyFill="1" applyBorder="1"/>
    <xf numFmtId="166" fontId="50" fillId="0" borderId="0" xfId="0" applyNumberFormat="1" applyFont="1"/>
    <xf numFmtId="166" fontId="50" fillId="17" borderId="0" xfId="1" applyNumberFormat="1" applyFont="1" applyFill="1"/>
    <xf numFmtId="166" fontId="50" fillId="5" borderId="16" xfId="0" applyNumberFormat="1" applyFont="1" applyFill="1" applyBorder="1"/>
    <xf numFmtId="166" fontId="50" fillId="4" borderId="0" xfId="0" applyNumberFormat="1" applyFont="1" applyFill="1"/>
    <xf numFmtId="0" fontId="50" fillId="0" borderId="0" xfId="0" applyFont="1" applyBorder="1"/>
    <xf numFmtId="0" fontId="48" fillId="2" borderId="0" xfId="0" applyFont="1" applyFill="1"/>
    <xf numFmtId="0" fontId="47" fillId="0" borderId="7" xfId="0" applyFont="1" applyBorder="1"/>
    <xf numFmtId="0" fontId="47" fillId="0" borderId="2" xfId="0" applyFont="1" applyBorder="1"/>
    <xf numFmtId="0" fontId="47" fillId="0" borderId="1" xfId="0" applyFont="1" applyBorder="1"/>
    <xf numFmtId="0" fontId="47" fillId="0" borderId="8" xfId="0" applyFont="1" applyBorder="1"/>
    <xf numFmtId="0" fontId="47" fillId="0" borderId="10" xfId="0" applyFont="1" applyBorder="1"/>
    <xf numFmtId="0" fontId="47" fillId="0" borderId="0" xfId="0" applyFont="1" applyBorder="1"/>
    <xf numFmtId="0" fontId="47" fillId="0" borderId="3" xfId="0" applyFont="1" applyBorder="1"/>
    <xf numFmtId="0" fontId="47" fillId="0" borderId="4" xfId="0" applyFont="1" applyBorder="1"/>
    <xf numFmtId="0" fontId="53" fillId="0" borderId="0" xfId="0" applyFont="1" applyAlignment="1">
      <alignment vertical="top" wrapText="1"/>
    </xf>
    <xf numFmtId="0" fontId="53" fillId="0" borderId="0" xfId="0" applyFont="1"/>
    <xf numFmtId="0" fontId="47" fillId="0" borderId="12" xfId="0" applyFont="1" applyBorder="1"/>
    <xf numFmtId="9" fontId="47" fillId="6" borderId="1" xfId="15" applyFont="1" applyFill="1" applyBorder="1"/>
    <xf numFmtId="9" fontId="47" fillId="6" borderId="3" xfId="15" applyFont="1" applyFill="1" applyBorder="1"/>
    <xf numFmtId="0" fontId="47" fillId="0" borderId="2" xfId="0" applyFont="1" applyFill="1" applyBorder="1"/>
    <xf numFmtId="9" fontId="47" fillId="6" borderId="4" xfId="15" applyFont="1" applyFill="1" applyBorder="1"/>
    <xf numFmtId="0" fontId="47" fillId="0" borderId="0" xfId="0" applyFont="1" applyFill="1" applyBorder="1"/>
    <xf numFmtId="0" fontId="47" fillId="4" borderId="2" xfId="0" applyFont="1" applyFill="1" applyBorder="1" applyAlignment="1">
      <alignment vertical="center" wrapText="1"/>
    </xf>
    <xf numFmtId="166" fontId="47" fillId="0" borderId="3" xfId="0" applyNumberFormat="1" applyFont="1" applyBorder="1"/>
    <xf numFmtId="166" fontId="47" fillId="0" borderId="9" xfId="0" applyNumberFormat="1" applyFont="1" applyBorder="1"/>
    <xf numFmtId="181" fontId="0" fillId="0" borderId="9" xfId="0" applyNumberFormat="1" applyBorder="1"/>
    <xf numFmtId="3" fontId="0" fillId="0" borderId="9" xfId="0" applyNumberFormat="1" applyBorder="1"/>
    <xf numFmtId="166" fontId="47" fillId="19" borderId="3" xfId="0" applyNumberFormat="1" applyFont="1" applyFill="1" applyBorder="1"/>
    <xf numFmtId="0" fontId="0" fillId="0" borderId="9" xfId="0" applyFill="1" applyBorder="1"/>
    <xf numFmtId="166" fontId="47" fillId="0" borderId="3" xfId="0" applyNumberFormat="1" applyFont="1" applyFill="1" applyBorder="1"/>
    <xf numFmtId="3" fontId="0" fillId="19" borderId="9" xfId="0" applyNumberFormat="1" applyFill="1" applyBorder="1"/>
    <xf numFmtId="166" fontId="47" fillId="0" borderId="4" xfId="0" applyNumberFormat="1" applyFont="1" applyBorder="1"/>
    <xf numFmtId="166" fontId="47" fillId="0" borderId="11" xfId="0" applyNumberFormat="1" applyFont="1" applyBorder="1"/>
    <xf numFmtId="181" fontId="0" fillId="0" borderId="4" xfId="0" applyNumberFormat="1" applyBorder="1"/>
    <xf numFmtId="3" fontId="0" fillId="0" borderId="4" xfId="0" applyNumberFormat="1" applyBorder="1"/>
    <xf numFmtId="0" fontId="48" fillId="0" borderId="10" xfId="0" applyFont="1" applyBorder="1"/>
    <xf numFmtId="3" fontId="48" fillId="0" borderId="4" xfId="0" applyNumberFormat="1" applyFont="1" applyFill="1" applyBorder="1"/>
    <xf numFmtId="0" fontId="48" fillId="4" borderId="2" xfId="0" applyFont="1" applyFill="1" applyBorder="1"/>
    <xf numFmtId="0" fontId="48" fillId="4" borderId="15" xfId="0" applyFont="1" applyFill="1" applyBorder="1"/>
    <xf numFmtId="0" fontId="48" fillId="3" borderId="8" xfId="0" applyFont="1" applyFill="1" applyBorder="1"/>
    <xf numFmtId="0" fontId="47" fillId="0" borderId="3" xfId="0" applyFont="1" applyBorder="1" applyAlignment="1">
      <alignment vertical="top" wrapText="1"/>
    </xf>
    <xf numFmtId="0" fontId="47" fillId="0" borderId="4" xfId="0" applyFont="1" applyBorder="1" applyAlignment="1">
      <alignment vertical="top" wrapText="1"/>
    </xf>
    <xf numFmtId="0" fontId="48" fillId="4" borderId="7" xfId="0" applyFont="1" applyFill="1" applyBorder="1"/>
    <xf numFmtId="9" fontId="47" fillId="0" borderId="3" xfId="15" applyFont="1" applyBorder="1" applyAlignment="1">
      <alignment vertical="top" wrapText="1"/>
    </xf>
    <xf numFmtId="9" fontId="47" fillId="0" borderId="4" xfId="15" applyFont="1" applyBorder="1" applyAlignment="1">
      <alignment vertical="top" wrapText="1"/>
    </xf>
    <xf numFmtId="0" fontId="47" fillId="0" borderId="0" xfId="0" applyFont="1" applyBorder="1" applyAlignment="1">
      <alignment vertical="top" wrapText="1"/>
    </xf>
    <xf numFmtId="9" fontId="47" fillId="0" borderId="0" xfId="15" applyFont="1" applyBorder="1" applyAlignment="1">
      <alignment vertical="top" wrapText="1"/>
    </xf>
    <xf numFmtId="0" fontId="56" fillId="0" borderId="0" xfId="0" applyFont="1"/>
    <xf numFmtId="169" fontId="48" fillId="14" borderId="0" xfId="0" applyNumberFormat="1" applyFont="1" applyFill="1" applyAlignment="1">
      <alignment vertical="center" wrapText="1"/>
    </xf>
    <xf numFmtId="0" fontId="50" fillId="3" borderId="0" xfId="0" applyFont="1" applyFill="1"/>
    <xf numFmtId="0" fontId="57" fillId="3" borderId="0" xfId="0" applyFont="1" applyFill="1"/>
    <xf numFmtId="0" fontId="53" fillId="0" borderId="0" xfId="0" applyFont="1" applyFill="1" applyBorder="1"/>
    <xf numFmtId="0" fontId="53" fillId="0" borderId="0" xfId="0" applyFont="1" applyFill="1" applyBorder="1" applyAlignment="1">
      <alignment vertical="top" wrapText="1"/>
    </xf>
    <xf numFmtId="0" fontId="47" fillId="0" borderId="8" xfId="0" applyFont="1" applyBorder="1" applyAlignment="1">
      <alignment vertical="top" wrapText="1"/>
    </xf>
    <xf numFmtId="0" fontId="47" fillId="0" borderId="6" xfId="0" applyFont="1" applyBorder="1" applyAlignment="1">
      <alignment vertical="top" wrapText="1"/>
    </xf>
    <xf numFmtId="9" fontId="48" fillId="0" borderId="1" xfId="15" applyFont="1" applyBorder="1" applyAlignment="1"/>
    <xf numFmtId="0" fontId="48" fillId="0" borderId="2" xfId="0" applyFont="1" applyBorder="1" applyAlignment="1"/>
    <xf numFmtId="0" fontId="48" fillId="0" borderId="12" xfId="0" applyFont="1" applyBorder="1" applyAlignment="1"/>
    <xf numFmtId="2" fontId="48" fillId="0" borderId="0" xfId="0" applyNumberFormat="1" applyFont="1" applyBorder="1" applyAlignment="1">
      <alignment horizontal="center"/>
    </xf>
    <xf numFmtId="167" fontId="48" fillId="0" borderId="2" xfId="0" applyNumberFormat="1" applyFont="1" applyBorder="1" applyAlignment="1"/>
    <xf numFmtId="2" fontId="48" fillId="0" borderId="2" xfId="0" applyNumberFormat="1" applyFont="1" applyBorder="1" applyAlignment="1"/>
    <xf numFmtId="2" fontId="48" fillId="0" borderId="6" xfId="0" applyNumberFormat="1" applyFont="1" applyBorder="1" applyAlignment="1"/>
    <xf numFmtId="9" fontId="48" fillId="0" borderId="2" xfId="15" applyFont="1" applyBorder="1" applyAlignment="1"/>
    <xf numFmtId="9" fontId="48" fillId="6" borderId="2" xfId="15" applyFont="1" applyFill="1" applyBorder="1" applyAlignment="1"/>
    <xf numFmtId="9" fontId="48" fillId="6" borderId="6" xfId="15" applyFont="1" applyFill="1" applyBorder="1" applyAlignment="1"/>
    <xf numFmtId="0" fontId="53" fillId="0" borderId="0" xfId="0" applyFont="1" applyFill="1" applyBorder="1" applyAlignment="1">
      <alignment horizontal="center"/>
    </xf>
    <xf numFmtId="0" fontId="53" fillId="0" borderId="0" xfId="0" applyFont="1" applyFill="1" applyBorder="1" applyAlignment="1"/>
    <xf numFmtId="167" fontId="53" fillId="0" borderId="0" xfId="0" applyNumberFormat="1" applyFont="1" applyFill="1" applyBorder="1" applyAlignment="1"/>
    <xf numFmtId="9" fontId="53" fillId="0" borderId="0" xfId="15" applyFont="1" applyFill="1" applyBorder="1" applyAlignment="1"/>
    <xf numFmtId="0" fontId="48" fillId="0" borderId="1" xfId="0" applyFont="1" applyFill="1" applyBorder="1" applyAlignment="1"/>
    <xf numFmtId="167" fontId="48" fillId="0" borderId="7" xfId="0" applyNumberFormat="1" applyFont="1" applyFill="1" applyBorder="1" applyAlignment="1"/>
    <xf numFmtId="167" fontId="48" fillId="0" borderId="1" xfId="0" applyNumberFormat="1" applyFont="1" applyFill="1" applyBorder="1" applyAlignment="1"/>
    <xf numFmtId="166" fontId="53" fillId="0" borderId="0" xfId="0" applyNumberFormat="1" applyFont="1" applyFill="1" applyBorder="1" applyAlignment="1"/>
    <xf numFmtId="1" fontId="53" fillId="0" borderId="0" xfId="0" applyNumberFormat="1" applyFont="1" applyFill="1" applyBorder="1" applyAlignment="1">
      <alignment horizontal="center"/>
    </xf>
    <xf numFmtId="0" fontId="48" fillId="0" borderId="3" xfId="0" applyFont="1" applyFill="1" applyBorder="1" applyAlignment="1"/>
    <xf numFmtId="167" fontId="48" fillId="0" borderId="9" xfId="0" applyNumberFormat="1" applyFont="1" applyFill="1" applyBorder="1" applyAlignment="1"/>
    <xf numFmtId="167" fontId="48" fillId="0" borderId="3" xfId="0" applyNumberFormat="1" applyFont="1" applyFill="1" applyBorder="1" applyAlignment="1"/>
    <xf numFmtId="9" fontId="48" fillId="0" borderId="9" xfId="15" applyFont="1" applyFill="1" applyBorder="1" applyAlignment="1"/>
    <xf numFmtId="9" fontId="48" fillId="0" borderId="3" xfId="15" applyFont="1" applyFill="1" applyBorder="1" applyAlignment="1"/>
    <xf numFmtId="9" fontId="48" fillId="0" borderId="3" xfId="15" applyNumberFormat="1" applyFont="1" applyFill="1" applyBorder="1" applyAlignment="1"/>
    <xf numFmtId="0" fontId="48" fillId="0" borderId="4" xfId="0" applyFont="1" applyFill="1" applyBorder="1" applyAlignment="1"/>
    <xf numFmtId="9" fontId="48" fillId="0" borderId="11" xfId="15" applyFont="1" applyFill="1" applyBorder="1" applyAlignment="1"/>
    <xf numFmtId="9" fontId="48" fillId="0" borderId="4" xfId="15" applyFont="1" applyFill="1" applyBorder="1" applyAlignment="1"/>
    <xf numFmtId="0" fontId="48" fillId="11" borderId="0" xfId="0" applyFont="1" applyFill="1"/>
    <xf numFmtId="0" fontId="47" fillId="9" borderId="0" xfId="0" applyFont="1" applyFill="1"/>
    <xf numFmtId="0" fontId="53" fillId="9" borderId="0" xfId="0" applyFont="1" applyFill="1"/>
    <xf numFmtId="4" fontId="53" fillId="9" borderId="0" xfId="0" applyNumberFormat="1" applyFont="1" applyFill="1"/>
    <xf numFmtId="167" fontId="53" fillId="9" borderId="0" xfId="0" applyNumberFormat="1" applyFont="1" applyFill="1"/>
    <xf numFmtId="167" fontId="47" fillId="9" borderId="0" xfId="0" applyNumberFormat="1" applyFont="1" applyFill="1"/>
    <xf numFmtId="10" fontId="53" fillId="9" borderId="0" xfId="0" applyNumberFormat="1" applyFont="1" applyFill="1"/>
    <xf numFmtId="1" fontId="47" fillId="9" borderId="0" xfId="0" applyNumberFormat="1" applyFont="1" applyFill="1"/>
    <xf numFmtId="10" fontId="47" fillId="9" borderId="0" xfId="0" applyNumberFormat="1" applyFont="1" applyFill="1"/>
    <xf numFmtId="165" fontId="47" fillId="9" borderId="0" xfId="0" applyNumberFormat="1" applyFont="1" applyFill="1"/>
    <xf numFmtId="166" fontId="47" fillId="9" borderId="0" xfId="0" applyNumberFormat="1" applyFont="1" applyFill="1"/>
    <xf numFmtId="167" fontId="47" fillId="0" borderId="0" xfId="0" applyNumberFormat="1" applyFont="1"/>
    <xf numFmtId="0" fontId="47" fillId="10" borderId="5" xfId="0" applyFont="1" applyFill="1" applyBorder="1"/>
    <xf numFmtId="0" fontId="47" fillId="10" borderId="8" xfId="0" applyFont="1" applyFill="1" applyBorder="1"/>
    <xf numFmtId="0" fontId="47" fillId="5" borderId="17" xfId="0" applyFont="1" applyFill="1" applyBorder="1" applyAlignment="1"/>
    <xf numFmtId="0" fontId="47" fillId="10" borderId="8" xfId="0" applyFont="1" applyFill="1" applyBorder="1" applyAlignment="1"/>
    <xf numFmtId="0" fontId="53" fillId="0" borderId="0" xfId="0" applyFont="1" applyAlignment="1"/>
    <xf numFmtId="0" fontId="47" fillId="9" borderId="17" xfId="0" applyFont="1" applyFill="1" applyBorder="1" applyAlignment="1"/>
    <xf numFmtId="175" fontId="53" fillId="10" borderId="17" xfId="15" applyNumberFormat="1" applyFont="1" applyFill="1" applyBorder="1" applyAlignment="1">
      <alignment horizontal="center"/>
    </xf>
    <xf numFmtId="0" fontId="53" fillId="10" borderId="0" xfId="0" applyFont="1" applyFill="1" applyBorder="1" applyAlignment="1"/>
    <xf numFmtId="9" fontId="53" fillId="10" borderId="22" xfId="15" applyFont="1" applyFill="1" applyBorder="1" applyAlignment="1"/>
    <xf numFmtId="180" fontId="1" fillId="19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180" fontId="0" fillId="0" borderId="0" xfId="0" applyNumberFormat="1"/>
    <xf numFmtId="0" fontId="4" fillId="4" borderId="2" xfId="0" applyFont="1" applyFill="1" applyBorder="1"/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/>
    <xf numFmtId="0" fontId="0" fillId="10" borderId="14" xfId="0" applyFill="1" applyBorder="1" applyAlignment="1">
      <alignment horizontal="center"/>
    </xf>
    <xf numFmtId="0" fontId="0" fillId="10" borderId="19" xfId="0" applyFill="1" applyBorder="1" applyAlignment="1"/>
    <xf numFmtId="0" fontId="0" fillId="10" borderId="1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9" fontId="0" fillId="10" borderId="5" xfId="15" applyFont="1" applyFill="1" applyBorder="1" applyAlignment="1">
      <alignment horizontal="center"/>
    </xf>
    <xf numFmtId="9" fontId="0" fillId="10" borderId="15" xfId="15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6" xfId="0" applyFont="1" applyBorder="1" applyAlignment="1">
      <alignment horizontal="center" vertical="top" wrapText="1"/>
    </xf>
    <xf numFmtId="0" fontId="53" fillId="0" borderId="16" xfId="0" applyFont="1" applyBorder="1" applyAlignment="1">
      <alignment horizontal="center" vertical="top" wrapText="1"/>
    </xf>
    <xf numFmtId="0" fontId="53" fillId="0" borderId="12" xfId="0" applyFont="1" applyBorder="1" applyAlignment="1">
      <alignment horizontal="center" vertical="top" wrapText="1"/>
    </xf>
    <xf numFmtId="0" fontId="19" fillId="0" borderId="0" xfId="14" applyFont="1" applyFill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7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47" fillId="0" borderId="6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48" fillId="0" borderId="2" xfId="0" applyNumberFormat="1" applyFont="1" applyBorder="1" applyAlignment="1">
      <alignment horizontal="center"/>
    </xf>
    <xf numFmtId="167" fontId="14" fillId="0" borderId="5" xfId="14" applyNumberFormat="1" applyFont="1" applyBorder="1" applyAlignment="1" applyProtection="1">
      <alignment horizontal="center" vertical="center" wrapText="1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167" fontId="48" fillId="0" borderId="2" xfId="0" applyNumberFormat="1" applyFont="1" applyBorder="1" applyAlignment="1">
      <alignment horizontal="center"/>
    </xf>
    <xf numFmtId="0" fontId="53" fillId="0" borderId="18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47" fillId="0" borderId="16" xfId="0" applyFont="1" applyBorder="1" applyAlignment="1"/>
    <xf numFmtId="0" fontId="0" fillId="0" borderId="16" xfId="0" applyBorder="1" applyAlignment="1"/>
    <xf numFmtId="0" fontId="0" fillId="0" borderId="12" xfId="0" applyBorder="1" applyAlignment="1"/>
    <xf numFmtId="0" fontId="48" fillId="4" borderId="6" xfId="0" applyFont="1" applyFill="1" applyBorder="1" applyAlignment="1">
      <alignment horizontal="center" wrapText="1"/>
    </xf>
    <xf numFmtId="0" fontId="48" fillId="4" borderId="16" xfId="0" applyFont="1" applyFill="1" applyBorder="1" applyAlignment="1">
      <alignment horizontal="center" wrapText="1"/>
    </xf>
    <xf numFmtId="0" fontId="48" fillId="4" borderId="12" xfId="0" applyFont="1" applyFill="1" applyBorder="1" applyAlignment="1">
      <alignment horizontal="center" wrapText="1"/>
    </xf>
    <xf numFmtId="0" fontId="47" fillId="0" borderId="6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1" fontId="15" fillId="0" borderId="49" xfId="10" applyNumberFormat="1" applyFont="1" applyBorder="1" applyAlignment="1" applyProtection="1">
      <alignment horizontal="center" vertical="center" wrapText="1"/>
    </xf>
    <xf numFmtId="1" fontId="15" fillId="0" borderId="51" xfId="10" applyNumberFormat="1" applyFont="1" applyBorder="1" applyAlignment="1" applyProtection="1">
      <alignment horizontal="center" vertical="center" wrapText="1"/>
    </xf>
    <xf numFmtId="1" fontId="15" fillId="0" borderId="24" xfId="10" quotePrefix="1" applyNumberFormat="1" applyFont="1" applyBorder="1" applyAlignment="1" applyProtection="1">
      <alignment horizontal="center"/>
    </xf>
    <xf numFmtId="1" fontId="15" fillId="0" borderId="25" xfId="10" quotePrefix="1" applyNumberFormat="1" applyFont="1" applyBorder="1" applyAlignment="1" applyProtection="1">
      <alignment horizontal="center"/>
    </xf>
    <xf numFmtId="1" fontId="15" fillId="0" borderId="26" xfId="10" quotePrefix="1" applyNumberFormat="1" applyFont="1" applyBorder="1" applyAlignment="1" applyProtection="1">
      <alignment horizontal="center"/>
    </xf>
    <xf numFmtId="1" fontId="15" fillId="0" borderId="24" xfId="10" applyNumberFormat="1" applyFont="1" applyBorder="1" applyAlignment="1" applyProtection="1">
      <alignment horizontal="center"/>
    </xf>
    <xf numFmtId="1" fontId="15" fillId="0" borderId="25" xfId="10" applyNumberFormat="1" applyFont="1" applyBorder="1" applyAlignment="1" applyProtection="1">
      <alignment horizontal="center"/>
    </xf>
    <xf numFmtId="1" fontId="15" fillId="0" borderId="26" xfId="10" applyNumberFormat="1" applyFont="1" applyBorder="1" applyAlignment="1" applyProtection="1">
      <alignment horizontal="center"/>
    </xf>
    <xf numFmtId="0" fontId="24" fillId="10" borderId="76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24" fillId="10" borderId="71" xfId="7" applyNumberFormat="1" applyFont="1" applyFill="1" applyBorder="1" applyAlignment="1" applyProtection="1">
      <alignment horizontal="left" vertical="center"/>
      <protection locked="0"/>
    </xf>
    <xf numFmtId="0" fontId="24" fillId="10" borderId="16" xfId="7" applyNumberFormat="1" applyFont="1" applyFill="1" applyBorder="1" applyAlignment="1" applyProtection="1">
      <alignment horizontal="left" vertical="center"/>
      <protection locked="0"/>
    </xf>
    <xf numFmtId="0" fontId="24" fillId="10" borderId="48" xfId="7" applyNumberFormat="1" applyFont="1" applyFill="1" applyBorder="1" applyAlignment="1" applyProtection="1">
      <alignment horizontal="left" vertical="center"/>
      <protection locked="0"/>
    </xf>
    <xf numFmtId="0" fontId="11" fillId="0" borderId="71" xfId="7" applyFont="1" applyBorder="1" applyAlignment="1" applyProtection="1">
      <alignment horizontal="center" vertical="center" wrapText="1"/>
    </xf>
    <xf numFmtId="0" fontId="11" fillId="0" borderId="16" xfId="7" applyFont="1" applyBorder="1" applyAlignment="1" applyProtection="1">
      <alignment horizontal="center" vertical="center" wrapText="1"/>
    </xf>
    <xf numFmtId="0" fontId="11" fillId="0" borderId="48" xfId="7" applyFont="1" applyBorder="1" applyAlignment="1" applyProtection="1">
      <alignment horizontal="center" vertical="center" wrapText="1"/>
    </xf>
    <xf numFmtId="0" fontId="48" fillId="0" borderId="71" xfId="7" applyFont="1" applyFill="1" applyBorder="1" applyAlignment="1" applyProtection="1">
      <alignment horizontal="center" vertical="center"/>
    </xf>
    <xf numFmtId="0" fontId="48" fillId="0" borderId="16" xfId="7" applyFont="1" applyFill="1" applyBorder="1" applyAlignment="1" applyProtection="1">
      <alignment horizontal="center" vertical="center"/>
    </xf>
    <xf numFmtId="0" fontId="48" fillId="0" borderId="48" xfId="7" applyFont="1" applyFill="1" applyBorder="1" applyAlignment="1" applyProtection="1">
      <alignment horizontal="center" vertical="center"/>
    </xf>
    <xf numFmtId="0" fontId="13" fillId="0" borderId="44" xfId="13" applyFont="1" applyFill="1" applyBorder="1" applyAlignment="1" applyProtection="1">
      <alignment horizontal="left" vertical="center"/>
    </xf>
    <xf numFmtId="0" fontId="13" fillId="0" borderId="32" xfId="13" applyFont="1" applyFill="1" applyBorder="1" applyAlignment="1" applyProtection="1">
      <alignment horizontal="left" vertical="center"/>
    </xf>
    <xf numFmtId="0" fontId="13" fillId="0" borderId="46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left" vertical="center"/>
    </xf>
    <xf numFmtId="0" fontId="13" fillId="0" borderId="44" xfId="9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left" wrapText="1"/>
    </xf>
    <xf numFmtId="0" fontId="15" fillId="0" borderId="1" xfId="14" applyFont="1" applyBorder="1" applyAlignment="1">
      <alignment horizontal="center" textRotation="90" wrapText="1"/>
    </xf>
    <xf numFmtId="0" fontId="15" fillId="0" borderId="3" xfId="14" applyFont="1" applyBorder="1" applyAlignment="1">
      <alignment horizontal="center" textRotation="90" wrapText="1"/>
    </xf>
    <xf numFmtId="0" fontId="15" fillId="0" borderId="4" xfId="14" applyFont="1" applyBorder="1" applyAlignment="1">
      <alignment horizontal="center" textRotation="90" wrapText="1"/>
    </xf>
    <xf numFmtId="0" fontId="14" fillId="5" borderId="6" xfId="14" applyFont="1" applyFill="1" applyBorder="1" applyAlignment="1">
      <alignment horizontal="center"/>
    </xf>
    <xf numFmtId="0" fontId="14" fillId="5" borderId="16" xfId="14" applyFont="1" applyFill="1" applyBorder="1" applyAlignment="1">
      <alignment horizontal="center"/>
    </xf>
    <xf numFmtId="0" fontId="14" fillId="5" borderId="12" xfId="14" applyFont="1" applyFill="1" applyBorder="1" applyAlignment="1">
      <alignment horizontal="center"/>
    </xf>
    <xf numFmtId="0" fontId="14" fillId="9" borderId="6" xfId="14" applyFont="1" applyFill="1" applyBorder="1" applyAlignment="1">
      <alignment horizontal="center"/>
    </xf>
    <xf numFmtId="0" fontId="14" fillId="9" borderId="16" xfId="14" applyFont="1" applyFill="1" applyBorder="1" applyAlignment="1">
      <alignment horizontal="center"/>
    </xf>
    <xf numFmtId="0" fontId="14" fillId="9" borderId="12" xfId="14" applyFont="1" applyFill="1" applyBorder="1" applyAlignment="1">
      <alignment horizontal="center"/>
    </xf>
    <xf numFmtId="0" fontId="14" fillId="0" borderId="1" xfId="14" applyFont="1" applyBorder="1" applyAlignment="1">
      <alignment horizontal="center" textRotation="90" wrapText="1"/>
    </xf>
    <xf numFmtId="0" fontId="14" fillId="0" borderId="3" xfId="14" applyFont="1" applyBorder="1" applyAlignment="1">
      <alignment horizontal="center" textRotation="90" wrapText="1"/>
    </xf>
    <xf numFmtId="0" fontId="14" fillId="0" borderId="4" xfId="14" applyFont="1" applyBorder="1" applyAlignment="1">
      <alignment horizontal="center" textRotation="90" wrapText="1"/>
    </xf>
    <xf numFmtId="0" fontId="14" fillId="0" borderId="6" xfId="14" applyFont="1" applyBorder="1" applyAlignment="1">
      <alignment horizontal="center"/>
    </xf>
    <xf numFmtId="0" fontId="14" fillId="0" borderId="16" xfId="14" applyFont="1" applyBorder="1" applyAlignment="1">
      <alignment horizontal="center"/>
    </xf>
    <xf numFmtId="0" fontId="14" fillId="0" borderId="12" xfId="14" applyFont="1" applyBorder="1" applyAlignment="1">
      <alignment horizontal="center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36" fillId="0" borderId="13" xfId="0" applyFont="1" applyBorder="1" applyAlignment="1" applyProtection="1">
      <alignment horizontal="center"/>
    </xf>
    <xf numFmtId="0" fontId="36" fillId="0" borderId="20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left"/>
    </xf>
    <xf numFmtId="0" fontId="36" fillId="0" borderId="14" xfId="0" applyFont="1" applyBorder="1" applyAlignment="1" applyProtection="1">
      <alignment horizontal="left"/>
    </xf>
    <xf numFmtId="0" fontId="36" fillId="0" borderId="20" xfId="0" applyFont="1" applyBorder="1" applyAlignment="1" applyProtection="1">
      <alignment horizontal="left"/>
    </xf>
    <xf numFmtId="0" fontId="36" fillId="0" borderId="21" xfId="0" applyFont="1" applyBorder="1" applyAlignment="1" applyProtection="1">
      <alignment horizontal="left"/>
    </xf>
    <xf numFmtId="0" fontId="37" fillId="0" borderId="46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/>
    </xf>
    <xf numFmtId="0" fontId="8" fillId="0" borderId="47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 wrapText="1"/>
    </xf>
    <xf numFmtId="0" fontId="8" fillId="0" borderId="39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/>
    </xf>
    <xf numFmtId="0" fontId="8" fillId="0" borderId="45" xfId="0" applyFont="1" applyFill="1" applyBorder="1" applyAlignment="1" applyProtection="1">
      <alignment horizontal="left"/>
    </xf>
    <xf numFmtId="0" fontId="37" fillId="0" borderId="68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/>
    </xf>
    <xf numFmtId="0" fontId="8" fillId="0" borderId="83" xfId="0" applyFont="1" applyFill="1" applyBorder="1" applyAlignment="1" applyProtection="1">
      <alignment horizontal="left"/>
    </xf>
    <xf numFmtId="0" fontId="37" fillId="0" borderId="29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 wrapText="1"/>
    </xf>
    <xf numFmtId="174" fontId="8" fillId="2" borderId="67" xfId="0" applyNumberFormat="1" applyFont="1" applyFill="1" applyBorder="1" applyAlignment="1">
      <alignment horizontal="right" vertical="center"/>
    </xf>
    <xf numFmtId="174" fontId="8" fillId="2" borderId="28" xfId="0" applyNumberFormat="1" applyFont="1" applyFill="1" applyBorder="1" applyAlignment="1">
      <alignment horizontal="right" vertical="center"/>
    </xf>
    <xf numFmtId="174" fontId="8" fillId="2" borderId="64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3" xfId="0" applyFont="1" applyFill="1" applyBorder="1" applyAlignment="1" applyProtection="1">
      <alignment horizontal="left"/>
    </xf>
    <xf numFmtId="0" fontId="8" fillId="0" borderId="42" xfId="0" applyFont="1" applyFill="1" applyBorder="1" applyAlignment="1" applyProtection="1">
      <alignment horizontal="left"/>
    </xf>
    <xf numFmtId="0" fontId="15" fillId="0" borderId="3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horizontal="left" vertical="center"/>
    </xf>
    <xf numFmtId="174" fontId="16" fillId="10" borderId="29" xfId="0" applyNumberFormat="1" applyFont="1" applyFill="1" applyBorder="1" applyAlignment="1" applyProtection="1">
      <alignment horizontal="right" vertical="center"/>
      <protection locked="0"/>
    </xf>
    <xf numFmtId="174" fontId="16" fillId="10" borderId="46" xfId="0" applyNumberFormat="1" applyFont="1" applyFill="1" applyBorder="1" applyAlignment="1" applyProtection="1">
      <alignment horizontal="right" vertical="center"/>
      <protection locked="0"/>
    </xf>
    <xf numFmtId="174" fontId="16" fillId="10" borderId="79" xfId="0" applyNumberFormat="1" applyFont="1" applyFill="1" applyBorder="1" applyAlignment="1" applyProtection="1">
      <alignment horizontal="right" vertical="center"/>
      <protection locked="0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174" fontId="8" fillId="2" borderId="27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3" xfId="0" applyBorder="1" applyAlignment="1">
      <alignment horizontal="left"/>
    </xf>
    <xf numFmtId="174" fontId="16" fillId="10" borderId="44" xfId="0" applyNumberFormat="1" applyFont="1" applyFill="1" applyBorder="1" applyAlignment="1" applyProtection="1">
      <alignment horizontal="right" vertical="center"/>
      <protection locked="0"/>
    </xf>
    <xf numFmtId="174" fontId="16" fillId="10" borderId="32" xfId="0" applyNumberFormat="1" applyFont="1" applyFill="1" applyBorder="1" applyAlignment="1" applyProtection="1">
      <alignment horizontal="right" vertical="center"/>
      <protection locked="0"/>
    </xf>
    <xf numFmtId="174" fontId="16" fillId="10" borderId="45" xfId="0" applyNumberFormat="1" applyFont="1" applyFill="1" applyBorder="1" applyAlignment="1" applyProtection="1">
      <alignment horizontal="right" vertical="center"/>
      <protection locked="0"/>
    </xf>
    <xf numFmtId="174" fontId="16" fillId="10" borderId="60" xfId="0" applyNumberFormat="1" applyFont="1" applyFill="1" applyBorder="1" applyAlignment="1" applyProtection="1">
      <alignment horizontal="right" vertical="center"/>
      <protection locked="0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15" fillId="18" borderId="24" xfId="0" applyFont="1" applyFill="1" applyBorder="1" applyAlignment="1" applyProtection="1">
      <alignment horizontal="center"/>
    </xf>
    <xf numFmtId="0" fontId="15" fillId="18" borderId="25" xfId="0" applyFont="1" applyFill="1" applyBorder="1" applyAlignment="1" applyProtection="1">
      <alignment horizontal="center"/>
    </xf>
    <xf numFmtId="0" fontId="15" fillId="18" borderId="26" xfId="0" applyFont="1" applyFill="1" applyBorder="1" applyAlignment="1" applyProtection="1">
      <alignment horizontal="center"/>
    </xf>
    <xf numFmtId="0" fontId="15" fillId="9" borderId="24" xfId="0" applyFont="1" applyFill="1" applyBorder="1" applyAlignment="1" applyProtection="1">
      <alignment horizontal="center"/>
    </xf>
    <xf numFmtId="0" fontId="47" fillId="0" borderId="25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15" fillId="5" borderId="24" xfId="0" applyFont="1" applyFill="1" applyBorder="1" applyAlignment="1" applyProtection="1">
      <alignment horizontal="center"/>
    </xf>
    <xf numFmtId="0" fontId="15" fillId="5" borderId="25" xfId="0" applyFont="1" applyFill="1" applyBorder="1" applyAlignment="1" applyProtection="1">
      <alignment horizontal="center"/>
    </xf>
    <xf numFmtId="0" fontId="15" fillId="5" borderId="26" xfId="0" applyFont="1" applyFill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9" borderId="20" xfId="0" applyFont="1" applyFill="1" applyBorder="1" applyAlignment="1" applyProtection="1">
      <alignment horizontal="center" vertical="center" wrapText="1"/>
    </xf>
    <xf numFmtId="0" fontId="13" fillId="9" borderId="23" xfId="0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top" wrapText="1"/>
    </xf>
    <xf numFmtId="0" fontId="36" fillId="0" borderId="0" xfId="0" applyFont="1" applyAlignment="1" applyProtection="1">
      <alignment horizontal="left"/>
    </xf>
    <xf numFmtId="0" fontId="8" fillId="0" borderId="13" xfId="13" applyFont="1" applyFill="1" applyBorder="1" applyAlignment="1" applyProtection="1">
      <alignment horizontal="center" vertical="center"/>
    </xf>
    <xf numFmtId="0" fontId="8" fillId="0" borderId="14" xfId="13" applyFont="1" applyFill="1" applyBorder="1" applyAlignment="1" applyProtection="1">
      <alignment horizontal="center" vertical="center"/>
    </xf>
  </cellXfs>
  <cellStyles count="17">
    <cellStyle name="Comma" xfId="1" builtinId="3"/>
    <cellStyle name="Currency 2" xfId="2"/>
    <cellStyle name="Hyperlink" xfId="3" builtinId="8"/>
    <cellStyle name="Normal" xfId="0" builtinId="0"/>
    <cellStyle name="Normal 2" xfId="4"/>
    <cellStyle name="Normal 2 2" xfId="5"/>
    <cellStyle name="Normal 2_WPD example_SPD.xls" xfId="6"/>
    <cellStyle name="Normal 3" xfId="7"/>
    <cellStyle name="Normal_07-08 RRP - Section 5" xfId="8"/>
    <cellStyle name="Normal_CE-NEDL_0607_RRP_RAV_Draft HLFBPQ1" xfId="9"/>
    <cellStyle name="Normal_Network Tables 07_08" xfId="10"/>
    <cellStyle name="Normal_Network Tables 07_08 2" xfId="11"/>
    <cellStyle name="Normal_Opex Tables" xfId="12"/>
    <cellStyle name="Normal_risk table" xfId="13"/>
    <cellStyle name="Normal_Tables for 2005-06 Cost report (linked data v2)" xfId="14"/>
    <cellStyle name="Percent" xfId="15" builtinId="5"/>
    <cellStyle name="Percent 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Comm/NETDEV/ANALYSIS/PRICING/TARIFFS/CDCM%20Implementation/CDCM_Submission_August_09/Resubmission_for%20IDNOs_Dec09/Method%20M%2011Aug2009_C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plits and results"/>
      <sheetName val="Allocation Summary"/>
      <sheetName val="WPD - Final Allocation"/>
      <sheetName val="Calc - WPD Opex Allocation"/>
      <sheetName val="Calc-Units"/>
      <sheetName val="Calc-Drivers"/>
      <sheetName val="Calc-MEAV"/>
      <sheetName val="Calc-Net capex"/>
      <sheetName val="Summary of revenue"/>
      <sheetName val="Allowed revenue -DPCR4"/>
      <sheetName val="FBPQ T4"/>
      <sheetName val="FBPQ LR1"/>
      <sheetName val="FBPQ LR4"/>
      <sheetName val="FBPQ LR6"/>
      <sheetName val="FBPQ NL1"/>
      <sheetName val="FBPQ C2"/>
      <sheetName val="RRP 1.3"/>
      <sheetName val="RRP 2.3"/>
      <sheetName val="RRP 2.4"/>
      <sheetName val="RRP 2.6"/>
      <sheetName val="RRP 5.1"/>
    </sheetNames>
    <sheetDataSet>
      <sheetData sheetId="0" refreshError="1"/>
      <sheetData sheetId="1">
        <row r="11">
          <cell r="C11">
            <v>0.26909807731419011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fgem.gov.uk/Markets/RetMkts/Metrng/Metering/Documents1/9745-54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5" sqref="C15"/>
    </sheetView>
  </sheetViews>
  <sheetFormatPr defaultColWidth="8.85546875" defaultRowHeight="12.75"/>
  <cols>
    <col min="1" max="1" width="21.42578125" bestFit="1" customWidth="1"/>
    <col min="2" max="2" width="40" customWidth="1"/>
    <col min="3" max="3" width="41" bestFit="1" customWidth="1"/>
  </cols>
  <sheetData>
    <row r="1" spans="1:3" ht="13.5" thickBot="1"/>
    <row r="2" spans="1:3" ht="13.5" thickBot="1">
      <c r="A2" s="302" t="s">
        <v>742</v>
      </c>
      <c r="B2" s="303" t="s">
        <v>192</v>
      </c>
      <c r="C2" s="304" t="s">
        <v>744</v>
      </c>
    </row>
    <row r="3" spans="1:3">
      <c r="A3" s="296" t="s">
        <v>691</v>
      </c>
      <c r="B3" s="297" t="s">
        <v>743</v>
      </c>
      <c r="C3" s="298"/>
    </row>
    <row r="4" spans="1:3">
      <c r="A4" s="296" t="s">
        <v>745</v>
      </c>
      <c r="B4" s="297" t="s">
        <v>746</v>
      </c>
      <c r="C4" s="298" t="s">
        <v>747</v>
      </c>
    </row>
    <row r="5" spans="1:3">
      <c r="A5" s="296" t="s">
        <v>650</v>
      </c>
      <c r="B5" s="297" t="s">
        <v>748</v>
      </c>
      <c r="C5" s="298" t="s">
        <v>747</v>
      </c>
    </row>
    <row r="6" spans="1:3" ht="25.5">
      <c r="A6" s="296" t="s">
        <v>749</v>
      </c>
      <c r="B6" s="297" t="s">
        <v>703</v>
      </c>
      <c r="C6" s="305"/>
    </row>
    <row r="7" spans="1:3" ht="38.25">
      <c r="A7" s="306" t="s">
        <v>704</v>
      </c>
      <c r="B7" s="297" t="s">
        <v>705</v>
      </c>
      <c r="C7" s="307" t="s">
        <v>706</v>
      </c>
    </row>
    <row r="8" spans="1:3" ht="25.5">
      <c r="A8" s="306" t="s">
        <v>777</v>
      </c>
      <c r="B8" s="297" t="s">
        <v>778</v>
      </c>
      <c r="C8" s="307" t="s">
        <v>779</v>
      </c>
    </row>
    <row r="9" spans="1:3" ht="38.25">
      <c r="A9" s="296" t="s">
        <v>692</v>
      </c>
      <c r="B9" s="297" t="s">
        <v>693</v>
      </c>
      <c r="C9" s="298"/>
    </row>
    <row r="10" spans="1:3" ht="25.5">
      <c r="A10" s="296" t="s">
        <v>694</v>
      </c>
      <c r="B10" s="297" t="s">
        <v>707</v>
      </c>
      <c r="C10" s="298" t="s">
        <v>775</v>
      </c>
    </row>
    <row r="11" spans="1:3">
      <c r="A11" s="296" t="s">
        <v>695</v>
      </c>
      <c r="B11" s="297" t="s">
        <v>707</v>
      </c>
      <c r="C11" s="298"/>
    </row>
    <row r="12" spans="1:3">
      <c r="A12" s="296" t="s">
        <v>764</v>
      </c>
      <c r="B12" s="297" t="s">
        <v>707</v>
      </c>
      <c r="C12" s="298"/>
    </row>
    <row r="13" spans="1:3">
      <c r="A13" s="296" t="s">
        <v>765</v>
      </c>
      <c r="B13" s="297" t="s">
        <v>707</v>
      </c>
      <c r="C13" s="298"/>
    </row>
    <row r="14" spans="1:3">
      <c r="A14" s="296" t="s">
        <v>766</v>
      </c>
      <c r="B14" s="297" t="s">
        <v>707</v>
      </c>
      <c r="C14" s="298"/>
    </row>
    <row r="15" spans="1:3">
      <c r="A15" s="296" t="s">
        <v>767</v>
      </c>
      <c r="B15" s="297" t="s">
        <v>707</v>
      </c>
      <c r="C15" s="298"/>
    </row>
    <row r="16" spans="1:3">
      <c r="A16" s="296" t="s">
        <v>768</v>
      </c>
      <c r="B16" s="297" t="s">
        <v>773</v>
      </c>
      <c r="C16" s="298"/>
    </row>
    <row r="17" spans="1:3">
      <c r="A17" s="296" t="s">
        <v>769</v>
      </c>
      <c r="B17" s="297" t="s">
        <v>773</v>
      </c>
      <c r="C17" s="298"/>
    </row>
    <row r="18" spans="1:3">
      <c r="A18" s="296" t="s">
        <v>770</v>
      </c>
      <c r="B18" s="297" t="s">
        <v>773</v>
      </c>
      <c r="C18" s="298"/>
    </row>
    <row r="19" spans="1:3">
      <c r="A19" s="296" t="s">
        <v>771</v>
      </c>
      <c r="B19" s="297" t="s">
        <v>773</v>
      </c>
      <c r="C19" s="298"/>
    </row>
    <row r="20" spans="1:3" ht="13.5" thickBot="1">
      <c r="A20" s="299" t="s">
        <v>772</v>
      </c>
      <c r="B20" s="300" t="s">
        <v>773</v>
      </c>
      <c r="C20" s="301"/>
    </row>
    <row r="21" spans="1:3">
      <c r="B21" s="295"/>
      <c r="C21" s="295"/>
    </row>
    <row r="22" spans="1:3">
      <c r="B22" s="295"/>
      <c r="C22" s="295"/>
    </row>
    <row r="23" spans="1:3">
      <c r="B23" s="295"/>
      <c r="C23" s="295"/>
    </row>
  </sheetData>
  <phoneticPr fontId="0" type="noConversion"/>
  <hyperlinks>
    <hyperlink ref="A3" location="Tariffs!D4" display="DNO LV Main usage"/>
    <hyperlink ref="A4" location="Tariffs!B10" display="ATW tariffs"/>
    <hyperlink ref="A5" location="Tariffs!B30" display="Customer Data"/>
    <hyperlink ref="A6" location="'Summary of revenue'!A1" display="Summary of revenue"/>
    <hyperlink ref="A9" location="'Allowed revenue -DPCR4'!A1" display="Final DPCR4 settlement"/>
    <hyperlink ref="A10" location="'FBPQ T4'!A1" display="FBPQ T4"/>
    <hyperlink ref="A11" location="'FBPQ LR1'!A1" display="FBPQ LR1"/>
    <hyperlink ref="A12" location="'FBPQ LR4'!A1" display="FBPQ LR4"/>
    <hyperlink ref="A13" location="'FBPQ LR6'!A1" display="FBPQ LR6"/>
    <hyperlink ref="A14" location="'FBPQ NL1'!A1" display="FBPQ NL1"/>
    <hyperlink ref="A15" location="'FBPQ C2'!A1" display="FBPQ C2"/>
    <hyperlink ref="A16" location="'RRP 1.3'!A1" display="RRP 1.3"/>
    <hyperlink ref="A17" location="'RRP 2.3'!A1" display="RRP 2.3"/>
    <hyperlink ref="A18" location="'RRP 2.4'!A1" display="RRP 2.4"/>
    <hyperlink ref="A19" location="'RRP 2.6'!A1" display="RRP 2.6"/>
    <hyperlink ref="A20" location="'RRP 5.1'!A1" display="RRP 5.1"/>
    <hyperlink ref="A7" location="'WPD - Final Allocation'!P63" display="Remove incentive revenue and pension deficit?"/>
    <hyperlink ref="A8" location="'Calc-MEAV'!F18" display="PB Power Unit values"/>
  </hyperlink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3" workbookViewId="0">
      <selection activeCell="I27" sqref="I27"/>
    </sheetView>
  </sheetViews>
  <sheetFormatPr defaultColWidth="8.85546875" defaultRowHeight="12.75"/>
  <cols>
    <col min="1" max="7" width="8.85546875" customWidth="1"/>
    <col min="8" max="8" width="10" customWidth="1"/>
    <col min="9" max="9" width="11.42578125" customWidth="1"/>
    <col min="10" max="10" width="11.140625" customWidth="1"/>
  </cols>
  <sheetData>
    <row r="1" spans="1:12">
      <c r="C1" s="896" t="s">
        <v>258</v>
      </c>
      <c r="J1" s="891" t="s">
        <v>774</v>
      </c>
    </row>
    <row r="8" spans="1:12" ht="15">
      <c r="A8" s="381" t="s">
        <v>259</v>
      </c>
      <c r="B8" s="1288"/>
      <c r="C8" s="34"/>
      <c r="D8" s="1289"/>
      <c r="E8" s="1288"/>
      <c r="F8" s="1288"/>
      <c r="G8" s="1290"/>
      <c r="H8" s="383" t="s">
        <v>560</v>
      </c>
      <c r="I8" s="383" t="s">
        <v>561</v>
      </c>
      <c r="J8" s="383" t="s">
        <v>557</v>
      </c>
      <c r="K8" s="383" t="s">
        <v>562</v>
      </c>
      <c r="L8" s="383" t="s">
        <v>563</v>
      </c>
    </row>
    <row r="9" spans="1:12" ht="15">
      <c r="H9" s="383">
        <v>16</v>
      </c>
      <c r="I9" s="383">
        <v>17</v>
      </c>
      <c r="J9" s="383">
        <v>18</v>
      </c>
      <c r="K9" s="383">
        <v>19</v>
      </c>
      <c r="L9" s="383">
        <v>20</v>
      </c>
    </row>
    <row r="10" spans="1:12" ht="15">
      <c r="H10" s="383"/>
      <c r="I10" s="383"/>
      <c r="J10" s="383"/>
      <c r="K10" s="383"/>
      <c r="L10" s="383"/>
    </row>
    <row r="11" spans="1:12" ht="14.25">
      <c r="B11" s="1290" t="s">
        <v>243</v>
      </c>
      <c r="F11" t="s">
        <v>542</v>
      </c>
      <c r="H11" s="1291">
        <v>257.60172699999998</v>
      </c>
      <c r="I11" s="1291">
        <v>263.83625999999998</v>
      </c>
      <c r="J11" s="1291">
        <v>276.42685499999999</v>
      </c>
      <c r="K11" s="1291"/>
      <c r="L11" s="1291"/>
    </row>
    <row r="12" spans="1:12" ht="14.25">
      <c r="B12" s="1290" t="s">
        <v>238</v>
      </c>
      <c r="F12" t="s">
        <v>542</v>
      </c>
      <c r="H12" s="1291">
        <v>2.1202839999999998</v>
      </c>
      <c r="I12" s="1291">
        <v>-2.1209500000000001</v>
      </c>
      <c r="J12" s="1291">
        <v>-4.5983270000000003</v>
      </c>
      <c r="K12" s="1291"/>
      <c r="L12" s="1291"/>
    </row>
    <row r="13" spans="1:12" ht="14.25">
      <c r="B13" s="1290" t="s">
        <v>239</v>
      </c>
      <c r="F13" t="s">
        <v>542</v>
      </c>
      <c r="H13" s="1291">
        <v>9.429665</v>
      </c>
      <c r="I13" s="1291">
        <v>8.5679599999999994</v>
      </c>
      <c r="J13" s="1291">
        <v>26.407907999999999</v>
      </c>
      <c r="K13" s="1291"/>
      <c r="L13" s="1291"/>
    </row>
    <row r="14" spans="1:12" ht="14.25">
      <c r="B14" s="1290" t="s">
        <v>240</v>
      </c>
      <c r="F14" t="s">
        <v>542</v>
      </c>
      <c r="H14" s="1291">
        <v>8.5620899999999995</v>
      </c>
      <c r="I14" s="1291">
        <v>-5.3793519999999999</v>
      </c>
      <c r="J14" s="1291">
        <v>-1.480097</v>
      </c>
      <c r="K14" s="1291"/>
      <c r="L14" s="1291"/>
    </row>
    <row r="15" spans="1:12" ht="14.25">
      <c r="B15" s="1290"/>
      <c r="H15" s="1292"/>
      <c r="I15" s="1292"/>
      <c r="J15" s="1292"/>
      <c r="K15" s="1292"/>
      <c r="L15" s="1292"/>
    </row>
    <row r="16" spans="1:12" ht="14.25">
      <c r="B16" s="1290" t="s">
        <v>241</v>
      </c>
      <c r="F16" t="s">
        <v>542</v>
      </c>
      <c r="H16" s="1293">
        <v>260.589586</v>
      </c>
      <c r="I16" s="1293">
        <v>275.662622</v>
      </c>
      <c r="J16" s="1293">
        <v>299.71653300000003</v>
      </c>
      <c r="K16" s="1293"/>
      <c r="L16" s="1293"/>
    </row>
    <row r="17" spans="1:12" ht="14.25">
      <c r="B17" s="1290"/>
      <c r="H17" s="1294"/>
      <c r="I17" s="1294"/>
      <c r="J17" s="1294"/>
      <c r="K17" s="1294"/>
      <c r="L17" s="1294"/>
    </row>
    <row r="18" spans="1:12" ht="14.25">
      <c r="B18" s="1290" t="s">
        <v>242</v>
      </c>
      <c r="F18" t="s">
        <v>542</v>
      </c>
      <c r="H18" s="1291">
        <v>255.53</v>
      </c>
      <c r="I18" s="1291">
        <v>274.27999999999997</v>
      </c>
      <c r="J18" s="1291">
        <v>287.86</v>
      </c>
      <c r="K18" s="1291"/>
      <c r="L18" s="1291"/>
    </row>
    <row r="19" spans="1:12" ht="14.25">
      <c r="B19" s="1290" t="s">
        <v>70</v>
      </c>
      <c r="F19" t="s">
        <v>542</v>
      </c>
      <c r="H19" s="1291">
        <v>1.83</v>
      </c>
      <c r="I19" s="1291">
        <v>-0.72</v>
      </c>
      <c r="J19" s="1291">
        <v>-3.93</v>
      </c>
      <c r="K19" s="1291"/>
      <c r="L19" s="1291"/>
    </row>
    <row r="20" spans="1:12" ht="14.25">
      <c r="B20" s="1290"/>
      <c r="H20" s="1292"/>
      <c r="I20" s="1292"/>
      <c r="J20" s="1292"/>
      <c r="K20" s="1292"/>
      <c r="L20" s="1292"/>
    </row>
    <row r="21" spans="1:12" ht="14.25">
      <c r="B21" s="1290" t="s">
        <v>71</v>
      </c>
      <c r="F21" t="s">
        <v>542</v>
      </c>
      <c r="H21" s="1295">
        <v>-5.0595860000000004</v>
      </c>
      <c r="I21" s="1295">
        <v>-1.382622</v>
      </c>
      <c r="J21" s="1295">
        <v>-11.856533000000001</v>
      </c>
      <c r="K21" s="1295"/>
      <c r="L21" s="1295"/>
    </row>
    <row r="22" spans="1:12" ht="14.25">
      <c r="H22" s="1294"/>
      <c r="I22" s="1294"/>
      <c r="J22" s="1294"/>
      <c r="K22" s="1294"/>
      <c r="L22" s="1294"/>
    </row>
    <row r="23" spans="1:12" ht="14.25">
      <c r="H23" s="1294"/>
      <c r="I23" s="1294"/>
      <c r="J23" s="1294"/>
      <c r="K23" s="1294"/>
      <c r="L23" s="1294"/>
    </row>
    <row r="24" spans="1:12" ht="15">
      <c r="A24" s="381" t="s">
        <v>72</v>
      </c>
      <c r="H24" s="1294"/>
      <c r="I24" s="1294"/>
      <c r="J24" s="1294"/>
      <c r="K24" s="1294"/>
      <c r="L24" s="1294"/>
    </row>
    <row r="25" spans="1:12" ht="14.25">
      <c r="H25" s="1294"/>
      <c r="I25" s="1294"/>
      <c r="J25" s="1294"/>
      <c r="K25" s="1294"/>
      <c r="L25" s="1294"/>
    </row>
    <row r="26" spans="1:12" ht="14.25">
      <c r="B26" s="1290" t="s">
        <v>73</v>
      </c>
      <c r="F26" t="s">
        <v>542</v>
      </c>
      <c r="H26" s="1291">
        <v>0</v>
      </c>
      <c r="I26" s="1291">
        <v>1.2822999999999999E-2</v>
      </c>
      <c r="J26" s="1291">
        <v>4.2557999999999999E-2</v>
      </c>
      <c r="K26" s="1291"/>
      <c r="L26" s="1291"/>
    </row>
    <row r="27" spans="1:12" ht="14.25">
      <c r="B27" s="1290" t="s">
        <v>74</v>
      </c>
      <c r="F27" t="s">
        <v>542</v>
      </c>
      <c r="H27" s="1291">
        <v>0</v>
      </c>
      <c r="I27" s="1291">
        <v>0</v>
      </c>
      <c r="J27" s="1291">
        <v>0</v>
      </c>
      <c r="K27" s="1291"/>
      <c r="L27" s="1291"/>
    </row>
    <row r="28" spans="1:12" ht="14.25">
      <c r="B28" s="1290" t="s">
        <v>75</v>
      </c>
      <c r="F28" t="s">
        <v>542</v>
      </c>
      <c r="H28" s="1291">
        <v>0</v>
      </c>
      <c r="I28" s="1291">
        <v>0</v>
      </c>
      <c r="J28" s="1291">
        <v>-3.0219999999999999E-3</v>
      </c>
      <c r="K28" s="1291"/>
      <c r="L28" s="1291"/>
    </row>
    <row r="29" spans="1:12" ht="14.25">
      <c r="B29" s="1290"/>
      <c r="H29" s="1292"/>
      <c r="I29" s="1292"/>
      <c r="J29" s="1292"/>
      <c r="K29" s="1292"/>
      <c r="L29" s="1292"/>
    </row>
    <row r="30" spans="1:12" ht="14.25">
      <c r="B30" s="980" t="s">
        <v>72</v>
      </c>
      <c r="F30" t="s">
        <v>542</v>
      </c>
      <c r="H30" s="1293">
        <v>0</v>
      </c>
      <c r="I30" s="1293">
        <v>1.2822999999999999E-2</v>
      </c>
      <c r="J30" s="1293">
        <v>4.5580000000000002E-2</v>
      </c>
      <c r="K30" s="1293"/>
      <c r="L30" s="1293"/>
    </row>
    <row r="31" spans="1:12" ht="14.25">
      <c r="B31" s="1290"/>
      <c r="H31" s="1294"/>
      <c r="I31" s="1294"/>
      <c r="J31" s="1294"/>
      <c r="K31" s="1294"/>
      <c r="L31" s="1294"/>
    </row>
    <row r="32" spans="1:12" ht="14.25">
      <c r="B32" s="1290" t="s">
        <v>24</v>
      </c>
      <c r="F32" t="s">
        <v>542</v>
      </c>
      <c r="H32" s="1291">
        <v>0</v>
      </c>
      <c r="I32" s="1291">
        <v>0.01</v>
      </c>
      <c r="J32" s="1291">
        <v>0.08</v>
      </c>
      <c r="K32" s="1291"/>
      <c r="L32" s="1291"/>
    </row>
    <row r="33" spans="1:12" ht="14.25">
      <c r="B33" s="1290"/>
      <c r="H33" s="1294"/>
      <c r="I33" s="1294"/>
      <c r="J33" s="1294"/>
      <c r="K33" s="1294"/>
      <c r="L33" s="1294"/>
    </row>
    <row r="34" spans="1:12" ht="14.25">
      <c r="B34" s="1290" t="s">
        <v>71</v>
      </c>
      <c r="F34" t="s">
        <v>542</v>
      </c>
      <c r="H34" s="1295">
        <v>0</v>
      </c>
      <c r="I34" s="1295">
        <v>-2.823E-3</v>
      </c>
      <c r="J34" s="1295">
        <v>3.4419999999999999E-2</v>
      </c>
      <c r="K34" s="1295"/>
      <c r="L34" s="1295"/>
    </row>
    <row r="35" spans="1:12" ht="14.25">
      <c r="H35" s="1294"/>
      <c r="I35" s="1294"/>
      <c r="J35" s="1294"/>
      <c r="K35" s="1294"/>
      <c r="L35" s="1294"/>
    </row>
    <row r="36" spans="1:12" ht="14.25">
      <c r="H36" s="1294"/>
      <c r="I36" s="1294"/>
      <c r="J36" s="1294"/>
      <c r="K36" s="1294"/>
      <c r="L36" s="1294"/>
    </row>
    <row r="37" spans="1:12" ht="15">
      <c r="A37" s="381" t="s">
        <v>25</v>
      </c>
      <c r="H37" s="1296"/>
      <c r="I37" s="1296"/>
      <c r="J37" s="1296"/>
      <c r="K37" s="1296"/>
      <c r="L37" s="1296"/>
    </row>
    <row r="38" spans="1:12" ht="14.25">
      <c r="B38" s="980" t="s">
        <v>4</v>
      </c>
      <c r="F38" t="s">
        <v>542</v>
      </c>
      <c r="H38" s="1291">
        <v>9.06</v>
      </c>
      <c r="I38" s="1291">
        <v>8.98</v>
      </c>
      <c r="J38" s="1291">
        <v>9.85</v>
      </c>
      <c r="K38" s="1291"/>
      <c r="L38" s="1291"/>
    </row>
    <row r="39" spans="1:12" ht="14.25">
      <c r="B39" s="1290" t="s">
        <v>66</v>
      </c>
      <c r="F39" t="s">
        <v>542</v>
      </c>
      <c r="H39" s="1291">
        <v>6.7381739999999999</v>
      </c>
      <c r="I39" s="1291">
        <v>4.3875710000000003</v>
      </c>
      <c r="J39" s="1297">
        <v>0</v>
      </c>
      <c r="K39" s="1297"/>
      <c r="L39" s="1297"/>
    </row>
    <row r="40" spans="1:12" ht="14.25">
      <c r="C40" s="1290"/>
      <c r="H40" s="1294"/>
      <c r="I40" s="1294"/>
      <c r="J40" s="1294"/>
      <c r="K40" s="1294"/>
      <c r="L40" s="1294"/>
    </row>
    <row r="41" spans="1:12" ht="14.25">
      <c r="H41" s="1298">
        <v>15.798173999999999</v>
      </c>
      <c r="I41" s="1298">
        <v>13.367571</v>
      </c>
      <c r="J41" s="1298">
        <v>9.85</v>
      </c>
      <c r="K41" s="1298"/>
      <c r="L41" s="1298"/>
    </row>
    <row r="42" spans="1:12" ht="14.25">
      <c r="H42" s="1296"/>
      <c r="I42" s="1296"/>
      <c r="J42" s="1296"/>
      <c r="K42" s="1296"/>
      <c r="L42" s="1296"/>
    </row>
    <row r="43" spans="1:12" ht="14.25">
      <c r="H43" s="1296"/>
      <c r="I43" s="1296"/>
      <c r="J43" s="1296"/>
      <c r="K43" s="1296"/>
      <c r="L43" s="1296"/>
    </row>
    <row r="44" spans="1:12" ht="15">
      <c r="A44" s="381" t="s">
        <v>54</v>
      </c>
      <c r="H44" s="1296"/>
      <c r="I44" s="1296"/>
      <c r="J44" s="1296"/>
      <c r="K44" s="1296"/>
      <c r="L44" s="1296"/>
    </row>
    <row r="45" spans="1:12" ht="15">
      <c r="A45" s="381"/>
      <c r="B45" s="1290" t="s">
        <v>55</v>
      </c>
      <c r="F45" t="s">
        <v>542</v>
      </c>
      <c r="H45" s="1291">
        <v>63.79</v>
      </c>
      <c r="I45" s="1291">
        <v>67.66</v>
      </c>
      <c r="J45" s="1291">
        <v>104.02</v>
      </c>
      <c r="K45" s="1291"/>
      <c r="L45" s="1291"/>
    </row>
    <row r="46" spans="1:12" ht="14.25">
      <c r="B46" s="1290" t="s">
        <v>56</v>
      </c>
      <c r="F46" t="s">
        <v>542</v>
      </c>
      <c r="H46" s="1299">
        <v>4.87</v>
      </c>
      <c r="I46" s="1299">
        <v>4.63</v>
      </c>
      <c r="J46" s="1299">
        <v>4.45</v>
      </c>
      <c r="K46" s="1299"/>
      <c r="L46" s="1299"/>
    </row>
    <row r="47" spans="1:12" ht="14.25">
      <c r="B47" s="1290" t="s">
        <v>57</v>
      </c>
      <c r="F47" t="s">
        <v>542</v>
      </c>
      <c r="H47" s="1299">
        <v>2.89</v>
      </c>
      <c r="I47" s="1299">
        <v>2.57</v>
      </c>
      <c r="J47" s="1299">
        <v>2.2200000000000002</v>
      </c>
      <c r="K47" s="1299"/>
      <c r="L47" s="1299"/>
    </row>
    <row r="48" spans="1:12" ht="14.25">
      <c r="H48" s="1296"/>
      <c r="I48" s="1296"/>
      <c r="J48" s="1296"/>
      <c r="K48" s="1296"/>
      <c r="L48" s="1296"/>
    </row>
    <row r="49" spans="8:12" ht="14.25">
      <c r="H49" s="1295">
        <v>71.55</v>
      </c>
      <c r="I49" s="1295">
        <v>74.86</v>
      </c>
      <c r="J49" s="1295">
        <v>110.69</v>
      </c>
      <c r="K49" s="1295"/>
      <c r="L49" s="1295"/>
    </row>
    <row r="50" spans="8:12" ht="14.25">
      <c r="H50" s="1290"/>
      <c r="I50" s="1290"/>
      <c r="J50" s="1290"/>
      <c r="K50" s="1290"/>
      <c r="L50" s="1290"/>
    </row>
    <row r="51" spans="8:12" ht="14.25">
      <c r="H51" s="1300"/>
      <c r="I51" s="1300"/>
      <c r="J51" s="1300"/>
      <c r="K51" s="1300"/>
      <c r="L51" s="1300"/>
    </row>
    <row r="52" spans="8:12" ht="14.25">
      <c r="H52" s="1290"/>
      <c r="I52" s="1290"/>
      <c r="J52" s="1290"/>
      <c r="K52" s="1290"/>
      <c r="L52" s="1290"/>
    </row>
  </sheetData>
  <phoneticPr fontId="0" type="noConversion"/>
  <hyperlinks>
    <hyperlink ref="J1" location="Inputs!A1" display="Index"/>
  </hyperlinks>
  <pageMargins left="0.7" right="0.7" top="0.75" bottom="0.75" header="0.3" footer="0.3"/>
  <pageSetup paperSize="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D3" sqref="D3"/>
    </sheetView>
  </sheetViews>
  <sheetFormatPr defaultColWidth="8.85546875" defaultRowHeight="12.75"/>
  <cols>
    <col min="1" max="1" width="5" customWidth="1"/>
    <col min="2" max="2" width="38.140625" bestFit="1" customWidth="1"/>
    <col min="3" max="8" width="9.42578125" customWidth="1"/>
  </cols>
  <sheetData>
    <row r="1" spans="1:10">
      <c r="C1" s="293" t="s">
        <v>740</v>
      </c>
      <c r="D1" s="293" t="s">
        <v>736</v>
      </c>
      <c r="E1" s="293" t="s">
        <v>737</v>
      </c>
      <c r="F1" s="293" t="s">
        <v>738</v>
      </c>
      <c r="G1" s="293" t="s">
        <v>739</v>
      </c>
      <c r="H1" s="293" t="s">
        <v>563</v>
      </c>
      <c r="J1" s="891" t="s">
        <v>774</v>
      </c>
    </row>
    <row r="2" spans="1:10">
      <c r="C2" s="293" t="s">
        <v>741</v>
      </c>
      <c r="D2" s="293" t="s">
        <v>741</v>
      </c>
      <c r="E2" s="293" t="s">
        <v>741</v>
      </c>
      <c r="F2" s="293" t="s">
        <v>741</v>
      </c>
      <c r="G2" s="293" t="s">
        <v>741</v>
      </c>
      <c r="H2" s="293" t="s">
        <v>741</v>
      </c>
    </row>
    <row r="3" spans="1:10">
      <c r="A3">
        <v>1</v>
      </c>
      <c r="B3" t="s">
        <v>282</v>
      </c>
      <c r="D3" s="223">
        <v>947.9</v>
      </c>
      <c r="E3" s="223">
        <v>989.2</v>
      </c>
      <c r="F3" s="223">
        <v>1030.2</v>
      </c>
      <c r="G3" s="223">
        <v>1064.8</v>
      </c>
      <c r="H3" s="223">
        <v>1093.2</v>
      </c>
      <c r="I3" t="s">
        <v>499</v>
      </c>
    </row>
    <row r="4" spans="1:10">
      <c r="A4">
        <v>2</v>
      </c>
      <c r="B4" t="s">
        <v>284</v>
      </c>
      <c r="D4" s="223">
        <v>117.8</v>
      </c>
      <c r="E4" s="223">
        <v>117.5</v>
      </c>
      <c r="F4" s="223">
        <v>117</v>
      </c>
      <c r="G4" s="223">
        <v>116.6</v>
      </c>
      <c r="H4" s="223">
        <v>116.4</v>
      </c>
      <c r="I4" t="s">
        <v>499</v>
      </c>
    </row>
    <row r="5" spans="1:10">
      <c r="A5">
        <v>3</v>
      </c>
      <c r="B5" t="s">
        <v>142</v>
      </c>
      <c r="D5" s="223">
        <v>-76.5</v>
      </c>
      <c r="E5" s="223">
        <v>-76.5</v>
      </c>
      <c r="F5" s="223">
        <v>-82.4</v>
      </c>
      <c r="G5" s="223">
        <v>-88.2</v>
      </c>
      <c r="H5" s="223">
        <v>-94.1</v>
      </c>
      <c r="I5" t="s">
        <v>499</v>
      </c>
    </row>
    <row r="6" spans="1:10">
      <c r="A6">
        <v>4</v>
      </c>
      <c r="B6" t="s">
        <v>44</v>
      </c>
      <c r="D6" s="223">
        <v>989.2</v>
      </c>
      <c r="E6" s="223">
        <v>1030.2</v>
      </c>
      <c r="F6" s="223">
        <v>1064.8</v>
      </c>
      <c r="G6" s="223">
        <v>1093.2</v>
      </c>
      <c r="H6" s="223">
        <v>1115.5999999999999</v>
      </c>
      <c r="I6" t="s">
        <v>499</v>
      </c>
    </row>
    <row r="7" spans="1:10">
      <c r="A7">
        <v>5</v>
      </c>
      <c r="B7" t="s">
        <v>679</v>
      </c>
      <c r="D7" s="223">
        <v>947.9</v>
      </c>
      <c r="E7" s="223"/>
      <c r="F7" s="223"/>
      <c r="G7" s="223"/>
      <c r="H7" s="223">
        <v>851.7</v>
      </c>
    </row>
    <row r="8" spans="1:10">
      <c r="A8">
        <v>6</v>
      </c>
      <c r="B8" t="s">
        <v>735</v>
      </c>
      <c r="D8" s="223"/>
      <c r="E8" s="223"/>
      <c r="F8" s="223"/>
      <c r="G8" s="223"/>
      <c r="H8" s="223">
        <v>96.2</v>
      </c>
    </row>
    <row r="9" spans="1:10">
      <c r="A9" s="896" t="s">
        <v>811</v>
      </c>
      <c r="D9" s="223"/>
      <c r="E9" s="223"/>
      <c r="F9" s="223"/>
      <c r="G9" s="223"/>
      <c r="H9" s="223"/>
    </row>
    <row r="10" spans="1:10">
      <c r="A10">
        <v>7</v>
      </c>
      <c r="B10" t="s">
        <v>680</v>
      </c>
      <c r="D10" s="223">
        <v>75.2</v>
      </c>
      <c r="E10" s="223">
        <v>77.7</v>
      </c>
      <c r="F10" s="223">
        <v>78.2</v>
      </c>
      <c r="G10" s="223">
        <v>76.900000000000006</v>
      </c>
      <c r="H10" s="223">
        <v>76.2</v>
      </c>
      <c r="I10" t="s">
        <v>499</v>
      </c>
    </row>
    <row r="11" spans="1:10">
      <c r="A11">
        <v>8</v>
      </c>
      <c r="B11" t="s">
        <v>681</v>
      </c>
      <c r="D11" s="223">
        <v>110.3</v>
      </c>
      <c r="E11" s="223">
        <v>109.9</v>
      </c>
      <c r="F11" s="223">
        <v>109.4</v>
      </c>
      <c r="G11" s="223">
        <v>109</v>
      </c>
      <c r="H11" s="223">
        <v>108.8</v>
      </c>
      <c r="I11" t="s">
        <v>499</v>
      </c>
    </row>
    <row r="12" spans="1:10">
      <c r="A12">
        <v>9</v>
      </c>
      <c r="B12" t="s">
        <v>682</v>
      </c>
      <c r="D12" s="223">
        <v>13</v>
      </c>
      <c r="E12" s="223">
        <v>13.1</v>
      </c>
      <c r="F12" s="223">
        <v>13.1</v>
      </c>
      <c r="G12" s="223">
        <v>13.1</v>
      </c>
      <c r="H12" s="223">
        <v>13.1</v>
      </c>
      <c r="I12" t="s">
        <v>499</v>
      </c>
    </row>
    <row r="13" spans="1:10">
      <c r="A13">
        <v>10</v>
      </c>
      <c r="B13" t="s">
        <v>14</v>
      </c>
      <c r="D13" s="223">
        <v>27.2</v>
      </c>
      <c r="E13" s="223">
        <v>26.3</v>
      </c>
      <c r="F13" s="223">
        <v>26.4</v>
      </c>
      <c r="G13" s="223">
        <v>26.8</v>
      </c>
      <c r="H13" s="223">
        <v>26.8</v>
      </c>
      <c r="I13" t="s">
        <v>499</v>
      </c>
    </row>
    <row r="14" spans="1:10">
      <c r="A14">
        <v>11</v>
      </c>
      <c r="B14" t="s">
        <v>683</v>
      </c>
      <c r="D14" s="223">
        <v>-0.8</v>
      </c>
      <c r="E14" s="223">
        <v>0.6</v>
      </c>
      <c r="F14" s="223">
        <v>-0.6</v>
      </c>
      <c r="G14" s="223">
        <v>-0.6</v>
      </c>
      <c r="H14" s="223">
        <v>-0.2</v>
      </c>
      <c r="I14" t="s">
        <v>499</v>
      </c>
    </row>
    <row r="15" spans="1:10">
      <c r="A15">
        <v>12</v>
      </c>
      <c r="B15" t="s">
        <v>684</v>
      </c>
      <c r="D15" s="223">
        <v>1.4</v>
      </c>
      <c r="E15" s="223">
        <v>1.4</v>
      </c>
      <c r="F15" s="223">
        <v>1.5</v>
      </c>
      <c r="G15" s="223">
        <v>1.5</v>
      </c>
      <c r="H15" s="223">
        <v>1.6</v>
      </c>
      <c r="I15" t="s">
        <v>499</v>
      </c>
    </row>
    <row r="16" spans="1:10">
      <c r="A16">
        <v>13</v>
      </c>
      <c r="B16" t="s">
        <v>719</v>
      </c>
      <c r="D16" s="1285" t="s">
        <v>964</v>
      </c>
      <c r="E16" s="1285" t="s">
        <v>964</v>
      </c>
      <c r="F16" s="1285" t="s">
        <v>964</v>
      </c>
      <c r="G16" s="1285" t="s">
        <v>964</v>
      </c>
      <c r="H16" s="1285" t="s">
        <v>964</v>
      </c>
      <c r="I16" t="s">
        <v>499</v>
      </c>
    </row>
    <row r="17" spans="1:9">
      <c r="A17">
        <v>14</v>
      </c>
      <c r="B17" t="s">
        <v>720</v>
      </c>
      <c r="D17" s="1285" t="s">
        <v>964</v>
      </c>
      <c r="E17" s="1285" t="s">
        <v>964</v>
      </c>
      <c r="F17" s="1285" t="s">
        <v>964</v>
      </c>
      <c r="G17" s="1285" t="s">
        <v>964</v>
      </c>
      <c r="H17" s="1285" t="s">
        <v>964</v>
      </c>
      <c r="I17" t="s">
        <v>499</v>
      </c>
    </row>
    <row r="18" spans="1:9">
      <c r="A18">
        <v>15</v>
      </c>
      <c r="B18" t="s">
        <v>49</v>
      </c>
      <c r="D18" s="1285">
        <v>1.5</v>
      </c>
      <c r="E18" s="1285" t="s">
        <v>964</v>
      </c>
      <c r="F18" s="1285" t="s">
        <v>964</v>
      </c>
      <c r="G18" s="1285" t="s">
        <v>964</v>
      </c>
      <c r="H18" s="1285" t="s">
        <v>964</v>
      </c>
      <c r="I18" t="s">
        <v>499</v>
      </c>
    </row>
    <row r="19" spans="1:9">
      <c r="A19">
        <v>16</v>
      </c>
      <c r="B19" t="s">
        <v>340</v>
      </c>
      <c r="C19" s="896"/>
      <c r="D19" s="1286">
        <v>227.7</v>
      </c>
      <c r="E19" s="1286">
        <v>229</v>
      </c>
      <c r="F19" s="1286">
        <v>228.1</v>
      </c>
      <c r="G19" s="1286">
        <v>226.8</v>
      </c>
      <c r="H19" s="1286">
        <v>226.3</v>
      </c>
      <c r="I19" t="s">
        <v>499</v>
      </c>
    </row>
    <row r="20" spans="1:9">
      <c r="A20">
        <v>17</v>
      </c>
      <c r="B20" t="s">
        <v>721</v>
      </c>
      <c r="D20" s="223">
        <v>221.6</v>
      </c>
      <c r="E20" s="223">
        <v>211.2</v>
      </c>
      <c r="F20" s="223">
        <v>199.3</v>
      </c>
      <c r="G20" s="223">
        <v>187.7</v>
      </c>
      <c r="H20" s="223">
        <v>177.5</v>
      </c>
      <c r="I20" t="s">
        <v>499</v>
      </c>
    </row>
    <row r="21" spans="1:9">
      <c r="A21">
        <v>18</v>
      </c>
      <c r="B21" t="s">
        <v>50</v>
      </c>
      <c r="D21" s="223"/>
      <c r="E21" s="223"/>
      <c r="F21" s="223"/>
      <c r="G21" s="223"/>
      <c r="H21" s="223">
        <v>96.2</v>
      </c>
    </row>
    <row r="22" spans="1:9">
      <c r="A22">
        <v>19</v>
      </c>
      <c r="B22" s="980" t="s">
        <v>722</v>
      </c>
      <c r="D22" s="223"/>
      <c r="E22" s="223"/>
      <c r="F22" s="223"/>
      <c r="G22" s="223"/>
      <c r="H22" s="1286">
        <v>1093.5</v>
      </c>
    </row>
    <row r="23" spans="1:9">
      <c r="A23" s="896" t="s">
        <v>466</v>
      </c>
      <c r="D23" s="223"/>
      <c r="E23" s="223"/>
      <c r="F23" s="223"/>
      <c r="G23" s="223"/>
      <c r="H23" s="223"/>
    </row>
    <row r="24" spans="1:9">
      <c r="A24">
        <v>20</v>
      </c>
      <c r="B24" t="s">
        <v>138</v>
      </c>
      <c r="D24" s="1287">
        <v>1</v>
      </c>
      <c r="E24" s="1287">
        <v>1.0089999999999999</v>
      </c>
      <c r="F24" s="1287">
        <v>1.02</v>
      </c>
      <c r="G24" s="1287">
        <v>1.0329999999999999</v>
      </c>
      <c r="H24" s="1287">
        <v>1.044</v>
      </c>
      <c r="I24" t="s">
        <v>499</v>
      </c>
    </row>
    <row r="25" spans="1:9">
      <c r="A25">
        <v>21</v>
      </c>
      <c r="B25" t="s">
        <v>139</v>
      </c>
      <c r="D25" s="1287">
        <v>0.97299999999999998</v>
      </c>
      <c r="E25" s="1287">
        <v>0.93100000000000005</v>
      </c>
      <c r="F25" s="1287">
        <v>0.89100000000000001</v>
      </c>
      <c r="G25" s="1287">
        <v>0.85499999999999998</v>
      </c>
      <c r="H25" s="1287">
        <v>0.81899999999999995</v>
      </c>
      <c r="I25" t="s">
        <v>499</v>
      </c>
    </row>
    <row r="26" spans="1:9">
      <c r="A26">
        <v>22</v>
      </c>
      <c r="B26" t="s">
        <v>140</v>
      </c>
      <c r="C26">
        <v>256.2</v>
      </c>
      <c r="D26" s="223">
        <v>241.2</v>
      </c>
      <c r="E26" s="223">
        <v>243.4</v>
      </c>
      <c r="F26" s="223">
        <v>246.1</v>
      </c>
      <c r="G26" s="223">
        <v>249.1</v>
      </c>
      <c r="H26" s="223">
        <v>251.8</v>
      </c>
      <c r="I26" t="s">
        <v>499</v>
      </c>
    </row>
    <row r="27" spans="1:9">
      <c r="A27">
        <v>23</v>
      </c>
      <c r="B27" t="s">
        <v>723</v>
      </c>
      <c r="D27" s="223">
        <v>3.5</v>
      </c>
      <c r="E27" s="223">
        <v>3.5</v>
      </c>
      <c r="F27" s="223">
        <v>3.5</v>
      </c>
      <c r="G27" s="223">
        <v>3.5</v>
      </c>
      <c r="H27" s="223">
        <v>3.5</v>
      </c>
      <c r="I27" t="s">
        <v>499</v>
      </c>
    </row>
    <row r="28" spans="1:9">
      <c r="A28">
        <v>24</v>
      </c>
      <c r="B28" t="s">
        <v>40</v>
      </c>
      <c r="D28" s="223">
        <v>244.7</v>
      </c>
      <c r="E28" s="223">
        <v>246.9</v>
      </c>
      <c r="F28" s="223">
        <v>249.6</v>
      </c>
      <c r="G28" s="223">
        <v>252.6</v>
      </c>
      <c r="H28" s="223">
        <v>255.3</v>
      </c>
      <c r="I28" t="s">
        <v>499</v>
      </c>
    </row>
    <row r="29" spans="1:9">
      <c r="A29">
        <v>25</v>
      </c>
      <c r="B29" t="s">
        <v>724</v>
      </c>
      <c r="D29" s="223">
        <v>238.2</v>
      </c>
      <c r="E29" s="223">
        <v>227.7</v>
      </c>
      <c r="F29" s="223">
        <v>218.1</v>
      </c>
      <c r="G29" s="223">
        <v>209.2</v>
      </c>
      <c r="H29" s="223">
        <v>200.3</v>
      </c>
      <c r="I29" t="s">
        <v>499</v>
      </c>
    </row>
    <row r="30" spans="1:9">
      <c r="A30">
        <v>26</v>
      </c>
      <c r="B30" t="s">
        <v>722</v>
      </c>
      <c r="D30" s="223"/>
      <c r="E30" s="223"/>
      <c r="F30" s="223"/>
      <c r="G30" s="223"/>
      <c r="H30" s="1286">
        <v>1093.5</v>
      </c>
    </row>
    <row r="32" spans="1:9">
      <c r="A32" t="s">
        <v>661</v>
      </c>
    </row>
    <row r="33" spans="1:1">
      <c r="A33" s="891" t="s">
        <v>789</v>
      </c>
    </row>
  </sheetData>
  <phoneticPr fontId="0" type="noConversion"/>
  <hyperlinks>
    <hyperlink ref="A33" r:id="rId1"/>
    <hyperlink ref="J1" location="Inputs!A1" display="Index"/>
  </hyperlinks>
  <pageMargins left="0.7" right="0.7" top="0.75" bottom="0.75" header="0.3" footer="0.3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workbookViewId="0">
      <selection activeCell="F12" sqref="F12"/>
    </sheetView>
  </sheetViews>
  <sheetFormatPr defaultColWidth="8.85546875" defaultRowHeight="12.75"/>
  <cols>
    <col min="1" max="4" width="8.85546875" customWidth="1"/>
    <col min="5" max="5" width="17.85546875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896" t="s">
        <v>498</v>
      </c>
      <c r="B1" s="896"/>
      <c r="F1" t="s">
        <v>499</v>
      </c>
      <c r="G1" s="891" t="s">
        <v>774</v>
      </c>
      <c r="I1" t="s">
        <v>499</v>
      </c>
      <c r="K1" t="s">
        <v>499</v>
      </c>
      <c r="L1" t="s">
        <v>499</v>
      </c>
      <c r="N1" t="s">
        <v>499</v>
      </c>
      <c r="P1" t="s">
        <v>499</v>
      </c>
      <c r="Q1" t="s">
        <v>499</v>
      </c>
      <c r="S1" t="s">
        <v>499</v>
      </c>
      <c r="U1" t="s">
        <v>499</v>
      </c>
      <c r="V1" t="s">
        <v>499</v>
      </c>
      <c r="X1" t="s">
        <v>499</v>
      </c>
      <c r="Z1" t="s">
        <v>499</v>
      </c>
      <c r="AA1" t="s">
        <v>499</v>
      </c>
      <c r="AC1" t="s">
        <v>499</v>
      </c>
      <c r="AE1" t="s">
        <v>499</v>
      </c>
    </row>
    <row r="2" spans="1:31">
      <c r="A2" s="896"/>
      <c r="B2" s="896"/>
    </row>
    <row r="3" spans="1:31">
      <c r="A3" s="896" t="s">
        <v>375</v>
      </c>
      <c r="B3" s="896"/>
    </row>
    <row r="4" spans="1:31">
      <c r="A4" s="896"/>
      <c r="B4" s="896"/>
    </row>
    <row r="5" spans="1:31">
      <c r="A5" s="896"/>
      <c r="B5" s="896" t="s">
        <v>376</v>
      </c>
    </row>
    <row r="6" spans="1:31" ht="13.5" thickBot="1"/>
    <row r="7" spans="1:31" ht="13.5" thickBot="1">
      <c r="B7" s="309"/>
      <c r="C7" s="310"/>
      <c r="D7" s="310"/>
      <c r="E7" s="310"/>
      <c r="F7" s="311"/>
      <c r="G7" s="1458" t="s">
        <v>560</v>
      </c>
      <c r="H7" s="1459"/>
      <c r="I7" s="1459"/>
      <c r="J7" s="1459"/>
      <c r="K7" s="1460"/>
      <c r="L7" s="1458" t="s">
        <v>561</v>
      </c>
      <c r="M7" s="1459"/>
      <c r="N7" s="1459"/>
      <c r="O7" s="1459"/>
      <c r="P7" s="1460"/>
      <c r="Q7" s="1455" t="s">
        <v>557</v>
      </c>
      <c r="R7" s="1456"/>
      <c r="S7" s="1456"/>
      <c r="T7" s="1456"/>
      <c r="U7" s="1457"/>
      <c r="V7" s="1455" t="s">
        <v>562</v>
      </c>
      <c r="W7" s="1456"/>
      <c r="X7" s="1456"/>
      <c r="Y7" s="1456"/>
      <c r="Z7" s="1457"/>
      <c r="AA7" s="1455" t="s">
        <v>563</v>
      </c>
      <c r="AB7" s="1456"/>
      <c r="AC7" s="1456"/>
      <c r="AD7" s="1456"/>
      <c r="AE7" s="1457"/>
    </row>
    <row r="8" spans="1:31" ht="38.25">
      <c r="B8" s="312"/>
      <c r="C8" s="313"/>
      <c r="D8" s="313"/>
      <c r="E8" s="313" t="s">
        <v>323</v>
      </c>
      <c r="F8" s="314" t="s">
        <v>377</v>
      </c>
      <c r="G8" s="1453" t="s">
        <v>501</v>
      </c>
      <c r="H8" s="1454"/>
      <c r="I8" s="1453" t="s">
        <v>381</v>
      </c>
      <c r="J8" s="1454"/>
      <c r="K8" s="315" t="s">
        <v>382</v>
      </c>
      <c r="L8" s="1453" t="s">
        <v>501</v>
      </c>
      <c r="M8" s="1454"/>
      <c r="N8" s="1453" t="s">
        <v>381</v>
      </c>
      <c r="O8" s="1454"/>
      <c r="P8" s="316" t="s">
        <v>382</v>
      </c>
      <c r="Q8" s="1453" t="s">
        <v>501</v>
      </c>
      <c r="R8" s="1454"/>
      <c r="S8" s="1453" t="s">
        <v>381</v>
      </c>
      <c r="T8" s="1454"/>
      <c r="U8" s="315" t="s">
        <v>382</v>
      </c>
      <c r="V8" s="1453" t="s">
        <v>501</v>
      </c>
      <c r="W8" s="1454"/>
      <c r="X8" s="1453" t="s">
        <v>381</v>
      </c>
      <c r="Y8" s="1454"/>
      <c r="Z8" s="316" t="s">
        <v>382</v>
      </c>
      <c r="AA8" s="1453" t="s">
        <v>501</v>
      </c>
      <c r="AB8" s="1454"/>
      <c r="AC8" s="1453" t="s">
        <v>381</v>
      </c>
      <c r="AD8" s="1454"/>
      <c r="AE8" s="316" t="s">
        <v>260</v>
      </c>
    </row>
    <row r="9" spans="1:31" ht="13.5" thickBot="1">
      <c r="B9" s="317"/>
      <c r="C9" s="318"/>
      <c r="D9" s="318"/>
      <c r="E9" s="318"/>
      <c r="F9" s="1277"/>
      <c r="G9" s="1278" t="s">
        <v>261</v>
      </c>
      <c r="H9" s="1279" t="s">
        <v>262</v>
      </c>
      <c r="I9" s="1280" t="s">
        <v>261</v>
      </c>
      <c r="J9" s="1281" t="s">
        <v>262</v>
      </c>
      <c r="K9" s="1282" t="s">
        <v>560</v>
      </c>
      <c r="L9" s="1278" t="s">
        <v>261</v>
      </c>
      <c r="M9" s="1279" t="s">
        <v>262</v>
      </c>
      <c r="N9" s="1280" t="s">
        <v>261</v>
      </c>
      <c r="O9" s="1283" t="s">
        <v>262</v>
      </c>
      <c r="P9" s="1284" t="s">
        <v>561</v>
      </c>
      <c r="Q9" s="1278" t="s">
        <v>261</v>
      </c>
      <c r="R9" s="1279" t="s">
        <v>262</v>
      </c>
      <c r="S9" s="1280" t="s">
        <v>261</v>
      </c>
      <c r="T9" s="1281" t="s">
        <v>262</v>
      </c>
      <c r="U9" s="1282" t="s">
        <v>557</v>
      </c>
      <c r="V9" s="1278" t="s">
        <v>261</v>
      </c>
      <c r="W9" s="1279" t="s">
        <v>262</v>
      </c>
      <c r="X9" s="1280" t="s">
        <v>261</v>
      </c>
      <c r="Y9" s="1283" t="s">
        <v>262</v>
      </c>
      <c r="Z9" s="1284" t="s">
        <v>562</v>
      </c>
      <c r="AA9" s="1278" t="s">
        <v>261</v>
      </c>
      <c r="AB9" s="1279" t="s">
        <v>262</v>
      </c>
      <c r="AC9" s="1280" t="s">
        <v>261</v>
      </c>
      <c r="AD9" s="1283" t="s">
        <v>262</v>
      </c>
      <c r="AE9" s="1284" t="s">
        <v>563</v>
      </c>
    </row>
    <row r="10" spans="1:31">
      <c r="B10" s="319"/>
      <c r="C10" s="320" t="s">
        <v>173</v>
      </c>
      <c r="D10" s="320"/>
      <c r="E10" s="321"/>
      <c r="F10" s="322"/>
      <c r="G10" s="323"/>
      <c r="H10" s="324"/>
      <c r="I10" s="323"/>
      <c r="J10" s="325"/>
      <c r="K10" s="322"/>
      <c r="L10" s="323"/>
      <c r="M10" s="324"/>
      <c r="N10" s="323"/>
      <c r="O10" s="325"/>
      <c r="P10" s="322"/>
      <c r="Q10" s="323"/>
      <c r="R10" s="324"/>
      <c r="S10" s="323"/>
      <c r="T10" s="325"/>
      <c r="U10" s="322"/>
      <c r="V10" s="323"/>
      <c r="W10" s="324"/>
      <c r="X10" s="323"/>
      <c r="Y10" s="324"/>
      <c r="Z10" s="322"/>
      <c r="AA10" s="323"/>
      <c r="AB10" s="324"/>
      <c r="AC10" s="323"/>
      <c r="AD10" s="324"/>
      <c r="AE10" s="322"/>
    </row>
    <row r="11" spans="1:31">
      <c r="B11" s="319"/>
      <c r="C11" s="321"/>
      <c r="D11" s="326" t="s">
        <v>263</v>
      </c>
      <c r="E11" s="321"/>
      <c r="F11" s="327"/>
      <c r="G11" s="328"/>
      <c r="H11" s="329"/>
      <c r="I11" s="328"/>
      <c r="J11" s="330"/>
      <c r="K11" s="327"/>
      <c r="L11" s="328"/>
      <c r="M11" s="329"/>
      <c r="N11" s="328"/>
      <c r="O11" s="330"/>
      <c r="P11" s="327"/>
      <c r="Q11" s="328"/>
      <c r="R11" s="329"/>
      <c r="S11" s="328"/>
      <c r="T11" s="330"/>
      <c r="U11" s="331"/>
      <c r="V11" s="328"/>
      <c r="W11" s="329"/>
      <c r="X11" s="328"/>
      <c r="Y11" s="329"/>
      <c r="Z11" s="327"/>
      <c r="AA11" s="328"/>
      <c r="AB11" s="329"/>
      <c r="AC11" s="328"/>
      <c r="AD11" s="329"/>
      <c r="AE11" s="327"/>
    </row>
    <row r="12" spans="1:31">
      <c r="B12" s="332"/>
      <c r="C12" s="321"/>
      <c r="D12" s="321"/>
      <c r="E12" s="321" t="s">
        <v>174</v>
      </c>
      <c r="F12" s="333">
        <v>4914</v>
      </c>
      <c r="G12" s="334">
        <v>22</v>
      </c>
      <c r="H12" s="335">
        <v>8</v>
      </c>
      <c r="I12" s="334">
        <v>214</v>
      </c>
      <c r="J12" s="335">
        <v>4</v>
      </c>
      <c r="K12" s="333">
        <v>5102</v>
      </c>
      <c r="L12" s="334">
        <v>62</v>
      </c>
      <c r="M12" s="335">
        <v>20</v>
      </c>
      <c r="N12" s="334">
        <v>9</v>
      </c>
      <c r="O12" s="335">
        <v>10</v>
      </c>
      <c r="P12" s="333">
        <v>5039</v>
      </c>
      <c r="Q12" s="334">
        <v>0</v>
      </c>
      <c r="R12" s="335">
        <v>21</v>
      </c>
      <c r="S12" s="334">
        <v>35</v>
      </c>
      <c r="T12" s="335">
        <v>18</v>
      </c>
      <c r="U12" s="336">
        <v>5071</v>
      </c>
      <c r="V12" s="334">
        <v>0</v>
      </c>
      <c r="W12" s="335">
        <v>45.699999999999996</v>
      </c>
      <c r="X12" s="334">
        <v>27.6</v>
      </c>
      <c r="Y12" s="335">
        <v>17.3</v>
      </c>
      <c r="Z12" s="333">
        <v>5070.2</v>
      </c>
      <c r="AA12" s="334">
        <v>0</v>
      </c>
      <c r="AB12" s="335">
        <v>148.29999999999998</v>
      </c>
      <c r="AC12" s="334">
        <v>25.5</v>
      </c>
      <c r="AD12" s="335">
        <v>64.300000000000011</v>
      </c>
      <c r="AE12" s="333">
        <v>5011.7</v>
      </c>
    </row>
    <row r="13" spans="1:31">
      <c r="B13" s="332"/>
      <c r="C13" s="321"/>
      <c r="D13" s="321"/>
      <c r="E13" s="321" t="s">
        <v>175</v>
      </c>
      <c r="F13" s="333">
        <v>135999</v>
      </c>
      <c r="G13" s="334">
        <v>911</v>
      </c>
      <c r="H13" s="335">
        <v>1556</v>
      </c>
      <c r="I13" s="334">
        <v>48</v>
      </c>
      <c r="J13" s="337">
        <v>1633</v>
      </c>
      <c r="K13" s="333">
        <v>135213</v>
      </c>
      <c r="L13" s="334">
        <v>97</v>
      </c>
      <c r="M13" s="335">
        <v>1478</v>
      </c>
      <c r="N13" s="334">
        <v>77</v>
      </c>
      <c r="O13" s="337">
        <v>565</v>
      </c>
      <c r="P13" s="333">
        <v>134280</v>
      </c>
      <c r="Q13" s="334">
        <v>2469</v>
      </c>
      <c r="R13" s="335">
        <v>1419</v>
      </c>
      <c r="S13" s="334">
        <v>437</v>
      </c>
      <c r="T13" s="337">
        <v>732</v>
      </c>
      <c r="U13" s="336">
        <v>131561</v>
      </c>
      <c r="V13" s="334">
        <v>1942</v>
      </c>
      <c r="W13" s="335">
        <v>2476</v>
      </c>
      <c r="X13" s="334">
        <v>358</v>
      </c>
      <c r="Y13" s="335">
        <v>637</v>
      </c>
      <c r="Z13" s="333">
        <v>128138</v>
      </c>
      <c r="AA13" s="334">
        <v>1785</v>
      </c>
      <c r="AB13" s="335">
        <v>3377</v>
      </c>
      <c r="AC13" s="334">
        <v>371</v>
      </c>
      <c r="AD13" s="335">
        <v>1217</v>
      </c>
      <c r="AE13" s="333">
        <v>124564</v>
      </c>
    </row>
    <row r="14" spans="1:31">
      <c r="B14" s="332"/>
      <c r="C14" s="321"/>
      <c r="D14" s="321"/>
      <c r="E14" s="321"/>
      <c r="F14" s="338"/>
      <c r="G14" s="339"/>
      <c r="H14" s="340"/>
      <c r="I14" s="339"/>
      <c r="J14" s="341"/>
      <c r="K14" s="338"/>
      <c r="L14" s="339"/>
      <c r="M14" s="340"/>
      <c r="N14" s="339"/>
      <c r="O14" s="341"/>
      <c r="P14" s="338"/>
      <c r="Q14" s="339"/>
      <c r="R14" s="340"/>
      <c r="S14" s="339"/>
      <c r="T14" s="341"/>
      <c r="U14" s="342"/>
      <c r="V14" s="339"/>
      <c r="W14" s="340"/>
      <c r="X14" s="339"/>
      <c r="Y14" s="340"/>
      <c r="Z14" s="338"/>
      <c r="AA14" s="339"/>
      <c r="AB14" s="340"/>
      <c r="AC14" s="339"/>
      <c r="AD14" s="340"/>
      <c r="AE14" s="338"/>
    </row>
    <row r="15" spans="1:31">
      <c r="B15" s="332"/>
      <c r="C15" s="321"/>
      <c r="D15" s="326" t="s">
        <v>429</v>
      </c>
      <c r="E15" s="321"/>
      <c r="F15" s="338"/>
      <c r="G15" s="339"/>
      <c r="H15" s="340"/>
      <c r="I15" s="339"/>
      <c r="J15" s="341"/>
      <c r="K15" s="338"/>
      <c r="L15" s="339"/>
      <c r="M15" s="340"/>
      <c r="N15" s="339"/>
      <c r="O15" s="341"/>
      <c r="P15" s="338"/>
      <c r="Q15" s="339"/>
      <c r="R15" s="340"/>
      <c r="S15" s="339"/>
      <c r="T15" s="341"/>
      <c r="U15" s="342"/>
      <c r="V15" s="339"/>
      <c r="W15" s="340"/>
      <c r="X15" s="339"/>
      <c r="Y15" s="340"/>
      <c r="Z15" s="338"/>
      <c r="AA15" s="339"/>
      <c r="AB15" s="340"/>
      <c r="AC15" s="339"/>
      <c r="AD15" s="340"/>
      <c r="AE15" s="338"/>
    </row>
    <row r="16" spans="1:31">
      <c r="B16" s="332"/>
      <c r="C16" s="321"/>
      <c r="D16" s="321"/>
      <c r="E16" s="321" t="s">
        <v>430</v>
      </c>
      <c r="F16" s="333">
        <v>123846</v>
      </c>
      <c r="G16" s="334">
        <v>134</v>
      </c>
      <c r="H16" s="335">
        <v>0</v>
      </c>
      <c r="I16" s="334">
        <v>61</v>
      </c>
      <c r="J16" s="337">
        <v>0</v>
      </c>
      <c r="K16" s="333">
        <v>123773</v>
      </c>
      <c r="L16" s="334">
        <v>228</v>
      </c>
      <c r="M16" s="335">
        <v>0</v>
      </c>
      <c r="N16" s="334">
        <v>335</v>
      </c>
      <c r="O16" s="337">
        <v>0</v>
      </c>
      <c r="P16" s="333">
        <v>123880</v>
      </c>
      <c r="Q16" s="334">
        <v>1316</v>
      </c>
      <c r="R16" s="335">
        <v>910</v>
      </c>
      <c r="S16" s="334">
        <v>1127</v>
      </c>
      <c r="T16" s="337">
        <v>910</v>
      </c>
      <c r="U16" s="336">
        <v>123691</v>
      </c>
      <c r="V16" s="334">
        <v>1035</v>
      </c>
      <c r="W16" s="335">
        <v>570</v>
      </c>
      <c r="X16" s="334">
        <v>902</v>
      </c>
      <c r="Y16" s="335">
        <v>142</v>
      </c>
      <c r="Z16" s="333">
        <v>123130</v>
      </c>
      <c r="AA16" s="334">
        <v>951</v>
      </c>
      <c r="AB16" s="335">
        <v>1458</v>
      </c>
      <c r="AC16" s="334">
        <v>872</v>
      </c>
      <c r="AD16" s="335">
        <v>400</v>
      </c>
      <c r="AE16" s="333">
        <v>121993</v>
      </c>
    </row>
    <row r="17" spans="2:31">
      <c r="B17" s="332"/>
      <c r="C17" s="321"/>
      <c r="D17" s="321"/>
      <c r="E17" s="321"/>
      <c r="F17" s="338"/>
      <c r="G17" s="339"/>
      <c r="H17" s="340"/>
      <c r="I17" s="339"/>
      <c r="J17" s="341"/>
      <c r="K17" s="338"/>
      <c r="L17" s="339"/>
      <c r="M17" s="340"/>
      <c r="N17" s="339"/>
      <c r="O17" s="341"/>
      <c r="P17" s="338"/>
      <c r="Q17" s="339"/>
      <c r="R17" s="340"/>
      <c r="S17" s="339"/>
      <c r="T17" s="341"/>
      <c r="U17" s="342"/>
      <c r="V17" s="339"/>
      <c r="W17" s="340"/>
      <c r="X17" s="339"/>
      <c r="Y17" s="340"/>
      <c r="Z17" s="338"/>
      <c r="AA17" s="339"/>
      <c r="AB17" s="340"/>
      <c r="AC17" s="339"/>
      <c r="AD17" s="340"/>
      <c r="AE17" s="338"/>
    </row>
    <row r="18" spans="2:31">
      <c r="B18" s="332"/>
      <c r="C18" s="321"/>
      <c r="D18" s="326" t="s">
        <v>519</v>
      </c>
      <c r="E18" s="321"/>
      <c r="F18" s="338"/>
      <c r="G18" s="339"/>
      <c r="H18" s="340"/>
      <c r="I18" s="339"/>
      <c r="J18" s="341"/>
      <c r="K18" s="338"/>
      <c r="L18" s="339"/>
      <c r="M18" s="340"/>
      <c r="N18" s="339"/>
      <c r="O18" s="341"/>
      <c r="P18" s="338"/>
      <c r="Q18" s="339"/>
      <c r="R18" s="340"/>
      <c r="S18" s="339"/>
      <c r="T18" s="341"/>
      <c r="U18" s="342"/>
      <c r="V18" s="339"/>
      <c r="W18" s="340"/>
      <c r="X18" s="339"/>
      <c r="Y18" s="340"/>
      <c r="Z18" s="338"/>
      <c r="AA18" s="339"/>
      <c r="AB18" s="340"/>
      <c r="AC18" s="339"/>
      <c r="AD18" s="340"/>
      <c r="AE18" s="338"/>
    </row>
    <row r="19" spans="2:31">
      <c r="B19" s="332"/>
      <c r="C19" s="321"/>
      <c r="D19" s="326"/>
      <c r="E19" s="321" t="s">
        <v>458</v>
      </c>
      <c r="F19" s="333">
        <v>11</v>
      </c>
      <c r="G19" s="334">
        <v>0</v>
      </c>
      <c r="H19" s="335">
        <v>0</v>
      </c>
      <c r="I19" s="334">
        <v>0</v>
      </c>
      <c r="J19" s="337">
        <v>0</v>
      </c>
      <c r="K19" s="333">
        <v>11</v>
      </c>
      <c r="L19" s="334">
        <v>0</v>
      </c>
      <c r="M19" s="335">
        <v>0</v>
      </c>
      <c r="N19" s="334">
        <v>0</v>
      </c>
      <c r="O19" s="337">
        <v>0</v>
      </c>
      <c r="P19" s="333">
        <v>11</v>
      </c>
      <c r="Q19" s="334">
        <v>0</v>
      </c>
      <c r="R19" s="335">
        <v>0</v>
      </c>
      <c r="S19" s="334">
        <v>0</v>
      </c>
      <c r="T19" s="337">
        <v>0</v>
      </c>
      <c r="U19" s="336">
        <v>11</v>
      </c>
      <c r="V19" s="334">
        <v>0</v>
      </c>
      <c r="W19" s="335">
        <v>0</v>
      </c>
      <c r="X19" s="334">
        <v>0</v>
      </c>
      <c r="Y19" s="335">
        <v>0</v>
      </c>
      <c r="Z19" s="333">
        <v>11</v>
      </c>
      <c r="AA19" s="334">
        <v>0</v>
      </c>
      <c r="AB19" s="335">
        <v>0</v>
      </c>
      <c r="AC19" s="334">
        <v>0</v>
      </c>
      <c r="AD19" s="335">
        <v>0</v>
      </c>
      <c r="AE19" s="333">
        <v>11</v>
      </c>
    </row>
    <row r="20" spans="2:31">
      <c r="B20" s="332"/>
      <c r="C20" s="321"/>
      <c r="D20" s="326"/>
      <c r="E20" s="321" t="s">
        <v>316</v>
      </c>
      <c r="F20" s="333">
        <v>13223</v>
      </c>
      <c r="G20" s="334">
        <v>0</v>
      </c>
      <c r="H20" s="335">
        <v>0</v>
      </c>
      <c r="I20" s="334">
        <v>655</v>
      </c>
      <c r="J20" s="337">
        <v>39</v>
      </c>
      <c r="K20" s="333">
        <v>13917</v>
      </c>
      <c r="L20" s="334">
        <v>0</v>
      </c>
      <c r="M20" s="335">
        <v>2</v>
      </c>
      <c r="N20" s="334">
        <v>310</v>
      </c>
      <c r="O20" s="337">
        <v>75</v>
      </c>
      <c r="P20" s="333">
        <v>14300</v>
      </c>
      <c r="Q20" s="334">
        <v>0</v>
      </c>
      <c r="R20" s="335">
        <v>0</v>
      </c>
      <c r="S20" s="334">
        <v>305</v>
      </c>
      <c r="T20" s="337">
        <v>50</v>
      </c>
      <c r="U20" s="336">
        <v>14655</v>
      </c>
      <c r="V20" s="334">
        <v>0</v>
      </c>
      <c r="W20" s="335">
        <v>1.4</v>
      </c>
      <c r="X20" s="334">
        <v>210.3</v>
      </c>
      <c r="Y20" s="335">
        <v>74.599999999999994</v>
      </c>
      <c r="Z20" s="333">
        <v>14938.5</v>
      </c>
      <c r="AA20" s="334">
        <v>0</v>
      </c>
      <c r="AB20" s="335">
        <v>1</v>
      </c>
      <c r="AC20" s="334">
        <v>196</v>
      </c>
      <c r="AD20" s="335">
        <v>78</v>
      </c>
      <c r="AE20" s="333">
        <v>15211.5</v>
      </c>
    </row>
    <row r="21" spans="2:31">
      <c r="B21" s="332"/>
      <c r="C21" s="321"/>
      <c r="D21" s="326"/>
      <c r="E21" s="321" t="s">
        <v>317</v>
      </c>
      <c r="F21" s="333">
        <v>18395</v>
      </c>
      <c r="G21" s="334">
        <v>0</v>
      </c>
      <c r="H21" s="335">
        <v>7</v>
      </c>
      <c r="I21" s="334">
        <v>0</v>
      </c>
      <c r="J21" s="337">
        <v>0</v>
      </c>
      <c r="K21" s="333">
        <v>18388</v>
      </c>
      <c r="L21" s="334">
        <v>0</v>
      </c>
      <c r="M21" s="335">
        <v>31</v>
      </c>
      <c r="N21" s="334">
        <v>0</v>
      </c>
      <c r="O21" s="337">
        <v>0</v>
      </c>
      <c r="P21" s="333">
        <v>18357</v>
      </c>
      <c r="Q21" s="334">
        <v>0</v>
      </c>
      <c r="R21" s="335">
        <v>33</v>
      </c>
      <c r="S21" s="334">
        <v>0</v>
      </c>
      <c r="T21" s="337">
        <v>0</v>
      </c>
      <c r="U21" s="336">
        <v>18324</v>
      </c>
      <c r="V21" s="334">
        <v>0</v>
      </c>
      <c r="W21" s="335">
        <v>4</v>
      </c>
      <c r="X21" s="334">
        <v>0</v>
      </c>
      <c r="Y21" s="335">
        <v>0</v>
      </c>
      <c r="Z21" s="333">
        <v>18320</v>
      </c>
      <c r="AA21" s="334">
        <v>0</v>
      </c>
      <c r="AB21" s="335">
        <v>3</v>
      </c>
      <c r="AC21" s="334">
        <v>0</v>
      </c>
      <c r="AD21" s="335">
        <v>0</v>
      </c>
      <c r="AE21" s="333">
        <v>18317</v>
      </c>
    </row>
    <row r="22" spans="2:31">
      <c r="B22" s="332"/>
      <c r="C22" s="321"/>
      <c r="D22" s="326"/>
      <c r="E22" s="321" t="s">
        <v>318</v>
      </c>
      <c r="F22" s="333">
        <v>2361332</v>
      </c>
      <c r="G22" s="334">
        <v>77</v>
      </c>
      <c r="H22" s="335">
        <v>1230</v>
      </c>
      <c r="I22" s="334">
        <v>27978</v>
      </c>
      <c r="J22" s="337">
        <v>1230</v>
      </c>
      <c r="K22" s="333">
        <v>2389233</v>
      </c>
      <c r="L22" s="334">
        <v>0</v>
      </c>
      <c r="M22" s="335">
        <v>1153</v>
      </c>
      <c r="N22" s="334">
        <v>23378</v>
      </c>
      <c r="O22" s="337">
        <v>2066</v>
      </c>
      <c r="P22" s="333">
        <v>2413524</v>
      </c>
      <c r="Q22" s="334">
        <v>0</v>
      </c>
      <c r="R22" s="335">
        <v>1684</v>
      </c>
      <c r="S22" s="334">
        <v>27485</v>
      </c>
      <c r="T22" s="337">
        <v>2371</v>
      </c>
      <c r="U22" s="336">
        <v>2441696</v>
      </c>
      <c r="V22" s="334">
        <v>0</v>
      </c>
      <c r="W22" s="335">
        <v>108</v>
      </c>
      <c r="X22" s="334">
        <v>20668.5</v>
      </c>
      <c r="Y22" s="335">
        <v>1787</v>
      </c>
      <c r="Z22" s="333">
        <v>2464043.5</v>
      </c>
      <c r="AA22" s="334">
        <v>0</v>
      </c>
      <c r="AB22" s="335">
        <v>262</v>
      </c>
      <c r="AC22" s="334">
        <v>18931.599999999999</v>
      </c>
      <c r="AD22" s="335">
        <v>2406</v>
      </c>
      <c r="AE22" s="333">
        <v>2485119.1</v>
      </c>
    </row>
    <row r="23" spans="2:31">
      <c r="B23" s="332"/>
      <c r="C23" s="321"/>
      <c r="D23" s="321"/>
      <c r="E23" s="321"/>
      <c r="F23" s="338"/>
      <c r="G23" s="339"/>
      <c r="H23" s="340"/>
      <c r="I23" s="339"/>
      <c r="J23" s="341"/>
      <c r="K23" s="338"/>
      <c r="L23" s="339"/>
      <c r="M23" s="340"/>
      <c r="N23" s="339"/>
      <c r="O23" s="341"/>
      <c r="P23" s="338"/>
      <c r="Q23" s="339"/>
      <c r="R23" s="340"/>
      <c r="S23" s="339"/>
      <c r="T23" s="341"/>
      <c r="U23" s="342"/>
      <c r="V23" s="339"/>
      <c r="W23" s="340"/>
      <c r="X23" s="339"/>
      <c r="Y23" s="340"/>
      <c r="Z23" s="338"/>
      <c r="AA23" s="339"/>
      <c r="AB23" s="340"/>
      <c r="AC23" s="339"/>
      <c r="AD23" s="340"/>
      <c r="AE23" s="338"/>
    </row>
    <row r="24" spans="2:31">
      <c r="B24" s="332"/>
      <c r="C24" s="321"/>
      <c r="D24" s="326" t="s">
        <v>319</v>
      </c>
      <c r="E24" s="321"/>
      <c r="F24" s="338"/>
      <c r="G24" s="339"/>
      <c r="H24" s="340"/>
      <c r="I24" s="339"/>
      <c r="J24" s="341"/>
      <c r="K24" s="338"/>
      <c r="L24" s="339"/>
      <c r="M24" s="340"/>
      <c r="N24" s="339"/>
      <c r="O24" s="341"/>
      <c r="P24" s="338"/>
      <c r="Q24" s="339"/>
      <c r="R24" s="340"/>
      <c r="S24" s="339"/>
      <c r="T24" s="341"/>
      <c r="U24" s="342"/>
      <c r="V24" s="339"/>
      <c r="W24" s="340"/>
      <c r="X24" s="339"/>
      <c r="Y24" s="340"/>
      <c r="Z24" s="338"/>
      <c r="AA24" s="339"/>
      <c r="AB24" s="340"/>
      <c r="AC24" s="339"/>
      <c r="AD24" s="340"/>
      <c r="AE24" s="338"/>
    </row>
    <row r="25" spans="2:31">
      <c r="B25" s="332"/>
      <c r="C25" s="321"/>
      <c r="D25" s="326"/>
      <c r="E25" s="321" t="s">
        <v>320</v>
      </c>
      <c r="F25" s="333">
        <v>8541</v>
      </c>
      <c r="G25" s="334">
        <v>12</v>
      </c>
      <c r="H25" s="335">
        <v>49</v>
      </c>
      <c r="I25" s="334">
        <v>210</v>
      </c>
      <c r="J25" s="337">
        <v>49</v>
      </c>
      <c r="K25" s="333">
        <v>8739</v>
      </c>
      <c r="L25" s="334">
        <v>43</v>
      </c>
      <c r="M25" s="335">
        <v>105</v>
      </c>
      <c r="N25" s="334">
        <v>392</v>
      </c>
      <c r="O25" s="337">
        <v>105</v>
      </c>
      <c r="P25" s="333">
        <v>9088</v>
      </c>
      <c r="Q25" s="334">
        <v>0</v>
      </c>
      <c r="R25" s="335">
        <v>94</v>
      </c>
      <c r="S25" s="334">
        <v>259</v>
      </c>
      <c r="T25" s="337">
        <v>103</v>
      </c>
      <c r="U25" s="336">
        <v>9356</v>
      </c>
      <c r="V25" s="334">
        <v>0</v>
      </c>
      <c r="W25" s="335">
        <v>283</v>
      </c>
      <c r="X25" s="334">
        <v>204</v>
      </c>
      <c r="Y25" s="335">
        <v>143</v>
      </c>
      <c r="Z25" s="333">
        <v>9420</v>
      </c>
      <c r="AA25" s="334">
        <v>0</v>
      </c>
      <c r="AB25" s="335">
        <v>116</v>
      </c>
      <c r="AC25" s="334">
        <v>188</v>
      </c>
      <c r="AD25" s="335">
        <v>104</v>
      </c>
      <c r="AE25" s="333">
        <v>9596</v>
      </c>
    </row>
    <row r="26" spans="2:31">
      <c r="B26" s="332"/>
      <c r="C26" s="321"/>
      <c r="D26" s="326"/>
      <c r="E26" s="321" t="s">
        <v>321</v>
      </c>
      <c r="F26" s="333">
        <v>7893</v>
      </c>
      <c r="G26" s="334">
        <v>0</v>
      </c>
      <c r="H26" s="335">
        <v>0</v>
      </c>
      <c r="I26" s="334">
        <v>80</v>
      </c>
      <c r="J26" s="337">
        <v>0</v>
      </c>
      <c r="K26" s="333">
        <v>7973</v>
      </c>
      <c r="L26" s="334">
        <v>3</v>
      </c>
      <c r="M26" s="335">
        <v>36</v>
      </c>
      <c r="N26" s="334">
        <v>0</v>
      </c>
      <c r="O26" s="337">
        <v>36</v>
      </c>
      <c r="P26" s="333">
        <v>7970</v>
      </c>
      <c r="Q26" s="334">
        <v>181</v>
      </c>
      <c r="R26" s="335">
        <v>0</v>
      </c>
      <c r="S26" s="334">
        <v>136</v>
      </c>
      <c r="T26" s="337">
        <v>0</v>
      </c>
      <c r="U26" s="336">
        <v>7925</v>
      </c>
      <c r="V26" s="334">
        <v>142</v>
      </c>
      <c r="W26" s="335">
        <v>0</v>
      </c>
      <c r="X26" s="334">
        <v>63</v>
      </c>
      <c r="Y26" s="335">
        <v>0</v>
      </c>
      <c r="Z26" s="333">
        <v>7846</v>
      </c>
      <c r="AA26" s="334">
        <v>131</v>
      </c>
      <c r="AB26" s="335">
        <v>0</v>
      </c>
      <c r="AC26" s="334">
        <v>57</v>
      </c>
      <c r="AD26" s="335">
        <v>0</v>
      </c>
      <c r="AE26" s="333">
        <v>7772</v>
      </c>
    </row>
    <row r="27" spans="2:31">
      <c r="B27" s="332"/>
      <c r="C27" s="321"/>
      <c r="D27" s="326"/>
      <c r="E27" s="321" t="s">
        <v>442</v>
      </c>
      <c r="F27" s="333">
        <v>2425</v>
      </c>
      <c r="G27" s="334">
        <v>0</v>
      </c>
      <c r="H27" s="335">
        <v>0</v>
      </c>
      <c r="I27" s="334">
        <v>0</v>
      </c>
      <c r="J27" s="337">
        <v>0</v>
      </c>
      <c r="K27" s="333">
        <v>2425</v>
      </c>
      <c r="L27" s="334">
        <v>43</v>
      </c>
      <c r="M27" s="335">
        <v>0</v>
      </c>
      <c r="N27" s="334">
        <v>0</v>
      </c>
      <c r="O27" s="337">
        <v>0</v>
      </c>
      <c r="P27" s="333">
        <v>2382</v>
      </c>
      <c r="Q27" s="334">
        <v>33</v>
      </c>
      <c r="R27" s="335">
        <v>0</v>
      </c>
      <c r="S27" s="334">
        <v>0</v>
      </c>
      <c r="T27" s="337">
        <v>0</v>
      </c>
      <c r="U27" s="336">
        <v>2349</v>
      </c>
      <c r="V27" s="334">
        <v>26</v>
      </c>
      <c r="W27" s="335">
        <v>0</v>
      </c>
      <c r="X27" s="334">
        <v>0</v>
      </c>
      <c r="Y27" s="335">
        <v>0</v>
      </c>
      <c r="Z27" s="333">
        <v>2323</v>
      </c>
      <c r="AA27" s="334">
        <v>24</v>
      </c>
      <c r="AB27" s="335">
        <v>0</v>
      </c>
      <c r="AC27" s="334">
        <v>0</v>
      </c>
      <c r="AD27" s="335">
        <v>0</v>
      </c>
      <c r="AE27" s="333">
        <v>2299</v>
      </c>
    </row>
    <row r="28" spans="2:31">
      <c r="B28" s="332"/>
      <c r="C28" s="321"/>
      <c r="D28" s="326"/>
      <c r="E28" s="321" t="s">
        <v>443</v>
      </c>
      <c r="F28" s="333">
        <v>27050</v>
      </c>
      <c r="G28" s="334">
        <v>0</v>
      </c>
      <c r="H28" s="335">
        <v>1</v>
      </c>
      <c r="I28" s="334">
        <v>63</v>
      </c>
      <c r="J28" s="337">
        <v>9</v>
      </c>
      <c r="K28" s="333">
        <v>27121</v>
      </c>
      <c r="L28" s="334">
        <v>0</v>
      </c>
      <c r="M28" s="335">
        <v>159</v>
      </c>
      <c r="N28" s="334">
        <v>127</v>
      </c>
      <c r="O28" s="337">
        <v>136</v>
      </c>
      <c r="P28" s="333">
        <v>27225</v>
      </c>
      <c r="Q28" s="334">
        <v>0</v>
      </c>
      <c r="R28" s="335">
        <v>330</v>
      </c>
      <c r="S28" s="334">
        <v>484</v>
      </c>
      <c r="T28" s="337">
        <v>155</v>
      </c>
      <c r="U28" s="336">
        <v>27534</v>
      </c>
      <c r="V28" s="334">
        <v>0</v>
      </c>
      <c r="W28" s="335">
        <v>340</v>
      </c>
      <c r="X28" s="334">
        <v>392</v>
      </c>
      <c r="Y28" s="335">
        <v>457</v>
      </c>
      <c r="Z28" s="333">
        <v>28043</v>
      </c>
      <c r="AA28" s="334">
        <v>0</v>
      </c>
      <c r="AB28" s="335">
        <v>33</v>
      </c>
      <c r="AC28" s="334">
        <v>391</v>
      </c>
      <c r="AD28" s="335">
        <v>123</v>
      </c>
      <c r="AE28" s="333">
        <v>28524</v>
      </c>
    </row>
    <row r="29" spans="2:31">
      <c r="B29" s="332"/>
      <c r="C29" s="321"/>
      <c r="D29" s="326"/>
      <c r="E29" s="321" t="s">
        <v>569</v>
      </c>
      <c r="F29" s="333">
        <v>22689</v>
      </c>
      <c r="G29" s="334">
        <v>0</v>
      </c>
      <c r="H29" s="335">
        <v>0</v>
      </c>
      <c r="I29" s="334">
        <v>31</v>
      </c>
      <c r="J29" s="337">
        <v>0</v>
      </c>
      <c r="K29" s="333">
        <v>22720</v>
      </c>
      <c r="L29" s="334">
        <v>109</v>
      </c>
      <c r="M29" s="335">
        <v>0</v>
      </c>
      <c r="N29" s="334">
        <v>88</v>
      </c>
      <c r="O29" s="337">
        <v>0</v>
      </c>
      <c r="P29" s="333">
        <v>22699</v>
      </c>
      <c r="Q29" s="334">
        <v>485</v>
      </c>
      <c r="R29" s="335">
        <v>0</v>
      </c>
      <c r="S29" s="334">
        <v>484</v>
      </c>
      <c r="T29" s="337">
        <v>0</v>
      </c>
      <c r="U29" s="336">
        <v>22698</v>
      </c>
      <c r="V29" s="334">
        <v>382</v>
      </c>
      <c r="W29" s="335">
        <v>0</v>
      </c>
      <c r="X29" s="334">
        <v>380</v>
      </c>
      <c r="Y29" s="335">
        <v>0</v>
      </c>
      <c r="Z29" s="333">
        <v>22696</v>
      </c>
      <c r="AA29" s="334">
        <v>351</v>
      </c>
      <c r="AB29" s="335">
        <v>0</v>
      </c>
      <c r="AC29" s="334">
        <v>347</v>
      </c>
      <c r="AD29" s="335">
        <v>0</v>
      </c>
      <c r="AE29" s="333">
        <v>22692</v>
      </c>
    </row>
    <row r="30" spans="2:31">
      <c r="B30" s="332"/>
      <c r="C30" s="321"/>
      <c r="D30" s="326"/>
      <c r="E30" s="321" t="s">
        <v>570</v>
      </c>
      <c r="F30" s="333">
        <v>0</v>
      </c>
      <c r="G30" s="334">
        <v>0</v>
      </c>
      <c r="H30" s="335">
        <v>0</v>
      </c>
      <c r="I30" s="334">
        <v>0</v>
      </c>
      <c r="J30" s="337">
        <v>0</v>
      </c>
      <c r="K30" s="333">
        <v>0</v>
      </c>
      <c r="L30" s="334">
        <v>0</v>
      </c>
      <c r="M30" s="335">
        <v>0</v>
      </c>
      <c r="N30" s="334">
        <v>0</v>
      </c>
      <c r="O30" s="337">
        <v>0</v>
      </c>
      <c r="P30" s="333">
        <v>0</v>
      </c>
      <c r="Q30" s="334">
        <v>0</v>
      </c>
      <c r="R30" s="335">
        <v>0</v>
      </c>
      <c r="S30" s="334">
        <v>0</v>
      </c>
      <c r="T30" s="337">
        <v>0</v>
      </c>
      <c r="U30" s="336">
        <v>0</v>
      </c>
      <c r="V30" s="334">
        <v>0</v>
      </c>
      <c r="W30" s="335">
        <v>0</v>
      </c>
      <c r="X30" s="334">
        <v>0</v>
      </c>
      <c r="Y30" s="335">
        <v>0</v>
      </c>
      <c r="Z30" s="333">
        <v>0</v>
      </c>
      <c r="AA30" s="334">
        <v>0</v>
      </c>
      <c r="AB30" s="335">
        <v>0</v>
      </c>
      <c r="AC30" s="334">
        <v>0</v>
      </c>
      <c r="AD30" s="335">
        <v>0</v>
      </c>
      <c r="AE30" s="333">
        <v>0</v>
      </c>
    </row>
    <row r="31" spans="2:31" ht="13.5" thickBot="1">
      <c r="B31" s="317"/>
      <c r="C31" s="318"/>
      <c r="D31" s="318"/>
      <c r="E31" s="318"/>
      <c r="F31" s="343"/>
      <c r="G31" s="344"/>
      <c r="H31" s="345"/>
      <c r="I31" s="344"/>
      <c r="J31" s="346"/>
      <c r="K31" s="347"/>
      <c r="L31" s="344"/>
      <c r="M31" s="345"/>
      <c r="N31" s="344"/>
      <c r="O31" s="346"/>
      <c r="P31" s="347"/>
      <c r="Q31" s="344"/>
      <c r="R31" s="345"/>
      <c r="S31" s="344"/>
      <c r="T31" s="346"/>
      <c r="U31" s="348"/>
      <c r="V31" s="344"/>
      <c r="W31" s="345"/>
      <c r="X31" s="344"/>
      <c r="Y31" s="345"/>
      <c r="Z31" s="347"/>
      <c r="AA31" s="344"/>
      <c r="AB31" s="345"/>
      <c r="AC31" s="344"/>
      <c r="AD31" s="345"/>
      <c r="AE31" s="347"/>
    </row>
    <row r="32" spans="2:31">
      <c r="B32" s="349"/>
      <c r="C32" s="350" t="s">
        <v>571</v>
      </c>
      <c r="D32" s="350"/>
      <c r="E32" s="351"/>
      <c r="F32" s="338"/>
      <c r="G32" s="339"/>
      <c r="H32" s="340"/>
      <c r="I32" s="339"/>
      <c r="J32" s="341"/>
      <c r="K32" s="338"/>
      <c r="L32" s="339"/>
      <c r="M32" s="340"/>
      <c r="N32" s="339"/>
      <c r="O32" s="341"/>
      <c r="P32" s="338"/>
      <c r="Q32" s="339"/>
      <c r="R32" s="340"/>
      <c r="S32" s="339"/>
      <c r="T32" s="341"/>
      <c r="U32" s="342"/>
      <c r="V32" s="339"/>
      <c r="W32" s="340"/>
      <c r="X32" s="339"/>
      <c r="Y32" s="340"/>
      <c r="Z32" s="338"/>
      <c r="AA32" s="339"/>
      <c r="AB32" s="340"/>
      <c r="AC32" s="339"/>
      <c r="AD32" s="340"/>
      <c r="AE32" s="338"/>
    </row>
    <row r="33" spans="2:31">
      <c r="B33" s="332"/>
      <c r="C33" s="321"/>
      <c r="D33" s="326" t="s">
        <v>263</v>
      </c>
      <c r="E33" s="321"/>
      <c r="F33" s="338"/>
      <c r="G33" s="339"/>
      <c r="H33" s="340"/>
      <c r="I33" s="339"/>
      <c r="J33" s="341"/>
      <c r="K33" s="338"/>
      <c r="L33" s="339"/>
      <c r="M33" s="340"/>
      <c r="N33" s="339"/>
      <c r="O33" s="341"/>
      <c r="P33" s="338"/>
      <c r="Q33" s="339"/>
      <c r="R33" s="340"/>
      <c r="S33" s="339"/>
      <c r="T33" s="341"/>
      <c r="U33" s="342"/>
      <c r="V33" s="339"/>
      <c r="W33" s="340"/>
      <c r="X33" s="339"/>
      <c r="Y33" s="340"/>
      <c r="Z33" s="338"/>
      <c r="AA33" s="339"/>
      <c r="AB33" s="340"/>
      <c r="AC33" s="339"/>
      <c r="AD33" s="340"/>
      <c r="AE33" s="338"/>
    </row>
    <row r="34" spans="2:31">
      <c r="B34" s="332"/>
      <c r="C34" s="321"/>
      <c r="D34" s="326"/>
      <c r="E34" s="321" t="s">
        <v>572</v>
      </c>
      <c r="F34" s="333">
        <v>12571</v>
      </c>
      <c r="G34" s="334">
        <v>23</v>
      </c>
      <c r="H34" s="335">
        <v>22</v>
      </c>
      <c r="I34" s="334">
        <v>13</v>
      </c>
      <c r="J34" s="337">
        <v>22</v>
      </c>
      <c r="K34" s="333">
        <v>12561</v>
      </c>
      <c r="L34" s="334">
        <v>17</v>
      </c>
      <c r="M34" s="335">
        <v>43</v>
      </c>
      <c r="N34" s="334">
        <v>46</v>
      </c>
      <c r="O34" s="337">
        <v>43</v>
      </c>
      <c r="P34" s="333">
        <v>12590</v>
      </c>
      <c r="Q34" s="334">
        <v>78</v>
      </c>
      <c r="R34" s="335">
        <v>57</v>
      </c>
      <c r="S34" s="334">
        <v>60</v>
      </c>
      <c r="T34" s="337">
        <v>57</v>
      </c>
      <c r="U34" s="336">
        <v>12572</v>
      </c>
      <c r="V34" s="334">
        <v>34.299999999999997</v>
      </c>
      <c r="W34" s="335">
        <v>250.1</v>
      </c>
      <c r="X34" s="334">
        <v>26.8</v>
      </c>
      <c r="Y34" s="335">
        <v>219.4</v>
      </c>
      <c r="Z34" s="333">
        <v>12533.800000000001</v>
      </c>
      <c r="AA34" s="334">
        <v>49.4</v>
      </c>
      <c r="AB34" s="335">
        <v>167.5</v>
      </c>
      <c r="AC34" s="334">
        <v>26</v>
      </c>
      <c r="AD34" s="335">
        <v>130.30000000000001</v>
      </c>
      <c r="AE34" s="333">
        <v>12473.2</v>
      </c>
    </row>
    <row r="35" spans="2:31">
      <c r="B35" s="332"/>
      <c r="C35" s="321"/>
      <c r="D35" s="326"/>
      <c r="E35" s="321" t="s">
        <v>573</v>
      </c>
      <c r="F35" s="333">
        <v>22</v>
      </c>
      <c r="G35" s="334">
        <v>0</v>
      </c>
      <c r="H35" s="335">
        <v>0</v>
      </c>
      <c r="I35" s="334">
        <v>0</v>
      </c>
      <c r="J35" s="337">
        <v>0</v>
      </c>
      <c r="K35" s="333">
        <v>22</v>
      </c>
      <c r="L35" s="334">
        <v>0</v>
      </c>
      <c r="M35" s="335">
        <v>0</v>
      </c>
      <c r="N35" s="334">
        <v>0</v>
      </c>
      <c r="O35" s="337">
        <v>0</v>
      </c>
      <c r="P35" s="333">
        <v>22</v>
      </c>
      <c r="Q35" s="334">
        <v>1</v>
      </c>
      <c r="R35" s="335">
        <v>0</v>
      </c>
      <c r="S35" s="334">
        <v>0</v>
      </c>
      <c r="T35" s="337">
        <v>0</v>
      </c>
      <c r="U35" s="336">
        <v>21</v>
      </c>
      <c r="V35" s="334">
        <v>0.4</v>
      </c>
      <c r="W35" s="335">
        <v>0</v>
      </c>
      <c r="X35" s="334">
        <v>0</v>
      </c>
      <c r="Y35" s="335">
        <v>0</v>
      </c>
      <c r="Z35" s="333">
        <v>20.6</v>
      </c>
      <c r="AA35" s="334">
        <v>0.6</v>
      </c>
      <c r="AB35" s="335">
        <v>0</v>
      </c>
      <c r="AC35" s="334">
        <v>0</v>
      </c>
      <c r="AD35" s="335">
        <v>0</v>
      </c>
      <c r="AE35" s="333">
        <v>20</v>
      </c>
    </row>
    <row r="36" spans="2:31">
      <c r="B36" s="332"/>
      <c r="C36" s="321"/>
      <c r="D36" s="321"/>
      <c r="E36" s="321" t="s">
        <v>574</v>
      </c>
      <c r="F36" s="333">
        <v>0</v>
      </c>
      <c r="G36" s="334">
        <v>0</v>
      </c>
      <c r="H36" s="335">
        <v>0</v>
      </c>
      <c r="I36" s="334">
        <v>0</v>
      </c>
      <c r="J36" s="337">
        <v>0</v>
      </c>
      <c r="K36" s="333">
        <v>0</v>
      </c>
      <c r="L36" s="334">
        <v>0</v>
      </c>
      <c r="M36" s="335">
        <v>0</v>
      </c>
      <c r="N36" s="334">
        <v>0</v>
      </c>
      <c r="O36" s="337">
        <v>0</v>
      </c>
      <c r="P36" s="333">
        <v>0</v>
      </c>
      <c r="Q36" s="334">
        <v>0</v>
      </c>
      <c r="R36" s="335">
        <v>0</v>
      </c>
      <c r="S36" s="334">
        <v>0</v>
      </c>
      <c r="T36" s="337">
        <v>0</v>
      </c>
      <c r="U36" s="336">
        <v>0</v>
      </c>
      <c r="V36" s="334">
        <v>0</v>
      </c>
      <c r="W36" s="335">
        <v>0</v>
      </c>
      <c r="X36" s="334">
        <v>0</v>
      </c>
      <c r="Y36" s="335">
        <v>0</v>
      </c>
      <c r="Z36" s="333">
        <v>0</v>
      </c>
      <c r="AA36" s="334">
        <v>0</v>
      </c>
      <c r="AB36" s="335">
        <v>0</v>
      </c>
      <c r="AC36" s="334">
        <v>0</v>
      </c>
      <c r="AD36" s="335">
        <v>0</v>
      </c>
      <c r="AE36" s="333">
        <v>0</v>
      </c>
    </row>
    <row r="37" spans="2:31">
      <c r="B37" s="332"/>
      <c r="C37" s="321"/>
      <c r="D37" s="321"/>
      <c r="E37" s="321" t="s">
        <v>331</v>
      </c>
      <c r="F37" s="333">
        <v>0</v>
      </c>
      <c r="G37" s="334">
        <v>0</v>
      </c>
      <c r="H37" s="335">
        <v>0</v>
      </c>
      <c r="I37" s="334">
        <v>0</v>
      </c>
      <c r="J37" s="337">
        <v>0</v>
      </c>
      <c r="K37" s="333">
        <v>0</v>
      </c>
      <c r="L37" s="334">
        <v>0</v>
      </c>
      <c r="M37" s="335">
        <v>0</v>
      </c>
      <c r="N37" s="334">
        <v>0</v>
      </c>
      <c r="O37" s="337">
        <v>0</v>
      </c>
      <c r="P37" s="333">
        <v>0</v>
      </c>
      <c r="Q37" s="334">
        <v>0</v>
      </c>
      <c r="R37" s="335">
        <v>0</v>
      </c>
      <c r="S37" s="334">
        <v>0</v>
      </c>
      <c r="T37" s="337">
        <v>0</v>
      </c>
      <c r="U37" s="336">
        <v>0</v>
      </c>
      <c r="V37" s="334">
        <v>0</v>
      </c>
      <c r="W37" s="335">
        <v>0</v>
      </c>
      <c r="X37" s="334">
        <v>0</v>
      </c>
      <c r="Y37" s="335">
        <v>0</v>
      </c>
      <c r="Z37" s="333">
        <v>0</v>
      </c>
      <c r="AA37" s="334">
        <v>0</v>
      </c>
      <c r="AB37" s="335">
        <v>0</v>
      </c>
      <c r="AC37" s="334">
        <v>0</v>
      </c>
      <c r="AD37" s="335">
        <v>0</v>
      </c>
      <c r="AE37" s="333">
        <v>0</v>
      </c>
    </row>
    <row r="38" spans="2:31">
      <c r="B38" s="332"/>
      <c r="C38" s="321"/>
      <c r="D38" s="321"/>
      <c r="E38" s="321"/>
      <c r="F38" s="338"/>
      <c r="G38" s="339"/>
      <c r="H38" s="340"/>
      <c r="I38" s="339"/>
      <c r="J38" s="341"/>
      <c r="K38" s="338"/>
      <c r="L38" s="339"/>
      <c r="M38" s="340"/>
      <c r="N38" s="339"/>
      <c r="O38" s="341"/>
      <c r="P38" s="338"/>
      <c r="Q38" s="339"/>
      <c r="R38" s="340"/>
      <c r="S38" s="339"/>
      <c r="T38" s="341"/>
      <c r="U38" s="342"/>
      <c r="V38" s="339"/>
      <c r="W38" s="340"/>
      <c r="X38" s="339"/>
      <c r="Y38" s="340"/>
      <c r="Z38" s="338"/>
      <c r="AA38" s="339"/>
      <c r="AB38" s="340"/>
      <c r="AC38" s="339"/>
      <c r="AD38" s="340"/>
      <c r="AE38" s="338"/>
    </row>
    <row r="39" spans="2:31">
      <c r="B39" s="332"/>
      <c r="C39" s="321"/>
      <c r="D39" s="326" t="s">
        <v>429</v>
      </c>
      <c r="E39" s="321"/>
      <c r="F39" s="338"/>
      <c r="G39" s="339"/>
      <c r="H39" s="340"/>
      <c r="I39" s="339"/>
      <c r="J39" s="341"/>
      <c r="K39" s="338"/>
      <c r="L39" s="339"/>
      <c r="M39" s="340"/>
      <c r="N39" s="339"/>
      <c r="O39" s="341"/>
      <c r="P39" s="338"/>
      <c r="Q39" s="339"/>
      <c r="R39" s="340"/>
      <c r="S39" s="339"/>
      <c r="T39" s="341"/>
      <c r="U39" s="342"/>
      <c r="V39" s="339"/>
      <c r="W39" s="340"/>
      <c r="X39" s="339"/>
      <c r="Y39" s="340"/>
      <c r="Z39" s="338"/>
      <c r="AA39" s="339"/>
      <c r="AB39" s="340"/>
      <c r="AC39" s="339"/>
      <c r="AD39" s="340"/>
      <c r="AE39" s="338"/>
    </row>
    <row r="40" spans="2:31">
      <c r="B40" s="332"/>
      <c r="C40" s="321"/>
      <c r="D40" s="351"/>
      <c r="E40" s="321" t="s">
        <v>452</v>
      </c>
      <c r="F40" s="333">
        <v>163477</v>
      </c>
      <c r="G40" s="334">
        <v>229</v>
      </c>
      <c r="H40" s="335">
        <v>225</v>
      </c>
      <c r="I40" s="334">
        <v>145</v>
      </c>
      <c r="J40" s="337">
        <v>225</v>
      </c>
      <c r="K40" s="333">
        <v>163393</v>
      </c>
      <c r="L40" s="334">
        <v>0</v>
      </c>
      <c r="M40" s="335">
        <v>233</v>
      </c>
      <c r="N40" s="334">
        <v>697</v>
      </c>
      <c r="O40" s="337">
        <v>506</v>
      </c>
      <c r="P40" s="333">
        <v>164363</v>
      </c>
      <c r="Q40" s="334">
        <v>2217</v>
      </c>
      <c r="R40" s="335">
        <v>1136</v>
      </c>
      <c r="S40" s="334">
        <v>647</v>
      </c>
      <c r="T40" s="337">
        <v>1136</v>
      </c>
      <c r="U40" s="336">
        <v>162793</v>
      </c>
      <c r="V40" s="334">
        <v>974</v>
      </c>
      <c r="W40" s="335">
        <v>1765</v>
      </c>
      <c r="X40" s="334">
        <v>525</v>
      </c>
      <c r="Y40" s="335">
        <v>1460</v>
      </c>
      <c r="Z40" s="333">
        <v>162039</v>
      </c>
      <c r="AA40" s="334">
        <v>1403</v>
      </c>
      <c r="AB40" s="335">
        <v>1533</v>
      </c>
      <c r="AC40" s="334">
        <v>509</v>
      </c>
      <c r="AD40" s="335">
        <v>1161</v>
      </c>
      <c r="AE40" s="333">
        <v>160773</v>
      </c>
    </row>
    <row r="41" spans="2:31">
      <c r="B41" s="332"/>
      <c r="C41" s="321"/>
      <c r="D41" s="326"/>
      <c r="E41" s="321" t="s">
        <v>453</v>
      </c>
      <c r="F41" s="333">
        <v>0</v>
      </c>
      <c r="G41" s="334">
        <v>0</v>
      </c>
      <c r="H41" s="335">
        <v>0</v>
      </c>
      <c r="I41" s="334">
        <v>0</v>
      </c>
      <c r="J41" s="337">
        <v>0</v>
      </c>
      <c r="K41" s="333">
        <v>0</v>
      </c>
      <c r="L41" s="334">
        <v>0</v>
      </c>
      <c r="M41" s="335">
        <v>0</v>
      </c>
      <c r="N41" s="334">
        <v>0</v>
      </c>
      <c r="O41" s="337">
        <v>0</v>
      </c>
      <c r="P41" s="333">
        <v>0</v>
      </c>
      <c r="Q41" s="334">
        <v>0</v>
      </c>
      <c r="R41" s="335">
        <v>0</v>
      </c>
      <c r="S41" s="334">
        <v>0</v>
      </c>
      <c r="T41" s="337">
        <v>0</v>
      </c>
      <c r="U41" s="336">
        <v>0</v>
      </c>
      <c r="V41" s="334">
        <v>0</v>
      </c>
      <c r="W41" s="335">
        <v>0</v>
      </c>
      <c r="X41" s="334">
        <v>0</v>
      </c>
      <c r="Y41" s="335">
        <v>0</v>
      </c>
      <c r="Z41" s="333">
        <v>0</v>
      </c>
      <c r="AA41" s="334">
        <v>0</v>
      </c>
      <c r="AB41" s="335">
        <v>0</v>
      </c>
      <c r="AC41" s="334">
        <v>0</v>
      </c>
      <c r="AD41" s="335">
        <v>0</v>
      </c>
      <c r="AE41" s="333">
        <v>0</v>
      </c>
    </row>
    <row r="42" spans="2:31">
      <c r="B42" s="332"/>
      <c r="C42" s="321"/>
      <c r="D42" s="321"/>
      <c r="E42" s="321"/>
      <c r="F42" s="338"/>
      <c r="G42" s="339"/>
      <c r="H42" s="340"/>
      <c r="I42" s="339"/>
      <c r="J42" s="341"/>
      <c r="K42" s="338"/>
      <c r="L42" s="339"/>
      <c r="M42" s="340"/>
      <c r="N42" s="339"/>
      <c r="O42" s="341"/>
      <c r="P42" s="338"/>
      <c r="Q42" s="339"/>
      <c r="R42" s="340"/>
      <c r="S42" s="339"/>
      <c r="T42" s="341"/>
      <c r="U42" s="342"/>
      <c r="V42" s="339"/>
      <c r="W42" s="340"/>
      <c r="X42" s="339"/>
      <c r="Y42" s="340"/>
      <c r="Z42" s="338"/>
      <c r="AA42" s="339"/>
      <c r="AB42" s="340"/>
      <c r="AC42" s="339"/>
      <c r="AD42" s="340"/>
      <c r="AE42" s="338"/>
    </row>
    <row r="43" spans="2:31">
      <c r="B43" s="332"/>
      <c r="C43" s="321"/>
      <c r="D43" s="326" t="s">
        <v>454</v>
      </c>
      <c r="E43" s="321"/>
      <c r="F43" s="338"/>
      <c r="G43" s="339"/>
      <c r="H43" s="340"/>
      <c r="I43" s="339"/>
      <c r="J43" s="341"/>
      <c r="K43" s="338"/>
      <c r="L43" s="339"/>
      <c r="M43" s="340"/>
      <c r="N43" s="339"/>
      <c r="O43" s="341"/>
      <c r="P43" s="338"/>
      <c r="Q43" s="339"/>
      <c r="R43" s="340"/>
      <c r="S43" s="339"/>
      <c r="T43" s="341"/>
      <c r="U43" s="342"/>
      <c r="V43" s="339"/>
      <c r="W43" s="340"/>
      <c r="X43" s="339"/>
      <c r="Y43" s="340"/>
      <c r="Z43" s="338"/>
      <c r="AA43" s="339"/>
      <c r="AB43" s="340"/>
      <c r="AC43" s="339"/>
      <c r="AD43" s="340"/>
      <c r="AE43" s="338"/>
    </row>
    <row r="44" spans="2:31">
      <c r="B44" s="332"/>
      <c r="C44" s="321"/>
      <c r="D44" s="326"/>
      <c r="E44" s="321" t="s">
        <v>455</v>
      </c>
      <c r="F44" s="333">
        <v>12768</v>
      </c>
      <c r="G44" s="334">
        <v>0</v>
      </c>
      <c r="H44" s="335">
        <v>10</v>
      </c>
      <c r="I44" s="334">
        <v>122</v>
      </c>
      <c r="J44" s="337">
        <v>30</v>
      </c>
      <c r="K44" s="333">
        <v>12910</v>
      </c>
      <c r="L44" s="334">
        <v>1</v>
      </c>
      <c r="M44" s="335">
        <v>55</v>
      </c>
      <c r="N44" s="334">
        <v>184</v>
      </c>
      <c r="O44" s="337">
        <v>55</v>
      </c>
      <c r="P44" s="333">
        <v>13093</v>
      </c>
      <c r="Q44" s="334">
        <v>0</v>
      </c>
      <c r="R44" s="335">
        <v>10</v>
      </c>
      <c r="S44" s="334">
        <v>167</v>
      </c>
      <c r="T44" s="337">
        <v>38</v>
      </c>
      <c r="U44" s="336">
        <v>13288</v>
      </c>
      <c r="V44" s="334">
        <v>0</v>
      </c>
      <c r="W44" s="335">
        <v>10.8</v>
      </c>
      <c r="X44" s="334">
        <v>133</v>
      </c>
      <c r="Y44" s="335">
        <v>77.3</v>
      </c>
      <c r="Z44" s="333">
        <v>13487.5</v>
      </c>
      <c r="AA44" s="334">
        <v>0</v>
      </c>
      <c r="AB44" s="335">
        <v>14.700000000000001</v>
      </c>
      <c r="AC44" s="334">
        <v>124.7</v>
      </c>
      <c r="AD44" s="335">
        <v>76.400000000000006</v>
      </c>
      <c r="AE44" s="333">
        <v>13673.9</v>
      </c>
    </row>
    <row r="45" spans="2:31">
      <c r="B45" s="332"/>
      <c r="C45" s="321"/>
      <c r="D45" s="326"/>
      <c r="E45" s="321" t="s">
        <v>456</v>
      </c>
      <c r="F45" s="333">
        <v>0</v>
      </c>
      <c r="G45" s="334">
        <v>0</v>
      </c>
      <c r="H45" s="335">
        <v>0</v>
      </c>
      <c r="I45" s="334">
        <v>0</v>
      </c>
      <c r="J45" s="337">
        <v>0</v>
      </c>
      <c r="K45" s="333">
        <v>0</v>
      </c>
      <c r="L45" s="334">
        <v>0</v>
      </c>
      <c r="M45" s="335">
        <v>0</v>
      </c>
      <c r="N45" s="334">
        <v>0</v>
      </c>
      <c r="O45" s="337">
        <v>0</v>
      </c>
      <c r="P45" s="333">
        <v>0</v>
      </c>
      <c r="Q45" s="334">
        <v>0</v>
      </c>
      <c r="R45" s="335">
        <v>0</v>
      </c>
      <c r="S45" s="334">
        <v>0</v>
      </c>
      <c r="T45" s="337">
        <v>0</v>
      </c>
      <c r="U45" s="336">
        <v>0</v>
      </c>
      <c r="V45" s="334">
        <v>0</v>
      </c>
      <c r="W45" s="335">
        <v>0</v>
      </c>
      <c r="X45" s="334">
        <v>0</v>
      </c>
      <c r="Y45" s="335">
        <v>0</v>
      </c>
      <c r="Z45" s="333">
        <v>0</v>
      </c>
      <c r="AA45" s="334">
        <v>0</v>
      </c>
      <c r="AB45" s="335">
        <v>0</v>
      </c>
      <c r="AC45" s="334">
        <v>0</v>
      </c>
      <c r="AD45" s="335">
        <v>0</v>
      </c>
      <c r="AE45" s="333">
        <v>0</v>
      </c>
    </row>
    <row r="46" spans="2:31">
      <c r="B46" s="332"/>
      <c r="C46" s="321"/>
      <c r="D46" s="326"/>
      <c r="E46" s="321"/>
      <c r="F46" s="338"/>
      <c r="G46" s="339"/>
      <c r="H46" s="340"/>
      <c r="I46" s="339"/>
      <c r="J46" s="341"/>
      <c r="K46" s="338"/>
      <c r="L46" s="339"/>
      <c r="M46" s="340"/>
      <c r="N46" s="339"/>
      <c r="O46" s="341"/>
      <c r="P46" s="338"/>
      <c r="Q46" s="339"/>
      <c r="R46" s="340"/>
      <c r="S46" s="339"/>
      <c r="T46" s="341"/>
      <c r="U46" s="342"/>
      <c r="V46" s="339"/>
      <c r="W46" s="340"/>
      <c r="X46" s="339"/>
      <c r="Y46" s="340"/>
      <c r="Z46" s="338"/>
      <c r="AA46" s="339"/>
      <c r="AB46" s="340"/>
      <c r="AC46" s="339"/>
      <c r="AD46" s="340"/>
      <c r="AE46" s="338"/>
    </row>
    <row r="47" spans="2:31">
      <c r="B47" s="332"/>
      <c r="C47" s="321"/>
      <c r="D47" s="326" t="s">
        <v>596</v>
      </c>
      <c r="E47" s="321"/>
      <c r="F47" s="338"/>
      <c r="G47" s="339"/>
      <c r="H47" s="340"/>
      <c r="I47" s="339"/>
      <c r="J47" s="341"/>
      <c r="K47" s="338"/>
      <c r="L47" s="339"/>
      <c r="M47" s="340"/>
      <c r="N47" s="339"/>
      <c r="O47" s="341"/>
      <c r="P47" s="338"/>
      <c r="Q47" s="339"/>
      <c r="R47" s="340"/>
      <c r="S47" s="339"/>
      <c r="T47" s="341"/>
      <c r="U47" s="342"/>
      <c r="V47" s="339"/>
      <c r="W47" s="340"/>
      <c r="X47" s="339"/>
      <c r="Y47" s="340"/>
      <c r="Z47" s="338"/>
      <c r="AA47" s="339"/>
      <c r="AB47" s="340"/>
      <c r="AC47" s="339"/>
      <c r="AD47" s="340"/>
      <c r="AE47" s="338"/>
    </row>
    <row r="48" spans="2:31">
      <c r="B48" s="332"/>
      <c r="C48" s="321"/>
      <c r="D48" s="326"/>
      <c r="E48" s="321" t="s">
        <v>597</v>
      </c>
      <c r="F48" s="333">
        <v>0</v>
      </c>
      <c r="G48" s="334">
        <v>0</v>
      </c>
      <c r="H48" s="335">
        <v>0</v>
      </c>
      <c r="I48" s="334">
        <v>0</v>
      </c>
      <c r="J48" s="337">
        <v>0</v>
      </c>
      <c r="K48" s="333">
        <v>0</v>
      </c>
      <c r="L48" s="334">
        <v>0</v>
      </c>
      <c r="M48" s="335">
        <v>0</v>
      </c>
      <c r="N48" s="334">
        <v>0</v>
      </c>
      <c r="O48" s="337">
        <v>0</v>
      </c>
      <c r="P48" s="333">
        <v>0</v>
      </c>
      <c r="Q48" s="334">
        <v>0</v>
      </c>
      <c r="R48" s="335">
        <v>0</v>
      </c>
      <c r="S48" s="334">
        <v>0</v>
      </c>
      <c r="T48" s="337">
        <v>0</v>
      </c>
      <c r="U48" s="336">
        <v>0</v>
      </c>
      <c r="V48" s="334" t="s">
        <v>963</v>
      </c>
      <c r="W48" s="335">
        <v>0</v>
      </c>
      <c r="X48" s="334" t="s">
        <v>963</v>
      </c>
      <c r="Y48" s="335">
        <v>0</v>
      </c>
      <c r="Z48" s="333">
        <v>0</v>
      </c>
      <c r="AA48" s="334" t="s">
        <v>963</v>
      </c>
      <c r="AB48" s="335">
        <v>0</v>
      </c>
      <c r="AC48" s="334" t="s">
        <v>963</v>
      </c>
      <c r="AD48" s="335">
        <v>0</v>
      </c>
      <c r="AE48" s="333">
        <v>0</v>
      </c>
    </row>
    <row r="49" spans="2:31">
      <c r="B49" s="332"/>
      <c r="C49" s="321"/>
      <c r="D49" s="326"/>
      <c r="E49" s="321"/>
      <c r="F49" s="338"/>
      <c r="G49" s="339"/>
      <c r="H49" s="340"/>
      <c r="I49" s="339"/>
      <c r="J49" s="341"/>
      <c r="K49" s="338"/>
      <c r="L49" s="339"/>
      <c r="M49" s="340"/>
      <c r="N49" s="339"/>
      <c r="O49" s="341"/>
      <c r="P49" s="338"/>
      <c r="Q49" s="339"/>
      <c r="R49" s="340"/>
      <c r="S49" s="339"/>
      <c r="T49" s="341"/>
      <c r="U49" s="342"/>
      <c r="V49" s="339"/>
      <c r="W49" s="340"/>
      <c r="X49" s="339"/>
      <c r="Y49" s="340"/>
      <c r="Z49" s="338"/>
      <c r="AA49" s="339"/>
      <c r="AB49" s="340"/>
      <c r="AC49" s="339"/>
      <c r="AD49" s="340"/>
      <c r="AE49" s="338"/>
    </row>
    <row r="50" spans="2:31">
      <c r="B50" s="332"/>
      <c r="C50" s="321"/>
      <c r="D50" s="326" t="s">
        <v>319</v>
      </c>
      <c r="E50" s="321"/>
      <c r="F50" s="338"/>
      <c r="G50" s="339"/>
      <c r="H50" s="340"/>
      <c r="I50" s="339"/>
      <c r="J50" s="341"/>
      <c r="K50" s="338"/>
      <c r="L50" s="339"/>
      <c r="M50" s="340"/>
      <c r="N50" s="339"/>
      <c r="O50" s="341"/>
      <c r="P50" s="338"/>
      <c r="Q50" s="339"/>
      <c r="R50" s="340"/>
      <c r="S50" s="339"/>
      <c r="T50" s="341"/>
      <c r="U50" s="342"/>
      <c r="V50" s="339"/>
      <c r="W50" s="340"/>
      <c r="X50" s="339"/>
      <c r="Y50" s="340"/>
      <c r="Z50" s="338"/>
      <c r="AA50" s="339"/>
      <c r="AB50" s="340"/>
      <c r="AC50" s="339"/>
      <c r="AD50" s="340"/>
      <c r="AE50" s="338"/>
    </row>
    <row r="51" spans="2:31">
      <c r="B51" s="332"/>
      <c r="C51" s="321"/>
      <c r="D51" s="326"/>
      <c r="E51" s="321" t="s">
        <v>598</v>
      </c>
      <c r="F51" s="333">
        <v>1148</v>
      </c>
      <c r="G51" s="334">
        <v>0</v>
      </c>
      <c r="H51" s="335">
        <v>63</v>
      </c>
      <c r="I51" s="334">
        <v>0</v>
      </c>
      <c r="J51" s="337">
        <v>23</v>
      </c>
      <c r="K51" s="333">
        <v>1108</v>
      </c>
      <c r="L51" s="334">
        <v>0</v>
      </c>
      <c r="M51" s="335">
        <v>25</v>
      </c>
      <c r="N51" s="334">
        <v>0</v>
      </c>
      <c r="O51" s="337">
        <v>24</v>
      </c>
      <c r="P51" s="333">
        <v>1107</v>
      </c>
      <c r="Q51" s="334">
        <v>0</v>
      </c>
      <c r="R51" s="335">
        <v>66</v>
      </c>
      <c r="S51" s="334">
        <v>0</v>
      </c>
      <c r="T51" s="337">
        <v>56</v>
      </c>
      <c r="U51" s="336">
        <v>1097</v>
      </c>
      <c r="V51" s="334">
        <v>0</v>
      </c>
      <c r="W51" s="335">
        <v>0</v>
      </c>
      <c r="X51" s="334">
        <v>0</v>
      </c>
      <c r="Y51" s="335">
        <v>27</v>
      </c>
      <c r="Z51" s="333">
        <v>1124</v>
      </c>
      <c r="AA51" s="334">
        <v>0</v>
      </c>
      <c r="AB51" s="335">
        <v>0</v>
      </c>
      <c r="AC51" s="334">
        <v>0</v>
      </c>
      <c r="AD51" s="335">
        <v>103</v>
      </c>
      <c r="AE51" s="333">
        <v>1227</v>
      </c>
    </row>
    <row r="52" spans="2:31">
      <c r="B52" s="332"/>
      <c r="C52" s="321"/>
      <c r="D52" s="326"/>
      <c r="E52" s="321" t="s">
        <v>608</v>
      </c>
      <c r="F52" s="333">
        <v>7882</v>
      </c>
      <c r="G52" s="334">
        <v>0</v>
      </c>
      <c r="H52" s="335">
        <v>18</v>
      </c>
      <c r="I52" s="334">
        <v>73</v>
      </c>
      <c r="J52" s="337">
        <v>15</v>
      </c>
      <c r="K52" s="333">
        <v>7952</v>
      </c>
      <c r="L52" s="334">
        <v>0</v>
      </c>
      <c r="M52" s="335">
        <v>321</v>
      </c>
      <c r="N52" s="334">
        <v>35</v>
      </c>
      <c r="O52" s="337">
        <v>37</v>
      </c>
      <c r="P52" s="333">
        <v>7703</v>
      </c>
      <c r="Q52" s="334">
        <v>0</v>
      </c>
      <c r="R52" s="335">
        <v>344</v>
      </c>
      <c r="S52" s="334">
        <v>169</v>
      </c>
      <c r="T52" s="337">
        <v>32</v>
      </c>
      <c r="U52" s="336">
        <v>7560</v>
      </c>
      <c r="V52" s="334">
        <v>0</v>
      </c>
      <c r="W52" s="335">
        <v>8</v>
      </c>
      <c r="X52" s="334">
        <v>135</v>
      </c>
      <c r="Y52" s="335">
        <v>36</v>
      </c>
      <c r="Z52" s="333">
        <v>7723</v>
      </c>
      <c r="AA52" s="334">
        <v>0</v>
      </c>
      <c r="AB52" s="335">
        <v>23</v>
      </c>
      <c r="AC52" s="334">
        <v>128</v>
      </c>
      <c r="AD52" s="335">
        <v>40</v>
      </c>
      <c r="AE52" s="333">
        <v>7868</v>
      </c>
    </row>
    <row r="53" spans="2:31">
      <c r="B53" s="332"/>
      <c r="C53" s="321"/>
      <c r="D53" s="326"/>
      <c r="E53" s="321" t="s">
        <v>609</v>
      </c>
      <c r="F53" s="333">
        <v>195</v>
      </c>
      <c r="G53" s="334">
        <v>0</v>
      </c>
      <c r="H53" s="335">
        <v>0</v>
      </c>
      <c r="I53" s="334">
        <v>0</v>
      </c>
      <c r="J53" s="337">
        <v>41</v>
      </c>
      <c r="K53" s="333">
        <v>236</v>
      </c>
      <c r="L53" s="334">
        <v>0</v>
      </c>
      <c r="M53" s="335">
        <v>6</v>
      </c>
      <c r="N53" s="334">
        <v>0</v>
      </c>
      <c r="O53" s="337">
        <v>28</v>
      </c>
      <c r="P53" s="333">
        <v>258</v>
      </c>
      <c r="Q53" s="334">
        <v>0</v>
      </c>
      <c r="R53" s="335">
        <v>0</v>
      </c>
      <c r="S53" s="334">
        <v>0</v>
      </c>
      <c r="T53" s="337">
        <v>36</v>
      </c>
      <c r="U53" s="336">
        <v>294</v>
      </c>
      <c r="V53" s="334">
        <v>0</v>
      </c>
      <c r="W53" s="335">
        <v>387</v>
      </c>
      <c r="X53" s="334">
        <v>0</v>
      </c>
      <c r="Y53" s="335">
        <v>418</v>
      </c>
      <c r="Z53" s="333">
        <v>325</v>
      </c>
      <c r="AA53" s="334">
        <v>0</v>
      </c>
      <c r="AB53" s="335">
        <v>72</v>
      </c>
      <c r="AC53" s="334">
        <v>0</v>
      </c>
      <c r="AD53" s="335">
        <v>134</v>
      </c>
      <c r="AE53" s="333">
        <v>387</v>
      </c>
    </row>
    <row r="54" spans="2:31">
      <c r="B54" s="332"/>
      <c r="C54" s="321"/>
      <c r="D54" s="326"/>
      <c r="E54" s="321" t="s">
        <v>610</v>
      </c>
      <c r="F54" s="333">
        <v>11859</v>
      </c>
      <c r="G54" s="334">
        <v>0</v>
      </c>
      <c r="H54" s="335">
        <v>162</v>
      </c>
      <c r="I54" s="334">
        <v>47</v>
      </c>
      <c r="J54" s="337">
        <v>53</v>
      </c>
      <c r="K54" s="333">
        <v>11797</v>
      </c>
      <c r="L54" s="334">
        <v>0</v>
      </c>
      <c r="M54" s="335">
        <v>355</v>
      </c>
      <c r="N54" s="334">
        <v>4</v>
      </c>
      <c r="O54" s="337">
        <v>1</v>
      </c>
      <c r="P54" s="333">
        <v>11447</v>
      </c>
      <c r="Q54" s="334">
        <v>0</v>
      </c>
      <c r="R54" s="335">
        <v>410</v>
      </c>
      <c r="S54" s="334">
        <v>32</v>
      </c>
      <c r="T54" s="337">
        <v>0</v>
      </c>
      <c r="U54" s="336">
        <v>11069</v>
      </c>
      <c r="V54" s="334">
        <v>0</v>
      </c>
      <c r="W54" s="335">
        <v>236</v>
      </c>
      <c r="X54" s="334">
        <v>25</v>
      </c>
      <c r="Y54" s="335">
        <v>1</v>
      </c>
      <c r="Z54" s="333">
        <v>10859</v>
      </c>
      <c r="AA54" s="334">
        <v>0</v>
      </c>
      <c r="AB54" s="335">
        <v>276</v>
      </c>
      <c r="AC54" s="334">
        <v>23</v>
      </c>
      <c r="AD54" s="335">
        <v>2</v>
      </c>
      <c r="AE54" s="333">
        <v>10608</v>
      </c>
    </row>
    <row r="55" spans="2:31">
      <c r="B55" s="332"/>
      <c r="C55" s="321"/>
      <c r="D55" s="326"/>
      <c r="E55" s="321" t="s">
        <v>467</v>
      </c>
      <c r="F55" s="333">
        <v>14442</v>
      </c>
      <c r="G55" s="334">
        <v>0</v>
      </c>
      <c r="H55" s="335">
        <v>13</v>
      </c>
      <c r="I55" s="334">
        <v>297</v>
      </c>
      <c r="J55" s="337">
        <v>47</v>
      </c>
      <c r="K55" s="333">
        <v>14773</v>
      </c>
      <c r="L55" s="334">
        <v>0</v>
      </c>
      <c r="M55" s="335">
        <v>94</v>
      </c>
      <c r="N55" s="334">
        <v>518</v>
      </c>
      <c r="O55" s="337">
        <v>269</v>
      </c>
      <c r="P55" s="333">
        <v>15466</v>
      </c>
      <c r="Q55" s="334">
        <v>4</v>
      </c>
      <c r="R55" s="335">
        <v>243</v>
      </c>
      <c r="S55" s="334">
        <v>552</v>
      </c>
      <c r="T55" s="337">
        <v>243</v>
      </c>
      <c r="U55" s="336">
        <v>16014</v>
      </c>
      <c r="V55" s="334">
        <v>2</v>
      </c>
      <c r="W55" s="335">
        <v>65</v>
      </c>
      <c r="X55" s="334">
        <v>445</v>
      </c>
      <c r="Y55" s="335">
        <v>274</v>
      </c>
      <c r="Z55" s="333">
        <v>16666</v>
      </c>
      <c r="AA55" s="334">
        <v>3</v>
      </c>
      <c r="AB55" s="335">
        <v>94</v>
      </c>
      <c r="AC55" s="334">
        <v>428</v>
      </c>
      <c r="AD55" s="335">
        <v>330</v>
      </c>
      <c r="AE55" s="333">
        <v>17327</v>
      </c>
    </row>
    <row r="56" spans="2:31">
      <c r="B56" s="332"/>
      <c r="C56" s="321"/>
      <c r="D56" s="326"/>
      <c r="E56" s="321" t="s">
        <v>468</v>
      </c>
      <c r="F56" s="333">
        <v>10690</v>
      </c>
      <c r="G56" s="334">
        <v>0</v>
      </c>
      <c r="H56" s="335">
        <v>1352</v>
      </c>
      <c r="I56" s="334">
        <v>3</v>
      </c>
      <c r="J56" s="337">
        <v>1405</v>
      </c>
      <c r="K56" s="333">
        <v>10746</v>
      </c>
      <c r="L56" s="334">
        <v>0</v>
      </c>
      <c r="M56" s="335">
        <v>134</v>
      </c>
      <c r="N56" s="334">
        <v>12</v>
      </c>
      <c r="O56" s="337">
        <v>388</v>
      </c>
      <c r="P56" s="333">
        <v>11012</v>
      </c>
      <c r="Q56" s="334">
        <v>0</v>
      </c>
      <c r="R56" s="335">
        <v>150</v>
      </c>
      <c r="S56" s="334">
        <v>192</v>
      </c>
      <c r="T56" s="337">
        <v>352</v>
      </c>
      <c r="U56" s="336">
        <v>11406</v>
      </c>
      <c r="V56" s="334">
        <v>0</v>
      </c>
      <c r="W56" s="335">
        <v>0</v>
      </c>
      <c r="X56" s="334">
        <v>168</v>
      </c>
      <c r="Y56" s="335">
        <v>0</v>
      </c>
      <c r="Z56" s="333">
        <v>11574</v>
      </c>
      <c r="AA56" s="334">
        <v>0</v>
      </c>
      <c r="AB56" s="335">
        <v>0</v>
      </c>
      <c r="AC56" s="334">
        <v>183</v>
      </c>
      <c r="AD56" s="335">
        <v>0</v>
      </c>
      <c r="AE56" s="333">
        <v>11757</v>
      </c>
    </row>
    <row r="57" spans="2:31">
      <c r="B57" s="332"/>
      <c r="C57" s="321"/>
      <c r="D57" s="326"/>
      <c r="E57" s="321" t="s">
        <v>600</v>
      </c>
      <c r="F57" s="333">
        <v>0</v>
      </c>
      <c r="G57" s="334">
        <v>0</v>
      </c>
      <c r="H57" s="335">
        <v>0</v>
      </c>
      <c r="I57" s="334">
        <v>0</v>
      </c>
      <c r="J57" s="337">
        <v>0</v>
      </c>
      <c r="K57" s="333">
        <v>0</v>
      </c>
      <c r="L57" s="334">
        <v>0</v>
      </c>
      <c r="M57" s="335">
        <v>0</v>
      </c>
      <c r="N57" s="334">
        <v>0</v>
      </c>
      <c r="O57" s="337">
        <v>0</v>
      </c>
      <c r="P57" s="333">
        <v>0</v>
      </c>
      <c r="Q57" s="334">
        <v>0</v>
      </c>
      <c r="R57" s="335">
        <v>0</v>
      </c>
      <c r="S57" s="334">
        <v>0</v>
      </c>
      <c r="T57" s="337">
        <v>0</v>
      </c>
      <c r="U57" s="336">
        <v>0</v>
      </c>
      <c r="V57" s="334">
        <v>0</v>
      </c>
      <c r="W57" s="335">
        <v>0</v>
      </c>
      <c r="X57" s="334">
        <v>0</v>
      </c>
      <c r="Y57" s="335">
        <v>0</v>
      </c>
      <c r="Z57" s="333">
        <v>0</v>
      </c>
      <c r="AA57" s="334">
        <v>0</v>
      </c>
      <c r="AB57" s="335">
        <v>0</v>
      </c>
      <c r="AC57" s="334">
        <v>0</v>
      </c>
      <c r="AD57" s="335">
        <v>0</v>
      </c>
      <c r="AE57" s="333">
        <v>0</v>
      </c>
    </row>
    <row r="58" spans="2:31">
      <c r="B58" s="332"/>
      <c r="C58" s="321"/>
      <c r="D58" s="321"/>
      <c r="E58" s="321" t="s">
        <v>345</v>
      </c>
      <c r="F58" s="333">
        <v>0</v>
      </c>
      <c r="G58" s="334">
        <v>0</v>
      </c>
      <c r="H58" s="335">
        <v>0</v>
      </c>
      <c r="I58" s="334">
        <v>0</v>
      </c>
      <c r="J58" s="337">
        <v>0</v>
      </c>
      <c r="K58" s="333">
        <v>0</v>
      </c>
      <c r="L58" s="334">
        <v>0</v>
      </c>
      <c r="M58" s="335">
        <v>0</v>
      </c>
      <c r="N58" s="334">
        <v>0</v>
      </c>
      <c r="O58" s="337">
        <v>0</v>
      </c>
      <c r="P58" s="333">
        <v>0</v>
      </c>
      <c r="Q58" s="334">
        <v>0</v>
      </c>
      <c r="R58" s="335">
        <v>0</v>
      </c>
      <c r="S58" s="334">
        <v>0</v>
      </c>
      <c r="T58" s="337">
        <v>0</v>
      </c>
      <c r="U58" s="336">
        <v>0</v>
      </c>
      <c r="V58" s="334">
        <v>0</v>
      </c>
      <c r="W58" s="335">
        <v>0</v>
      </c>
      <c r="X58" s="334">
        <v>0</v>
      </c>
      <c r="Y58" s="335">
        <v>0</v>
      </c>
      <c r="Z58" s="333">
        <v>0</v>
      </c>
      <c r="AA58" s="334">
        <v>0</v>
      </c>
      <c r="AB58" s="335">
        <v>0</v>
      </c>
      <c r="AC58" s="334">
        <v>0</v>
      </c>
      <c r="AD58" s="335">
        <v>0</v>
      </c>
      <c r="AE58" s="333">
        <v>0</v>
      </c>
    </row>
    <row r="59" spans="2:31">
      <c r="B59" s="332"/>
      <c r="C59" s="321"/>
      <c r="D59" s="321"/>
      <c r="E59" s="321" t="s">
        <v>215</v>
      </c>
      <c r="F59" s="333">
        <v>0</v>
      </c>
      <c r="G59" s="334">
        <v>0</v>
      </c>
      <c r="H59" s="335">
        <v>0</v>
      </c>
      <c r="I59" s="334">
        <v>0</v>
      </c>
      <c r="J59" s="337">
        <v>0</v>
      </c>
      <c r="K59" s="333">
        <v>0</v>
      </c>
      <c r="L59" s="334">
        <v>0</v>
      </c>
      <c r="M59" s="335">
        <v>0</v>
      </c>
      <c r="N59" s="334">
        <v>0</v>
      </c>
      <c r="O59" s="337">
        <v>0</v>
      </c>
      <c r="P59" s="333">
        <v>0</v>
      </c>
      <c r="Q59" s="334">
        <v>0</v>
      </c>
      <c r="R59" s="335">
        <v>0</v>
      </c>
      <c r="S59" s="334">
        <v>0</v>
      </c>
      <c r="T59" s="337">
        <v>0</v>
      </c>
      <c r="U59" s="336">
        <v>0</v>
      </c>
      <c r="V59" s="334">
        <v>0</v>
      </c>
      <c r="W59" s="335">
        <v>0</v>
      </c>
      <c r="X59" s="334">
        <v>0</v>
      </c>
      <c r="Y59" s="335">
        <v>0</v>
      </c>
      <c r="Z59" s="333">
        <v>0</v>
      </c>
      <c r="AA59" s="334">
        <v>0</v>
      </c>
      <c r="AB59" s="335">
        <v>0</v>
      </c>
      <c r="AC59" s="334">
        <v>0</v>
      </c>
      <c r="AD59" s="335">
        <v>0</v>
      </c>
      <c r="AE59" s="333">
        <v>0</v>
      </c>
    </row>
    <row r="60" spans="2:31">
      <c r="B60" s="332"/>
      <c r="C60" s="321"/>
      <c r="D60" s="326"/>
      <c r="E60" s="321" t="s">
        <v>216</v>
      </c>
      <c r="F60" s="333">
        <v>0</v>
      </c>
      <c r="G60" s="334">
        <v>0</v>
      </c>
      <c r="H60" s="335">
        <v>0</v>
      </c>
      <c r="I60" s="334">
        <v>0</v>
      </c>
      <c r="J60" s="337">
        <v>0</v>
      </c>
      <c r="K60" s="333">
        <v>0</v>
      </c>
      <c r="L60" s="334">
        <v>0</v>
      </c>
      <c r="M60" s="335">
        <v>0</v>
      </c>
      <c r="N60" s="334">
        <v>0</v>
      </c>
      <c r="O60" s="337">
        <v>0</v>
      </c>
      <c r="P60" s="333">
        <v>0</v>
      </c>
      <c r="Q60" s="334">
        <v>0</v>
      </c>
      <c r="R60" s="335">
        <v>0</v>
      </c>
      <c r="S60" s="334">
        <v>0</v>
      </c>
      <c r="T60" s="337">
        <v>0</v>
      </c>
      <c r="U60" s="336">
        <v>0</v>
      </c>
      <c r="V60" s="334">
        <v>0</v>
      </c>
      <c r="W60" s="335">
        <v>0</v>
      </c>
      <c r="X60" s="334">
        <v>0</v>
      </c>
      <c r="Y60" s="335">
        <v>0</v>
      </c>
      <c r="Z60" s="333">
        <v>0</v>
      </c>
      <c r="AA60" s="334">
        <v>0</v>
      </c>
      <c r="AB60" s="335">
        <v>0</v>
      </c>
      <c r="AC60" s="334">
        <v>0</v>
      </c>
      <c r="AD60" s="335">
        <v>0</v>
      </c>
      <c r="AE60" s="333">
        <v>0</v>
      </c>
    </row>
    <row r="61" spans="2:31">
      <c r="B61" s="332"/>
      <c r="C61" s="321"/>
      <c r="D61" s="326"/>
      <c r="E61" s="321" t="s">
        <v>217</v>
      </c>
      <c r="F61" s="333">
        <v>0</v>
      </c>
      <c r="G61" s="334">
        <v>0</v>
      </c>
      <c r="H61" s="335">
        <v>0</v>
      </c>
      <c r="I61" s="334">
        <v>0</v>
      </c>
      <c r="J61" s="337">
        <v>0</v>
      </c>
      <c r="K61" s="333">
        <v>0</v>
      </c>
      <c r="L61" s="334">
        <v>0</v>
      </c>
      <c r="M61" s="335">
        <v>0</v>
      </c>
      <c r="N61" s="334">
        <v>0</v>
      </c>
      <c r="O61" s="337">
        <v>0</v>
      </c>
      <c r="P61" s="333">
        <v>0</v>
      </c>
      <c r="Q61" s="334">
        <v>0</v>
      </c>
      <c r="R61" s="335">
        <v>0</v>
      </c>
      <c r="S61" s="334">
        <v>0</v>
      </c>
      <c r="T61" s="337">
        <v>0</v>
      </c>
      <c r="U61" s="336">
        <v>0</v>
      </c>
      <c r="V61" s="334">
        <v>0</v>
      </c>
      <c r="W61" s="335">
        <v>0</v>
      </c>
      <c r="X61" s="334">
        <v>0</v>
      </c>
      <c r="Y61" s="335">
        <v>0</v>
      </c>
      <c r="Z61" s="333">
        <v>0</v>
      </c>
      <c r="AA61" s="334">
        <v>0</v>
      </c>
      <c r="AB61" s="335">
        <v>0</v>
      </c>
      <c r="AC61" s="334">
        <v>0</v>
      </c>
      <c r="AD61" s="335">
        <v>0</v>
      </c>
      <c r="AE61" s="333">
        <v>0</v>
      </c>
    </row>
    <row r="62" spans="2:31">
      <c r="B62" s="332"/>
      <c r="C62" s="321"/>
      <c r="D62" s="326"/>
      <c r="E62" s="321" t="s">
        <v>220</v>
      </c>
      <c r="F62" s="333">
        <v>0</v>
      </c>
      <c r="G62" s="334">
        <v>0</v>
      </c>
      <c r="H62" s="335">
        <v>0</v>
      </c>
      <c r="I62" s="334">
        <v>0</v>
      </c>
      <c r="J62" s="337">
        <v>0</v>
      </c>
      <c r="K62" s="333">
        <v>0</v>
      </c>
      <c r="L62" s="334">
        <v>0</v>
      </c>
      <c r="M62" s="335">
        <v>0</v>
      </c>
      <c r="N62" s="334">
        <v>0</v>
      </c>
      <c r="O62" s="337">
        <v>0</v>
      </c>
      <c r="P62" s="333">
        <v>0</v>
      </c>
      <c r="Q62" s="334">
        <v>0</v>
      </c>
      <c r="R62" s="335">
        <v>0</v>
      </c>
      <c r="S62" s="334">
        <v>0</v>
      </c>
      <c r="T62" s="337">
        <v>0</v>
      </c>
      <c r="U62" s="336">
        <v>0</v>
      </c>
      <c r="V62" s="334">
        <v>0</v>
      </c>
      <c r="W62" s="335">
        <v>0</v>
      </c>
      <c r="X62" s="334">
        <v>0</v>
      </c>
      <c r="Y62" s="335">
        <v>0</v>
      </c>
      <c r="Z62" s="333">
        <v>0</v>
      </c>
      <c r="AA62" s="334">
        <v>0</v>
      </c>
      <c r="AB62" s="335">
        <v>0</v>
      </c>
      <c r="AC62" s="334">
        <v>0</v>
      </c>
      <c r="AD62" s="335">
        <v>0</v>
      </c>
      <c r="AE62" s="333">
        <v>0</v>
      </c>
    </row>
    <row r="63" spans="2:31">
      <c r="B63" s="332"/>
      <c r="C63" s="321"/>
      <c r="D63" s="326"/>
      <c r="E63" s="321" t="s">
        <v>348</v>
      </c>
      <c r="F63" s="333">
        <v>0</v>
      </c>
      <c r="G63" s="334">
        <v>0</v>
      </c>
      <c r="H63" s="335">
        <v>0</v>
      </c>
      <c r="I63" s="334">
        <v>0</v>
      </c>
      <c r="J63" s="337">
        <v>0</v>
      </c>
      <c r="K63" s="333">
        <v>0</v>
      </c>
      <c r="L63" s="334">
        <v>0</v>
      </c>
      <c r="M63" s="335">
        <v>0</v>
      </c>
      <c r="N63" s="334">
        <v>0</v>
      </c>
      <c r="O63" s="337">
        <v>0</v>
      </c>
      <c r="P63" s="333">
        <v>0</v>
      </c>
      <c r="Q63" s="334">
        <v>0</v>
      </c>
      <c r="R63" s="335">
        <v>0</v>
      </c>
      <c r="S63" s="334">
        <v>0</v>
      </c>
      <c r="T63" s="337">
        <v>0</v>
      </c>
      <c r="U63" s="336">
        <v>0</v>
      </c>
      <c r="V63" s="334">
        <v>0</v>
      </c>
      <c r="W63" s="335">
        <v>0</v>
      </c>
      <c r="X63" s="334">
        <v>0</v>
      </c>
      <c r="Y63" s="335">
        <v>0</v>
      </c>
      <c r="Z63" s="333">
        <v>0</v>
      </c>
      <c r="AA63" s="334">
        <v>0</v>
      </c>
      <c r="AB63" s="335">
        <v>0</v>
      </c>
      <c r="AC63" s="334">
        <v>0</v>
      </c>
      <c r="AD63" s="335">
        <v>0</v>
      </c>
      <c r="AE63" s="333">
        <v>0</v>
      </c>
    </row>
    <row r="64" spans="2:31">
      <c r="B64" s="332"/>
      <c r="C64" s="321"/>
      <c r="D64" s="326"/>
      <c r="E64" s="321" t="s">
        <v>225</v>
      </c>
      <c r="F64" s="333">
        <v>0</v>
      </c>
      <c r="G64" s="334">
        <v>0</v>
      </c>
      <c r="H64" s="335">
        <v>0</v>
      </c>
      <c r="I64" s="334">
        <v>0</v>
      </c>
      <c r="J64" s="337">
        <v>0</v>
      </c>
      <c r="K64" s="333">
        <v>0</v>
      </c>
      <c r="L64" s="334">
        <v>0</v>
      </c>
      <c r="M64" s="335">
        <v>0</v>
      </c>
      <c r="N64" s="334">
        <v>0</v>
      </c>
      <c r="O64" s="337">
        <v>0</v>
      </c>
      <c r="P64" s="333">
        <v>0</v>
      </c>
      <c r="Q64" s="334">
        <v>0</v>
      </c>
      <c r="R64" s="335">
        <v>0</v>
      </c>
      <c r="S64" s="334">
        <v>0</v>
      </c>
      <c r="T64" s="337">
        <v>0</v>
      </c>
      <c r="U64" s="336">
        <v>0</v>
      </c>
      <c r="V64" s="334">
        <v>0</v>
      </c>
      <c r="W64" s="335">
        <v>0</v>
      </c>
      <c r="X64" s="334">
        <v>0</v>
      </c>
      <c r="Y64" s="335">
        <v>0</v>
      </c>
      <c r="Z64" s="333">
        <v>0</v>
      </c>
      <c r="AA64" s="334">
        <v>0</v>
      </c>
      <c r="AB64" s="335">
        <v>0</v>
      </c>
      <c r="AC64" s="334">
        <v>0</v>
      </c>
      <c r="AD64" s="335">
        <v>0</v>
      </c>
      <c r="AE64" s="333">
        <v>0</v>
      </c>
    </row>
    <row r="65" spans="2:31">
      <c r="B65" s="332"/>
      <c r="C65" s="321"/>
      <c r="D65" s="326"/>
      <c r="E65" s="321"/>
      <c r="F65" s="338"/>
      <c r="G65" s="339"/>
      <c r="H65" s="340"/>
      <c r="I65" s="339"/>
      <c r="J65" s="341"/>
      <c r="K65" s="338"/>
      <c r="L65" s="339"/>
      <c r="M65" s="340"/>
      <c r="N65" s="339"/>
      <c r="O65" s="341"/>
      <c r="P65" s="338"/>
      <c r="Q65" s="339"/>
      <c r="R65" s="340"/>
      <c r="S65" s="339"/>
      <c r="T65" s="341"/>
      <c r="U65" s="342"/>
      <c r="V65" s="339"/>
      <c r="W65" s="340"/>
      <c r="X65" s="339"/>
      <c r="Y65" s="340"/>
      <c r="Z65" s="338"/>
      <c r="AA65" s="339"/>
      <c r="AB65" s="340"/>
      <c r="AC65" s="339"/>
      <c r="AD65" s="340"/>
      <c r="AE65" s="338"/>
    </row>
    <row r="66" spans="2:31">
      <c r="B66" s="332"/>
      <c r="C66" s="321"/>
      <c r="D66" s="326" t="s">
        <v>226</v>
      </c>
      <c r="E66" s="321"/>
      <c r="F66" s="338"/>
      <c r="G66" s="339"/>
      <c r="H66" s="340"/>
      <c r="I66" s="339"/>
      <c r="J66" s="341"/>
      <c r="K66" s="338"/>
      <c r="L66" s="339"/>
      <c r="M66" s="340"/>
      <c r="N66" s="339"/>
      <c r="O66" s="341"/>
      <c r="P66" s="338"/>
      <c r="Q66" s="339"/>
      <c r="R66" s="340"/>
      <c r="S66" s="339"/>
      <c r="T66" s="341"/>
      <c r="U66" s="342"/>
      <c r="V66" s="339"/>
      <c r="W66" s="340"/>
      <c r="X66" s="339"/>
      <c r="Y66" s="340"/>
      <c r="Z66" s="338"/>
      <c r="AA66" s="339"/>
      <c r="AB66" s="340"/>
      <c r="AC66" s="339"/>
      <c r="AD66" s="340"/>
      <c r="AE66" s="338"/>
    </row>
    <row r="67" spans="2:31">
      <c r="B67" s="332"/>
      <c r="C67" s="321"/>
      <c r="D67" s="326"/>
      <c r="E67" s="321" t="s">
        <v>227</v>
      </c>
      <c r="F67" s="333">
        <v>22676</v>
      </c>
      <c r="G67" s="334">
        <v>279</v>
      </c>
      <c r="H67" s="335">
        <v>54</v>
      </c>
      <c r="I67" s="334">
        <v>323</v>
      </c>
      <c r="J67" s="337">
        <v>54</v>
      </c>
      <c r="K67" s="333">
        <v>22720</v>
      </c>
      <c r="L67" s="334">
        <v>284</v>
      </c>
      <c r="M67" s="335">
        <v>149</v>
      </c>
      <c r="N67" s="334">
        <v>263</v>
      </c>
      <c r="O67" s="337">
        <v>149</v>
      </c>
      <c r="P67" s="333">
        <v>22699</v>
      </c>
      <c r="Q67" s="334">
        <v>356</v>
      </c>
      <c r="R67" s="335">
        <v>129</v>
      </c>
      <c r="S67" s="334">
        <v>352</v>
      </c>
      <c r="T67" s="337">
        <v>129</v>
      </c>
      <c r="U67" s="336">
        <v>22695</v>
      </c>
      <c r="V67" s="334">
        <v>156</v>
      </c>
      <c r="W67" s="335">
        <v>136</v>
      </c>
      <c r="X67" s="334">
        <v>280</v>
      </c>
      <c r="Y67" s="335">
        <v>139</v>
      </c>
      <c r="Z67" s="333">
        <v>22822</v>
      </c>
      <c r="AA67" s="334">
        <v>225</v>
      </c>
      <c r="AB67" s="335">
        <v>237</v>
      </c>
      <c r="AC67" s="334">
        <v>262</v>
      </c>
      <c r="AD67" s="335">
        <v>232</v>
      </c>
      <c r="AE67" s="333">
        <v>22854</v>
      </c>
    </row>
    <row r="68" spans="2:31">
      <c r="B68" s="332"/>
      <c r="C68" s="321"/>
      <c r="D68" s="326"/>
      <c r="E68" s="321" t="s">
        <v>228</v>
      </c>
      <c r="F68" s="333">
        <v>17685</v>
      </c>
      <c r="G68" s="334">
        <v>0</v>
      </c>
      <c r="H68" s="335">
        <v>73</v>
      </c>
      <c r="I68" s="334">
        <v>392</v>
      </c>
      <c r="J68" s="337">
        <v>74</v>
      </c>
      <c r="K68" s="333">
        <v>18078</v>
      </c>
      <c r="L68" s="334">
        <v>0</v>
      </c>
      <c r="M68" s="335">
        <v>123</v>
      </c>
      <c r="N68" s="334">
        <v>357</v>
      </c>
      <c r="O68" s="337">
        <v>143</v>
      </c>
      <c r="P68" s="333">
        <v>18455</v>
      </c>
      <c r="Q68" s="334">
        <v>50</v>
      </c>
      <c r="R68" s="335">
        <v>199</v>
      </c>
      <c r="S68" s="334">
        <v>357</v>
      </c>
      <c r="T68" s="337">
        <v>199</v>
      </c>
      <c r="U68" s="336">
        <v>18762</v>
      </c>
      <c r="V68" s="334">
        <v>22</v>
      </c>
      <c r="W68" s="335">
        <v>75</v>
      </c>
      <c r="X68" s="334">
        <v>285</v>
      </c>
      <c r="Y68" s="335">
        <v>92</v>
      </c>
      <c r="Z68" s="333">
        <v>19042</v>
      </c>
      <c r="AA68" s="334">
        <v>32</v>
      </c>
      <c r="AB68" s="335">
        <v>102</v>
      </c>
      <c r="AC68" s="334">
        <v>269</v>
      </c>
      <c r="AD68" s="335">
        <v>131</v>
      </c>
      <c r="AE68" s="333">
        <v>19308</v>
      </c>
    </row>
    <row r="69" spans="2:31">
      <c r="B69" s="332"/>
      <c r="C69" s="321"/>
      <c r="D69" s="326"/>
      <c r="E69" s="321" t="s">
        <v>229</v>
      </c>
      <c r="F69" s="333">
        <v>0</v>
      </c>
      <c r="G69" s="334">
        <v>0</v>
      </c>
      <c r="H69" s="335">
        <v>0</v>
      </c>
      <c r="I69" s="334">
        <v>0</v>
      </c>
      <c r="J69" s="337">
        <v>0</v>
      </c>
      <c r="K69" s="333">
        <v>0</v>
      </c>
      <c r="L69" s="334">
        <v>0</v>
      </c>
      <c r="M69" s="335">
        <v>0</v>
      </c>
      <c r="N69" s="334">
        <v>0</v>
      </c>
      <c r="O69" s="337">
        <v>0</v>
      </c>
      <c r="P69" s="333">
        <v>0</v>
      </c>
      <c r="Q69" s="334">
        <v>0</v>
      </c>
      <c r="R69" s="335">
        <v>0</v>
      </c>
      <c r="S69" s="334">
        <v>0</v>
      </c>
      <c r="T69" s="337">
        <v>0</v>
      </c>
      <c r="U69" s="336">
        <v>0</v>
      </c>
      <c r="V69" s="334">
        <v>0</v>
      </c>
      <c r="W69" s="335">
        <v>0</v>
      </c>
      <c r="X69" s="334">
        <v>0</v>
      </c>
      <c r="Y69" s="335">
        <v>0</v>
      </c>
      <c r="Z69" s="333">
        <v>0</v>
      </c>
      <c r="AA69" s="334">
        <v>0</v>
      </c>
      <c r="AB69" s="335">
        <v>0</v>
      </c>
      <c r="AC69" s="334">
        <v>0</v>
      </c>
      <c r="AD69" s="335">
        <v>0</v>
      </c>
      <c r="AE69" s="333">
        <v>0</v>
      </c>
    </row>
    <row r="70" spans="2:31">
      <c r="B70" s="332"/>
      <c r="C70" s="321"/>
      <c r="D70" s="326"/>
      <c r="E70" s="321" t="s">
        <v>230</v>
      </c>
      <c r="F70" s="333">
        <v>0</v>
      </c>
      <c r="G70" s="334">
        <v>0</v>
      </c>
      <c r="H70" s="335">
        <v>0</v>
      </c>
      <c r="I70" s="334">
        <v>0</v>
      </c>
      <c r="J70" s="337">
        <v>0</v>
      </c>
      <c r="K70" s="333">
        <v>0</v>
      </c>
      <c r="L70" s="334">
        <v>0</v>
      </c>
      <c r="M70" s="335">
        <v>0</v>
      </c>
      <c r="N70" s="334">
        <v>0</v>
      </c>
      <c r="O70" s="337">
        <v>0</v>
      </c>
      <c r="P70" s="333">
        <v>0</v>
      </c>
      <c r="Q70" s="334">
        <v>0</v>
      </c>
      <c r="R70" s="335">
        <v>0</v>
      </c>
      <c r="S70" s="334">
        <v>0</v>
      </c>
      <c r="T70" s="337">
        <v>0</v>
      </c>
      <c r="U70" s="336">
        <v>0</v>
      </c>
      <c r="V70" s="334">
        <v>0</v>
      </c>
      <c r="W70" s="335">
        <v>0</v>
      </c>
      <c r="X70" s="334">
        <v>0</v>
      </c>
      <c r="Y70" s="335">
        <v>0</v>
      </c>
      <c r="Z70" s="333">
        <v>0</v>
      </c>
      <c r="AA70" s="334">
        <v>0</v>
      </c>
      <c r="AB70" s="335">
        <v>0</v>
      </c>
      <c r="AC70" s="334">
        <v>0</v>
      </c>
      <c r="AD70" s="335">
        <v>0</v>
      </c>
      <c r="AE70" s="333">
        <v>0</v>
      </c>
    </row>
    <row r="71" spans="2:31" ht="13.5" thickBot="1">
      <c r="B71" s="317"/>
      <c r="C71" s="318"/>
      <c r="D71" s="318"/>
      <c r="E71" s="318"/>
      <c r="F71" s="343"/>
      <c r="G71" s="344"/>
      <c r="H71" s="345"/>
      <c r="I71" s="344"/>
      <c r="J71" s="346"/>
      <c r="K71" s="347"/>
      <c r="L71" s="344"/>
      <c r="M71" s="345"/>
      <c r="N71" s="344"/>
      <c r="O71" s="346"/>
      <c r="P71" s="347"/>
      <c r="Q71" s="344"/>
      <c r="R71" s="345"/>
      <c r="S71" s="344"/>
      <c r="T71" s="346"/>
      <c r="U71" s="348"/>
      <c r="V71" s="344"/>
      <c r="W71" s="345"/>
      <c r="X71" s="344"/>
      <c r="Y71" s="345"/>
      <c r="Z71" s="347"/>
      <c r="AA71" s="344"/>
      <c r="AB71" s="345"/>
      <c r="AC71" s="344"/>
      <c r="AD71" s="345"/>
      <c r="AE71" s="347"/>
    </row>
    <row r="72" spans="2:31">
      <c r="B72" s="349"/>
      <c r="C72" s="350" t="s">
        <v>244</v>
      </c>
      <c r="D72" s="350"/>
      <c r="E72" s="351"/>
      <c r="F72" s="352"/>
      <c r="G72" s="353"/>
      <c r="H72" s="354"/>
      <c r="I72" s="353"/>
      <c r="J72" s="355"/>
      <c r="K72" s="352"/>
      <c r="L72" s="353"/>
      <c r="M72" s="354"/>
      <c r="N72" s="353"/>
      <c r="O72" s="355"/>
      <c r="P72" s="352"/>
      <c r="Q72" s="353"/>
      <c r="R72" s="354"/>
      <c r="S72" s="353"/>
      <c r="T72" s="355"/>
      <c r="U72" s="356"/>
      <c r="V72" s="353"/>
      <c r="W72" s="354"/>
      <c r="X72" s="353"/>
      <c r="Y72" s="354"/>
      <c r="Z72" s="352"/>
      <c r="AA72" s="353"/>
      <c r="AB72" s="354"/>
      <c r="AC72" s="353"/>
      <c r="AD72" s="354"/>
      <c r="AE72" s="352"/>
    </row>
    <row r="73" spans="2:31">
      <c r="B73" s="332"/>
      <c r="C73" s="321"/>
      <c r="D73" s="326" t="s">
        <v>263</v>
      </c>
      <c r="E73" s="321"/>
      <c r="F73" s="338"/>
      <c r="G73" s="339"/>
      <c r="H73" s="340"/>
      <c r="I73" s="339"/>
      <c r="J73" s="341"/>
      <c r="K73" s="338"/>
      <c r="L73" s="339"/>
      <c r="M73" s="340"/>
      <c r="N73" s="339"/>
      <c r="O73" s="341"/>
      <c r="P73" s="338"/>
      <c r="Q73" s="339"/>
      <c r="R73" s="340"/>
      <c r="S73" s="339"/>
      <c r="T73" s="341"/>
      <c r="U73" s="342"/>
      <c r="V73" s="339"/>
      <c r="W73" s="340"/>
      <c r="X73" s="339"/>
      <c r="Y73" s="340"/>
      <c r="Z73" s="338"/>
      <c r="AA73" s="339"/>
      <c r="AB73" s="340"/>
      <c r="AC73" s="339"/>
      <c r="AD73" s="340"/>
      <c r="AE73" s="338"/>
    </row>
    <row r="74" spans="2:31">
      <c r="B74" s="332"/>
      <c r="C74" s="321"/>
      <c r="D74" s="321"/>
      <c r="E74" s="321" t="s">
        <v>245</v>
      </c>
      <c r="F74" s="333">
        <v>1806</v>
      </c>
      <c r="G74" s="334">
        <v>1</v>
      </c>
      <c r="H74" s="335">
        <v>4</v>
      </c>
      <c r="I74" s="334">
        <v>0</v>
      </c>
      <c r="J74" s="337">
        <v>4</v>
      </c>
      <c r="K74" s="333">
        <v>1805</v>
      </c>
      <c r="L74" s="334">
        <v>11</v>
      </c>
      <c r="M74" s="335">
        <v>9</v>
      </c>
      <c r="N74" s="334">
        <v>0</v>
      </c>
      <c r="O74" s="337">
        <v>9</v>
      </c>
      <c r="P74" s="333">
        <v>1794</v>
      </c>
      <c r="Q74" s="334">
        <v>30</v>
      </c>
      <c r="R74" s="335">
        <v>18</v>
      </c>
      <c r="S74" s="334">
        <v>5</v>
      </c>
      <c r="T74" s="337">
        <v>18</v>
      </c>
      <c r="U74" s="336">
        <v>1769</v>
      </c>
      <c r="V74" s="334">
        <v>5</v>
      </c>
      <c r="W74" s="335">
        <v>3.3</v>
      </c>
      <c r="X74" s="334">
        <v>4.3</v>
      </c>
      <c r="Y74" s="335">
        <v>1.8</v>
      </c>
      <c r="Z74" s="333">
        <v>1766.8</v>
      </c>
      <c r="AA74" s="334">
        <v>0.6</v>
      </c>
      <c r="AB74" s="335">
        <v>22</v>
      </c>
      <c r="AC74" s="334">
        <v>0.7</v>
      </c>
      <c r="AD74" s="335">
        <v>8.6</v>
      </c>
      <c r="AE74" s="333">
        <v>1753.5</v>
      </c>
    </row>
    <row r="75" spans="2:31">
      <c r="B75" s="332"/>
      <c r="C75" s="321"/>
      <c r="D75" s="326"/>
      <c r="E75" s="321" t="s">
        <v>246</v>
      </c>
      <c r="F75" s="333">
        <v>947</v>
      </c>
      <c r="G75" s="334">
        <v>0</v>
      </c>
      <c r="H75" s="335">
        <v>0</v>
      </c>
      <c r="I75" s="334">
        <v>0</v>
      </c>
      <c r="J75" s="337">
        <v>2</v>
      </c>
      <c r="K75" s="333">
        <v>949</v>
      </c>
      <c r="L75" s="334">
        <v>0</v>
      </c>
      <c r="M75" s="335">
        <v>0</v>
      </c>
      <c r="N75" s="334">
        <v>0</v>
      </c>
      <c r="O75" s="337">
        <v>0</v>
      </c>
      <c r="P75" s="333">
        <v>949</v>
      </c>
      <c r="Q75" s="334">
        <v>24</v>
      </c>
      <c r="R75" s="335">
        <v>0</v>
      </c>
      <c r="S75" s="334">
        <v>8</v>
      </c>
      <c r="T75" s="337">
        <v>0</v>
      </c>
      <c r="U75" s="336">
        <v>933</v>
      </c>
      <c r="V75" s="334">
        <v>0</v>
      </c>
      <c r="W75" s="335">
        <v>0</v>
      </c>
      <c r="X75" s="334">
        <v>0</v>
      </c>
      <c r="Y75" s="335">
        <v>0</v>
      </c>
      <c r="Z75" s="333">
        <v>933</v>
      </c>
      <c r="AA75" s="334">
        <v>0</v>
      </c>
      <c r="AB75" s="335">
        <v>0</v>
      </c>
      <c r="AC75" s="334">
        <v>0</v>
      </c>
      <c r="AD75" s="335">
        <v>0</v>
      </c>
      <c r="AE75" s="333">
        <v>933</v>
      </c>
    </row>
    <row r="76" spans="2:31">
      <c r="B76" s="332"/>
      <c r="C76" s="321"/>
      <c r="D76" s="326"/>
      <c r="E76" s="321" t="s">
        <v>247</v>
      </c>
      <c r="F76" s="333">
        <v>0</v>
      </c>
      <c r="G76" s="334">
        <v>0</v>
      </c>
      <c r="H76" s="335">
        <v>0</v>
      </c>
      <c r="I76" s="334">
        <v>0</v>
      </c>
      <c r="J76" s="337">
        <v>0</v>
      </c>
      <c r="K76" s="333">
        <v>0</v>
      </c>
      <c r="L76" s="334">
        <v>0</v>
      </c>
      <c r="M76" s="335">
        <v>0</v>
      </c>
      <c r="N76" s="334">
        <v>0</v>
      </c>
      <c r="O76" s="337">
        <v>0</v>
      </c>
      <c r="P76" s="333">
        <v>0</v>
      </c>
      <c r="Q76" s="334">
        <v>0</v>
      </c>
      <c r="R76" s="335">
        <v>0</v>
      </c>
      <c r="S76" s="334">
        <v>0</v>
      </c>
      <c r="T76" s="337">
        <v>0</v>
      </c>
      <c r="U76" s="336">
        <v>0</v>
      </c>
      <c r="V76" s="334">
        <v>0</v>
      </c>
      <c r="W76" s="335">
        <v>0</v>
      </c>
      <c r="X76" s="334">
        <v>0</v>
      </c>
      <c r="Y76" s="335">
        <v>0</v>
      </c>
      <c r="Z76" s="333">
        <v>0</v>
      </c>
      <c r="AA76" s="334">
        <v>0</v>
      </c>
      <c r="AB76" s="335">
        <v>0</v>
      </c>
      <c r="AC76" s="334">
        <v>0</v>
      </c>
      <c r="AD76" s="335">
        <v>0</v>
      </c>
      <c r="AE76" s="333">
        <v>0</v>
      </c>
    </row>
    <row r="77" spans="2:31">
      <c r="B77" s="332"/>
      <c r="C77" s="321"/>
      <c r="D77" s="326"/>
      <c r="E77" s="321" t="s">
        <v>248</v>
      </c>
      <c r="F77" s="333">
        <v>0</v>
      </c>
      <c r="G77" s="334">
        <v>0</v>
      </c>
      <c r="H77" s="335">
        <v>0</v>
      </c>
      <c r="I77" s="334">
        <v>0</v>
      </c>
      <c r="J77" s="337">
        <v>0</v>
      </c>
      <c r="K77" s="333">
        <v>0</v>
      </c>
      <c r="L77" s="334">
        <v>0</v>
      </c>
      <c r="M77" s="335">
        <v>0</v>
      </c>
      <c r="N77" s="334">
        <v>0</v>
      </c>
      <c r="O77" s="337">
        <v>0</v>
      </c>
      <c r="P77" s="333">
        <v>0</v>
      </c>
      <c r="Q77" s="334">
        <v>0</v>
      </c>
      <c r="R77" s="335">
        <v>0</v>
      </c>
      <c r="S77" s="334">
        <v>0</v>
      </c>
      <c r="T77" s="337">
        <v>0</v>
      </c>
      <c r="U77" s="336">
        <v>0</v>
      </c>
      <c r="V77" s="334">
        <v>0</v>
      </c>
      <c r="W77" s="335">
        <v>0</v>
      </c>
      <c r="X77" s="334">
        <v>0</v>
      </c>
      <c r="Y77" s="335">
        <v>0</v>
      </c>
      <c r="Z77" s="333">
        <v>0</v>
      </c>
      <c r="AA77" s="334">
        <v>0</v>
      </c>
      <c r="AB77" s="335">
        <v>0</v>
      </c>
      <c r="AC77" s="334">
        <v>0</v>
      </c>
      <c r="AD77" s="335">
        <v>0</v>
      </c>
      <c r="AE77" s="333">
        <v>0</v>
      </c>
    </row>
    <row r="78" spans="2:31">
      <c r="B78" s="332"/>
      <c r="C78" s="321"/>
      <c r="D78" s="326"/>
      <c r="E78" s="321"/>
      <c r="F78" s="338"/>
      <c r="G78" s="339"/>
      <c r="H78" s="340"/>
      <c r="I78" s="339"/>
      <c r="J78" s="341"/>
      <c r="K78" s="338"/>
      <c r="L78" s="339"/>
      <c r="M78" s="340"/>
      <c r="N78" s="339"/>
      <c r="O78" s="341"/>
      <c r="P78" s="338"/>
      <c r="Q78" s="339"/>
      <c r="R78" s="340"/>
      <c r="S78" s="339"/>
      <c r="T78" s="341"/>
      <c r="U78" s="342"/>
      <c r="V78" s="339"/>
      <c r="W78" s="340"/>
      <c r="X78" s="339"/>
      <c r="Y78" s="340"/>
      <c r="Z78" s="338"/>
      <c r="AA78" s="339"/>
      <c r="AB78" s="340"/>
      <c r="AC78" s="339"/>
      <c r="AD78" s="340"/>
      <c r="AE78" s="338"/>
    </row>
    <row r="79" spans="2:31">
      <c r="B79" s="332"/>
      <c r="C79" s="321"/>
      <c r="D79" s="326" t="s">
        <v>429</v>
      </c>
      <c r="E79" s="321"/>
      <c r="F79" s="338"/>
      <c r="G79" s="339"/>
      <c r="H79" s="340"/>
      <c r="I79" s="339"/>
      <c r="J79" s="341"/>
      <c r="K79" s="338"/>
      <c r="L79" s="339"/>
      <c r="M79" s="340"/>
      <c r="N79" s="339"/>
      <c r="O79" s="341"/>
      <c r="P79" s="338"/>
      <c r="Q79" s="339"/>
      <c r="R79" s="340"/>
      <c r="S79" s="339"/>
      <c r="T79" s="341"/>
      <c r="U79" s="342"/>
      <c r="V79" s="339"/>
      <c r="W79" s="340"/>
      <c r="X79" s="339"/>
      <c r="Y79" s="340"/>
      <c r="Z79" s="338"/>
      <c r="AA79" s="339"/>
      <c r="AB79" s="340"/>
      <c r="AC79" s="339"/>
      <c r="AD79" s="340"/>
      <c r="AE79" s="338"/>
    </row>
    <row r="80" spans="2:31">
      <c r="B80" s="332"/>
      <c r="C80" s="321"/>
      <c r="D80" s="321"/>
      <c r="E80" s="321" t="s">
        <v>249</v>
      </c>
      <c r="F80" s="333">
        <v>28943</v>
      </c>
      <c r="G80" s="334">
        <v>1</v>
      </c>
      <c r="H80" s="335">
        <v>36</v>
      </c>
      <c r="I80" s="334">
        <v>1</v>
      </c>
      <c r="J80" s="337">
        <v>36</v>
      </c>
      <c r="K80" s="333">
        <v>28943</v>
      </c>
      <c r="L80" s="334">
        <v>276</v>
      </c>
      <c r="M80" s="335">
        <v>0</v>
      </c>
      <c r="N80" s="334">
        <v>6</v>
      </c>
      <c r="O80" s="337">
        <v>0</v>
      </c>
      <c r="P80" s="333">
        <v>28673</v>
      </c>
      <c r="Q80" s="334">
        <v>483</v>
      </c>
      <c r="R80" s="335">
        <v>144</v>
      </c>
      <c r="S80" s="334">
        <v>83</v>
      </c>
      <c r="T80" s="337">
        <v>144</v>
      </c>
      <c r="U80" s="336">
        <v>28273</v>
      </c>
      <c r="V80" s="334">
        <v>50</v>
      </c>
      <c r="W80" s="335">
        <v>32</v>
      </c>
      <c r="X80" s="334">
        <v>43</v>
      </c>
      <c r="Y80" s="335">
        <v>20</v>
      </c>
      <c r="Z80" s="333">
        <v>28254</v>
      </c>
      <c r="AA80" s="334">
        <v>6</v>
      </c>
      <c r="AB80" s="335">
        <v>232</v>
      </c>
      <c r="AC80" s="334">
        <v>7</v>
      </c>
      <c r="AD80" s="335">
        <v>102</v>
      </c>
      <c r="AE80" s="333">
        <v>28125</v>
      </c>
    </row>
    <row r="81" spans="2:31">
      <c r="B81" s="332"/>
      <c r="C81" s="321"/>
      <c r="D81" s="321"/>
      <c r="E81" s="321" t="s">
        <v>250</v>
      </c>
      <c r="F81" s="333">
        <v>1326</v>
      </c>
      <c r="G81" s="334">
        <v>30</v>
      </c>
      <c r="H81" s="335">
        <v>0</v>
      </c>
      <c r="I81" s="334">
        <v>0</v>
      </c>
      <c r="J81" s="337">
        <v>0</v>
      </c>
      <c r="K81" s="333">
        <v>1296</v>
      </c>
      <c r="L81" s="334">
        <v>0</v>
      </c>
      <c r="M81" s="335">
        <v>0</v>
      </c>
      <c r="N81" s="334">
        <v>10</v>
      </c>
      <c r="O81" s="337">
        <v>7</v>
      </c>
      <c r="P81" s="333">
        <v>1313</v>
      </c>
      <c r="Q81" s="334">
        <v>63</v>
      </c>
      <c r="R81" s="335">
        <v>0</v>
      </c>
      <c r="S81" s="334">
        <v>37</v>
      </c>
      <c r="T81" s="337">
        <v>0</v>
      </c>
      <c r="U81" s="336">
        <v>1287</v>
      </c>
      <c r="V81" s="334">
        <v>0</v>
      </c>
      <c r="W81" s="335">
        <v>0</v>
      </c>
      <c r="X81" s="334">
        <v>0</v>
      </c>
      <c r="Y81" s="335">
        <v>0</v>
      </c>
      <c r="Z81" s="333">
        <v>1287</v>
      </c>
      <c r="AA81" s="334">
        <v>0</v>
      </c>
      <c r="AB81" s="335">
        <v>0</v>
      </c>
      <c r="AC81" s="334">
        <v>0</v>
      </c>
      <c r="AD81" s="335">
        <v>0</v>
      </c>
      <c r="AE81" s="333">
        <v>1287</v>
      </c>
    </row>
    <row r="82" spans="2:31">
      <c r="B82" s="332"/>
      <c r="C82" s="321"/>
      <c r="D82" s="326"/>
      <c r="E82" s="321" t="s">
        <v>251</v>
      </c>
      <c r="F82" s="333">
        <v>0</v>
      </c>
      <c r="G82" s="334">
        <v>0</v>
      </c>
      <c r="H82" s="335">
        <v>0</v>
      </c>
      <c r="I82" s="334">
        <v>0</v>
      </c>
      <c r="J82" s="337">
        <v>0</v>
      </c>
      <c r="K82" s="333">
        <v>0</v>
      </c>
      <c r="L82" s="334">
        <v>0</v>
      </c>
      <c r="M82" s="335">
        <v>0</v>
      </c>
      <c r="N82" s="334">
        <v>0</v>
      </c>
      <c r="O82" s="337">
        <v>0</v>
      </c>
      <c r="P82" s="333">
        <v>0</v>
      </c>
      <c r="Q82" s="334">
        <v>0</v>
      </c>
      <c r="R82" s="335">
        <v>0</v>
      </c>
      <c r="S82" s="334">
        <v>0</v>
      </c>
      <c r="T82" s="337">
        <v>0</v>
      </c>
      <c r="U82" s="336">
        <v>0</v>
      </c>
      <c r="V82" s="334">
        <v>0</v>
      </c>
      <c r="W82" s="335">
        <v>0</v>
      </c>
      <c r="X82" s="334">
        <v>0</v>
      </c>
      <c r="Y82" s="335">
        <v>0</v>
      </c>
      <c r="Z82" s="333">
        <v>0</v>
      </c>
      <c r="AA82" s="334">
        <v>0</v>
      </c>
      <c r="AB82" s="335">
        <v>0</v>
      </c>
      <c r="AC82" s="334">
        <v>0</v>
      </c>
      <c r="AD82" s="335">
        <v>0</v>
      </c>
      <c r="AE82" s="333">
        <v>0</v>
      </c>
    </row>
    <row r="83" spans="2:31">
      <c r="B83" s="332"/>
      <c r="C83" s="321"/>
      <c r="D83" s="326"/>
      <c r="E83" s="321" t="s">
        <v>252</v>
      </c>
      <c r="F83" s="333">
        <v>0</v>
      </c>
      <c r="G83" s="334">
        <v>0</v>
      </c>
      <c r="H83" s="335">
        <v>0</v>
      </c>
      <c r="I83" s="334">
        <v>0</v>
      </c>
      <c r="J83" s="337">
        <v>0</v>
      </c>
      <c r="K83" s="333">
        <v>0</v>
      </c>
      <c r="L83" s="334">
        <v>0</v>
      </c>
      <c r="M83" s="335">
        <v>0</v>
      </c>
      <c r="N83" s="334">
        <v>0</v>
      </c>
      <c r="O83" s="337">
        <v>0</v>
      </c>
      <c r="P83" s="333">
        <v>0</v>
      </c>
      <c r="Q83" s="334">
        <v>0</v>
      </c>
      <c r="R83" s="335">
        <v>0</v>
      </c>
      <c r="S83" s="334">
        <v>0</v>
      </c>
      <c r="T83" s="337">
        <v>0</v>
      </c>
      <c r="U83" s="336">
        <v>0</v>
      </c>
      <c r="V83" s="334">
        <v>0</v>
      </c>
      <c r="W83" s="335">
        <v>0</v>
      </c>
      <c r="X83" s="334">
        <v>0</v>
      </c>
      <c r="Y83" s="335">
        <v>0</v>
      </c>
      <c r="Z83" s="333">
        <v>0</v>
      </c>
      <c r="AA83" s="334">
        <v>0</v>
      </c>
      <c r="AB83" s="335">
        <v>0</v>
      </c>
      <c r="AC83" s="334">
        <v>0</v>
      </c>
      <c r="AD83" s="335">
        <v>0</v>
      </c>
      <c r="AE83" s="333">
        <v>0</v>
      </c>
    </row>
    <row r="84" spans="2:31">
      <c r="B84" s="332"/>
      <c r="C84" s="321"/>
      <c r="D84" s="321"/>
      <c r="E84" s="321"/>
      <c r="F84" s="338"/>
      <c r="G84" s="339"/>
      <c r="H84" s="340"/>
      <c r="I84" s="339"/>
      <c r="J84" s="341"/>
      <c r="K84" s="338"/>
      <c r="L84" s="339"/>
      <c r="M84" s="340"/>
      <c r="N84" s="339"/>
      <c r="O84" s="341"/>
      <c r="P84" s="338"/>
      <c r="Q84" s="339"/>
      <c r="R84" s="340"/>
      <c r="S84" s="339"/>
      <c r="T84" s="341"/>
      <c r="U84" s="342"/>
      <c r="V84" s="339"/>
      <c r="W84" s="340"/>
      <c r="X84" s="339"/>
      <c r="Y84" s="340"/>
      <c r="Z84" s="338"/>
      <c r="AA84" s="339"/>
      <c r="AB84" s="340"/>
      <c r="AC84" s="339"/>
      <c r="AD84" s="340"/>
      <c r="AE84" s="338"/>
    </row>
    <row r="85" spans="2:31">
      <c r="B85" s="319"/>
      <c r="C85" s="321"/>
      <c r="D85" s="326" t="s">
        <v>454</v>
      </c>
      <c r="E85" s="321"/>
      <c r="F85" s="338"/>
      <c r="G85" s="339"/>
      <c r="H85" s="340"/>
      <c r="I85" s="339"/>
      <c r="J85" s="341"/>
      <c r="K85" s="338"/>
      <c r="L85" s="339"/>
      <c r="M85" s="340"/>
      <c r="N85" s="339"/>
      <c r="O85" s="341"/>
      <c r="P85" s="338"/>
      <c r="Q85" s="339"/>
      <c r="R85" s="340"/>
      <c r="S85" s="339"/>
      <c r="T85" s="341"/>
      <c r="U85" s="342"/>
      <c r="V85" s="339"/>
      <c r="W85" s="340"/>
      <c r="X85" s="339"/>
      <c r="Y85" s="340"/>
      <c r="Z85" s="338"/>
      <c r="AA85" s="339"/>
      <c r="AB85" s="340"/>
      <c r="AC85" s="339"/>
      <c r="AD85" s="340"/>
      <c r="AE85" s="338"/>
    </row>
    <row r="86" spans="2:31">
      <c r="B86" s="319"/>
      <c r="C86" s="321"/>
      <c r="D86" s="326"/>
      <c r="E86" s="321" t="s">
        <v>116</v>
      </c>
      <c r="F86" s="333">
        <v>1381</v>
      </c>
      <c r="G86" s="334">
        <v>0</v>
      </c>
      <c r="H86" s="335">
        <v>0</v>
      </c>
      <c r="I86" s="334">
        <v>67</v>
      </c>
      <c r="J86" s="337">
        <v>25</v>
      </c>
      <c r="K86" s="333">
        <v>1473</v>
      </c>
      <c r="L86" s="334">
        <v>2</v>
      </c>
      <c r="M86" s="335">
        <v>8</v>
      </c>
      <c r="N86" s="334">
        <v>55</v>
      </c>
      <c r="O86" s="337">
        <v>8</v>
      </c>
      <c r="P86" s="333">
        <v>1526</v>
      </c>
      <c r="Q86" s="334">
        <v>0</v>
      </c>
      <c r="R86" s="335">
        <v>0</v>
      </c>
      <c r="S86" s="334">
        <v>23</v>
      </c>
      <c r="T86" s="337">
        <v>16</v>
      </c>
      <c r="U86" s="336">
        <v>1565</v>
      </c>
      <c r="V86" s="334">
        <v>1.9</v>
      </c>
      <c r="W86" s="335">
        <v>19.2</v>
      </c>
      <c r="X86" s="334">
        <v>11.9</v>
      </c>
      <c r="Y86" s="335">
        <v>4.2</v>
      </c>
      <c r="Z86" s="333">
        <v>1560</v>
      </c>
      <c r="AA86" s="334">
        <v>1.1000000000000001</v>
      </c>
      <c r="AB86" s="335">
        <v>12.4</v>
      </c>
      <c r="AC86" s="334">
        <v>4.4000000000000004</v>
      </c>
      <c r="AD86" s="335">
        <v>11.7</v>
      </c>
      <c r="AE86" s="333">
        <v>1562.6</v>
      </c>
    </row>
    <row r="87" spans="2:31">
      <c r="B87" s="319"/>
      <c r="C87" s="321"/>
      <c r="D87" s="326"/>
      <c r="E87" s="321" t="s">
        <v>117</v>
      </c>
      <c r="F87" s="333">
        <v>157</v>
      </c>
      <c r="G87" s="334">
        <v>1</v>
      </c>
      <c r="H87" s="335">
        <v>0</v>
      </c>
      <c r="I87" s="334">
        <v>0</v>
      </c>
      <c r="J87" s="337">
        <v>0</v>
      </c>
      <c r="K87" s="333">
        <v>156</v>
      </c>
      <c r="L87" s="334">
        <v>0</v>
      </c>
      <c r="M87" s="335">
        <v>0</v>
      </c>
      <c r="N87" s="334">
        <v>0</v>
      </c>
      <c r="O87" s="337">
        <v>0</v>
      </c>
      <c r="P87" s="333">
        <v>156</v>
      </c>
      <c r="Q87" s="334">
        <v>0</v>
      </c>
      <c r="R87" s="335">
        <v>0</v>
      </c>
      <c r="S87" s="334">
        <v>0</v>
      </c>
      <c r="T87" s="337">
        <v>0</v>
      </c>
      <c r="U87" s="336">
        <v>156</v>
      </c>
      <c r="V87" s="334">
        <v>0</v>
      </c>
      <c r="W87" s="335">
        <v>0</v>
      </c>
      <c r="X87" s="334">
        <v>0</v>
      </c>
      <c r="Y87" s="335">
        <v>0</v>
      </c>
      <c r="Z87" s="333">
        <v>156</v>
      </c>
      <c r="AA87" s="334">
        <v>0</v>
      </c>
      <c r="AB87" s="335">
        <v>0</v>
      </c>
      <c r="AC87" s="334">
        <v>0</v>
      </c>
      <c r="AD87" s="335">
        <v>0</v>
      </c>
      <c r="AE87" s="333">
        <v>156</v>
      </c>
    </row>
    <row r="88" spans="2:31">
      <c r="B88" s="319"/>
      <c r="C88" s="321"/>
      <c r="D88" s="326"/>
      <c r="E88" s="321" t="s">
        <v>118</v>
      </c>
      <c r="F88" s="333">
        <v>0</v>
      </c>
      <c r="G88" s="334">
        <v>0</v>
      </c>
      <c r="H88" s="335">
        <v>0</v>
      </c>
      <c r="I88" s="334">
        <v>0</v>
      </c>
      <c r="J88" s="337">
        <v>0</v>
      </c>
      <c r="K88" s="333">
        <v>0</v>
      </c>
      <c r="L88" s="334">
        <v>0</v>
      </c>
      <c r="M88" s="335">
        <v>0</v>
      </c>
      <c r="N88" s="334">
        <v>0</v>
      </c>
      <c r="O88" s="337">
        <v>0</v>
      </c>
      <c r="P88" s="333">
        <v>0</v>
      </c>
      <c r="Q88" s="334">
        <v>0</v>
      </c>
      <c r="R88" s="335">
        <v>0</v>
      </c>
      <c r="S88" s="334">
        <v>0</v>
      </c>
      <c r="T88" s="337">
        <v>0</v>
      </c>
      <c r="U88" s="336">
        <v>0</v>
      </c>
      <c r="V88" s="334">
        <v>0</v>
      </c>
      <c r="W88" s="335">
        <v>0</v>
      </c>
      <c r="X88" s="334">
        <v>0</v>
      </c>
      <c r="Y88" s="335">
        <v>0</v>
      </c>
      <c r="Z88" s="333">
        <v>0</v>
      </c>
      <c r="AA88" s="334">
        <v>0</v>
      </c>
      <c r="AB88" s="335">
        <v>0</v>
      </c>
      <c r="AC88" s="334">
        <v>0</v>
      </c>
      <c r="AD88" s="335">
        <v>0</v>
      </c>
      <c r="AE88" s="333">
        <v>0</v>
      </c>
    </row>
    <row r="89" spans="2:31">
      <c r="B89" s="319"/>
      <c r="C89" s="321"/>
      <c r="D89" s="326"/>
      <c r="E89" s="321" t="s">
        <v>257</v>
      </c>
      <c r="F89" s="333">
        <v>0</v>
      </c>
      <c r="G89" s="334">
        <v>0</v>
      </c>
      <c r="H89" s="335">
        <v>0</v>
      </c>
      <c r="I89" s="334">
        <v>0</v>
      </c>
      <c r="J89" s="337">
        <v>0</v>
      </c>
      <c r="K89" s="333">
        <v>0</v>
      </c>
      <c r="L89" s="334">
        <v>0</v>
      </c>
      <c r="M89" s="335">
        <v>0</v>
      </c>
      <c r="N89" s="334">
        <v>0</v>
      </c>
      <c r="O89" s="337">
        <v>0</v>
      </c>
      <c r="P89" s="333">
        <v>0</v>
      </c>
      <c r="Q89" s="334">
        <v>0</v>
      </c>
      <c r="R89" s="335">
        <v>0</v>
      </c>
      <c r="S89" s="334">
        <v>0</v>
      </c>
      <c r="T89" s="337">
        <v>0</v>
      </c>
      <c r="U89" s="336">
        <v>0</v>
      </c>
      <c r="V89" s="334">
        <v>0</v>
      </c>
      <c r="W89" s="335">
        <v>0</v>
      </c>
      <c r="X89" s="334">
        <v>0</v>
      </c>
      <c r="Y89" s="335">
        <v>0</v>
      </c>
      <c r="Z89" s="333">
        <v>0</v>
      </c>
      <c r="AA89" s="334">
        <v>0</v>
      </c>
      <c r="AB89" s="335">
        <v>0</v>
      </c>
      <c r="AC89" s="334">
        <v>0</v>
      </c>
      <c r="AD89" s="335">
        <v>0</v>
      </c>
      <c r="AE89" s="333">
        <v>0</v>
      </c>
    </row>
    <row r="90" spans="2:31">
      <c r="B90" s="319"/>
      <c r="C90" s="321"/>
      <c r="D90" s="326"/>
      <c r="E90" s="321" t="s">
        <v>129</v>
      </c>
      <c r="F90" s="333">
        <v>0</v>
      </c>
      <c r="G90" s="334">
        <v>0</v>
      </c>
      <c r="H90" s="335">
        <v>0</v>
      </c>
      <c r="I90" s="334">
        <v>0</v>
      </c>
      <c r="J90" s="337">
        <v>0</v>
      </c>
      <c r="K90" s="333">
        <v>0</v>
      </c>
      <c r="L90" s="334">
        <v>0</v>
      </c>
      <c r="M90" s="335">
        <v>0</v>
      </c>
      <c r="N90" s="334">
        <v>0</v>
      </c>
      <c r="O90" s="337">
        <v>0</v>
      </c>
      <c r="P90" s="333">
        <v>0</v>
      </c>
      <c r="Q90" s="334">
        <v>0</v>
      </c>
      <c r="R90" s="335">
        <v>0</v>
      </c>
      <c r="S90" s="334">
        <v>0</v>
      </c>
      <c r="T90" s="337">
        <v>0</v>
      </c>
      <c r="U90" s="336">
        <v>0</v>
      </c>
      <c r="V90" s="334">
        <v>0</v>
      </c>
      <c r="W90" s="335">
        <v>0</v>
      </c>
      <c r="X90" s="334">
        <v>0</v>
      </c>
      <c r="Y90" s="335">
        <v>0</v>
      </c>
      <c r="Z90" s="333">
        <v>0</v>
      </c>
      <c r="AA90" s="334">
        <v>0</v>
      </c>
      <c r="AB90" s="335">
        <v>0</v>
      </c>
      <c r="AC90" s="334">
        <v>0</v>
      </c>
      <c r="AD90" s="335">
        <v>0</v>
      </c>
      <c r="AE90" s="333">
        <v>0</v>
      </c>
    </row>
    <row r="91" spans="2:31">
      <c r="B91" s="319"/>
      <c r="C91" s="321"/>
      <c r="D91" s="326"/>
      <c r="E91" s="321" t="s">
        <v>130</v>
      </c>
      <c r="F91" s="333">
        <v>0</v>
      </c>
      <c r="G91" s="334">
        <v>0</v>
      </c>
      <c r="H91" s="335">
        <v>0</v>
      </c>
      <c r="I91" s="334">
        <v>0</v>
      </c>
      <c r="J91" s="337">
        <v>0</v>
      </c>
      <c r="K91" s="333">
        <v>0</v>
      </c>
      <c r="L91" s="334">
        <v>0</v>
      </c>
      <c r="M91" s="335">
        <v>0</v>
      </c>
      <c r="N91" s="334">
        <v>0</v>
      </c>
      <c r="O91" s="337">
        <v>0</v>
      </c>
      <c r="P91" s="333">
        <v>0</v>
      </c>
      <c r="Q91" s="334">
        <v>0</v>
      </c>
      <c r="R91" s="335">
        <v>0</v>
      </c>
      <c r="S91" s="334">
        <v>0</v>
      </c>
      <c r="T91" s="337">
        <v>0</v>
      </c>
      <c r="U91" s="336">
        <v>0</v>
      </c>
      <c r="V91" s="334">
        <v>0</v>
      </c>
      <c r="W91" s="335">
        <v>0</v>
      </c>
      <c r="X91" s="334">
        <v>0</v>
      </c>
      <c r="Y91" s="335">
        <v>0</v>
      </c>
      <c r="Z91" s="333">
        <v>0</v>
      </c>
      <c r="AA91" s="334">
        <v>0</v>
      </c>
      <c r="AB91" s="335">
        <v>0</v>
      </c>
      <c r="AC91" s="334">
        <v>0</v>
      </c>
      <c r="AD91" s="335">
        <v>0</v>
      </c>
      <c r="AE91" s="333">
        <v>0</v>
      </c>
    </row>
    <row r="92" spans="2:31">
      <c r="B92" s="319"/>
      <c r="C92" s="321"/>
      <c r="D92" s="321"/>
      <c r="E92" s="321"/>
      <c r="F92" s="338"/>
      <c r="G92" s="339"/>
      <c r="H92" s="340"/>
      <c r="I92" s="339"/>
      <c r="J92" s="341"/>
      <c r="K92" s="338"/>
      <c r="L92" s="339"/>
      <c r="M92" s="340"/>
      <c r="N92" s="339"/>
      <c r="O92" s="341"/>
      <c r="P92" s="338"/>
      <c r="Q92" s="339"/>
      <c r="R92" s="340"/>
      <c r="S92" s="339"/>
      <c r="T92" s="341"/>
      <c r="U92" s="342"/>
      <c r="V92" s="339"/>
      <c r="W92" s="340"/>
      <c r="X92" s="339"/>
      <c r="Y92" s="340"/>
      <c r="Z92" s="338"/>
      <c r="AA92" s="339"/>
      <c r="AB92" s="340"/>
      <c r="AC92" s="339"/>
      <c r="AD92" s="340"/>
      <c r="AE92" s="338"/>
    </row>
    <row r="93" spans="2:31">
      <c r="B93" s="319"/>
      <c r="C93" s="321"/>
      <c r="D93" s="326" t="s">
        <v>596</v>
      </c>
      <c r="E93" s="321"/>
      <c r="F93" s="338"/>
      <c r="G93" s="339"/>
      <c r="H93" s="340"/>
      <c r="I93" s="339"/>
      <c r="J93" s="341"/>
      <c r="K93" s="338"/>
      <c r="L93" s="339"/>
      <c r="M93" s="340"/>
      <c r="N93" s="339"/>
      <c r="O93" s="341"/>
      <c r="P93" s="338"/>
      <c r="Q93" s="339"/>
      <c r="R93" s="340"/>
      <c r="S93" s="339"/>
      <c r="T93" s="341"/>
      <c r="U93" s="342"/>
      <c r="V93" s="339"/>
      <c r="W93" s="340"/>
      <c r="X93" s="339"/>
      <c r="Y93" s="340"/>
      <c r="Z93" s="338"/>
      <c r="AA93" s="339"/>
      <c r="AB93" s="340"/>
      <c r="AC93" s="339"/>
      <c r="AD93" s="340"/>
      <c r="AE93" s="338"/>
    </row>
    <row r="94" spans="2:31">
      <c r="B94" s="319"/>
      <c r="C94" s="321"/>
      <c r="D94" s="321"/>
      <c r="E94" s="321" t="s">
        <v>83</v>
      </c>
      <c r="F94" s="333">
        <v>0</v>
      </c>
      <c r="G94" s="334">
        <v>0</v>
      </c>
      <c r="H94" s="335">
        <v>0</v>
      </c>
      <c r="I94" s="334">
        <v>0</v>
      </c>
      <c r="J94" s="337">
        <v>0</v>
      </c>
      <c r="K94" s="333">
        <v>0</v>
      </c>
      <c r="L94" s="334">
        <v>0</v>
      </c>
      <c r="M94" s="335">
        <v>0</v>
      </c>
      <c r="N94" s="334">
        <v>0</v>
      </c>
      <c r="O94" s="337">
        <v>0</v>
      </c>
      <c r="P94" s="333">
        <v>0</v>
      </c>
      <c r="Q94" s="334">
        <v>0</v>
      </c>
      <c r="R94" s="335">
        <v>0</v>
      </c>
      <c r="S94" s="334">
        <v>0</v>
      </c>
      <c r="T94" s="337">
        <v>0</v>
      </c>
      <c r="U94" s="336">
        <v>0</v>
      </c>
      <c r="V94" s="334" t="s">
        <v>963</v>
      </c>
      <c r="W94" s="335">
        <v>0</v>
      </c>
      <c r="X94" s="334" t="s">
        <v>963</v>
      </c>
      <c r="Y94" s="335">
        <v>0</v>
      </c>
      <c r="Z94" s="333">
        <v>0</v>
      </c>
      <c r="AA94" s="334" t="s">
        <v>963</v>
      </c>
      <c r="AB94" s="335">
        <v>0</v>
      </c>
      <c r="AC94" s="334" t="s">
        <v>963</v>
      </c>
      <c r="AD94" s="335">
        <v>0</v>
      </c>
      <c r="AE94" s="333">
        <v>0</v>
      </c>
    </row>
    <row r="95" spans="2:31">
      <c r="B95" s="319"/>
      <c r="C95" s="321"/>
      <c r="D95" s="326"/>
      <c r="E95" s="321"/>
      <c r="F95" s="338"/>
      <c r="G95" s="339"/>
      <c r="H95" s="340"/>
      <c r="I95" s="339"/>
      <c r="J95" s="341"/>
      <c r="K95" s="338"/>
      <c r="L95" s="339"/>
      <c r="M95" s="340"/>
      <c r="N95" s="339"/>
      <c r="O95" s="341"/>
      <c r="P95" s="338"/>
      <c r="Q95" s="339"/>
      <c r="R95" s="340"/>
      <c r="S95" s="339"/>
      <c r="T95" s="341"/>
      <c r="U95" s="342"/>
      <c r="V95" s="339"/>
      <c r="W95" s="340"/>
      <c r="X95" s="339"/>
      <c r="Y95" s="340"/>
      <c r="Z95" s="338"/>
      <c r="AA95" s="339"/>
      <c r="AB95" s="340"/>
      <c r="AC95" s="339"/>
      <c r="AD95" s="340"/>
      <c r="AE95" s="338"/>
    </row>
    <row r="96" spans="2:31">
      <c r="B96" s="319"/>
      <c r="C96" s="321"/>
      <c r="D96" s="326" t="s">
        <v>319</v>
      </c>
      <c r="E96" s="321"/>
      <c r="F96" s="338"/>
      <c r="G96" s="339"/>
      <c r="H96" s="340"/>
      <c r="I96" s="339"/>
      <c r="J96" s="341"/>
      <c r="K96" s="338"/>
      <c r="L96" s="339"/>
      <c r="M96" s="340"/>
      <c r="N96" s="339"/>
      <c r="O96" s="341"/>
      <c r="P96" s="338"/>
      <c r="Q96" s="339"/>
      <c r="R96" s="340"/>
      <c r="S96" s="339"/>
      <c r="T96" s="341"/>
      <c r="U96" s="342"/>
      <c r="V96" s="339"/>
      <c r="W96" s="340"/>
      <c r="X96" s="339"/>
      <c r="Y96" s="340"/>
      <c r="Z96" s="338"/>
      <c r="AA96" s="339"/>
      <c r="AB96" s="340"/>
      <c r="AC96" s="339"/>
      <c r="AD96" s="340"/>
      <c r="AE96" s="338"/>
    </row>
    <row r="97" spans="2:31">
      <c r="B97" s="319"/>
      <c r="C97" s="321"/>
      <c r="D97" s="326"/>
      <c r="E97" s="351" t="s">
        <v>84</v>
      </c>
      <c r="F97" s="333">
        <v>365</v>
      </c>
      <c r="G97" s="334">
        <v>0</v>
      </c>
      <c r="H97" s="335">
        <v>0</v>
      </c>
      <c r="I97" s="334">
        <v>5</v>
      </c>
      <c r="J97" s="337">
        <v>0</v>
      </c>
      <c r="K97" s="333">
        <v>370</v>
      </c>
      <c r="L97" s="334">
        <v>1</v>
      </c>
      <c r="M97" s="335">
        <v>0</v>
      </c>
      <c r="N97" s="334">
        <v>12</v>
      </c>
      <c r="O97" s="337">
        <v>0</v>
      </c>
      <c r="P97" s="333">
        <v>381</v>
      </c>
      <c r="Q97" s="334">
        <v>0</v>
      </c>
      <c r="R97" s="335">
        <v>0</v>
      </c>
      <c r="S97" s="334">
        <v>15</v>
      </c>
      <c r="T97" s="337">
        <v>15</v>
      </c>
      <c r="U97" s="336">
        <v>411</v>
      </c>
      <c r="V97" s="334">
        <v>0</v>
      </c>
      <c r="W97" s="335">
        <v>6</v>
      </c>
      <c r="X97" s="334">
        <v>0</v>
      </c>
      <c r="Y97" s="335">
        <v>6</v>
      </c>
      <c r="Z97" s="333">
        <v>411</v>
      </c>
      <c r="AA97" s="334">
        <v>0</v>
      </c>
      <c r="AB97" s="335">
        <v>7</v>
      </c>
      <c r="AC97" s="334">
        <v>3</v>
      </c>
      <c r="AD97" s="335">
        <v>7</v>
      </c>
      <c r="AE97" s="333">
        <v>414</v>
      </c>
    </row>
    <row r="98" spans="2:31">
      <c r="B98" s="319"/>
      <c r="C98" s="321"/>
      <c r="D98" s="326"/>
      <c r="E98" s="351" t="s">
        <v>85</v>
      </c>
      <c r="F98" s="333">
        <v>569</v>
      </c>
      <c r="G98" s="334">
        <v>0</v>
      </c>
      <c r="H98" s="335">
        <v>0</v>
      </c>
      <c r="I98" s="334">
        <v>17</v>
      </c>
      <c r="J98" s="337">
        <v>1</v>
      </c>
      <c r="K98" s="333">
        <v>587</v>
      </c>
      <c r="L98" s="334">
        <v>0</v>
      </c>
      <c r="M98" s="335">
        <v>0</v>
      </c>
      <c r="N98" s="334">
        <v>0</v>
      </c>
      <c r="O98" s="337">
        <v>0</v>
      </c>
      <c r="P98" s="333">
        <v>587</v>
      </c>
      <c r="Q98" s="334">
        <v>12</v>
      </c>
      <c r="R98" s="335">
        <v>12</v>
      </c>
      <c r="S98" s="334">
        <v>1</v>
      </c>
      <c r="T98" s="337">
        <v>12</v>
      </c>
      <c r="U98" s="336">
        <v>576</v>
      </c>
      <c r="V98" s="334">
        <v>0</v>
      </c>
      <c r="W98" s="335">
        <v>9</v>
      </c>
      <c r="X98" s="334">
        <v>0</v>
      </c>
      <c r="Y98" s="335">
        <v>8</v>
      </c>
      <c r="Z98" s="333">
        <v>575</v>
      </c>
      <c r="AA98" s="334">
        <v>0</v>
      </c>
      <c r="AB98" s="335">
        <v>9</v>
      </c>
      <c r="AC98" s="334">
        <v>0</v>
      </c>
      <c r="AD98" s="335">
        <v>9</v>
      </c>
      <c r="AE98" s="333">
        <v>575</v>
      </c>
    </row>
    <row r="99" spans="2:31">
      <c r="B99" s="319"/>
      <c r="C99" s="321"/>
      <c r="D99" s="326"/>
      <c r="E99" s="351" t="s">
        <v>86</v>
      </c>
      <c r="F99" s="333">
        <v>0</v>
      </c>
      <c r="G99" s="334">
        <v>0</v>
      </c>
      <c r="H99" s="335">
        <v>0</v>
      </c>
      <c r="I99" s="334">
        <v>0</v>
      </c>
      <c r="J99" s="337">
        <v>0</v>
      </c>
      <c r="K99" s="333">
        <v>0</v>
      </c>
      <c r="L99" s="334">
        <v>0</v>
      </c>
      <c r="M99" s="335">
        <v>0</v>
      </c>
      <c r="N99" s="334">
        <v>0</v>
      </c>
      <c r="O99" s="337">
        <v>0</v>
      </c>
      <c r="P99" s="333">
        <v>0</v>
      </c>
      <c r="Q99" s="334">
        <v>0</v>
      </c>
      <c r="R99" s="335">
        <v>0</v>
      </c>
      <c r="S99" s="334">
        <v>0</v>
      </c>
      <c r="T99" s="337">
        <v>0</v>
      </c>
      <c r="U99" s="336">
        <v>0</v>
      </c>
      <c r="V99" s="334">
        <v>0</v>
      </c>
      <c r="W99" s="335">
        <v>0</v>
      </c>
      <c r="X99" s="334">
        <v>0</v>
      </c>
      <c r="Y99" s="335">
        <v>0</v>
      </c>
      <c r="Z99" s="333">
        <v>0</v>
      </c>
      <c r="AA99" s="334">
        <v>0</v>
      </c>
      <c r="AB99" s="335">
        <v>0</v>
      </c>
      <c r="AC99" s="334">
        <v>0</v>
      </c>
      <c r="AD99" s="335">
        <v>0</v>
      </c>
      <c r="AE99" s="333">
        <v>0</v>
      </c>
    </row>
    <row r="100" spans="2:31">
      <c r="B100" s="319"/>
      <c r="C100" s="321"/>
      <c r="D100" s="326"/>
      <c r="E100" s="351" t="s">
        <v>87</v>
      </c>
      <c r="F100" s="333">
        <v>0</v>
      </c>
      <c r="G100" s="334">
        <v>0</v>
      </c>
      <c r="H100" s="335">
        <v>0</v>
      </c>
      <c r="I100" s="334">
        <v>0</v>
      </c>
      <c r="J100" s="337">
        <v>0</v>
      </c>
      <c r="K100" s="333">
        <v>0</v>
      </c>
      <c r="L100" s="334">
        <v>0</v>
      </c>
      <c r="M100" s="335">
        <v>0</v>
      </c>
      <c r="N100" s="334">
        <v>0</v>
      </c>
      <c r="O100" s="337">
        <v>0</v>
      </c>
      <c r="P100" s="333">
        <v>0</v>
      </c>
      <c r="Q100" s="334">
        <v>0</v>
      </c>
      <c r="R100" s="335">
        <v>0</v>
      </c>
      <c r="S100" s="334">
        <v>0</v>
      </c>
      <c r="T100" s="337">
        <v>0</v>
      </c>
      <c r="U100" s="336">
        <v>0</v>
      </c>
      <c r="V100" s="334">
        <v>0</v>
      </c>
      <c r="W100" s="335">
        <v>0</v>
      </c>
      <c r="X100" s="334">
        <v>0</v>
      </c>
      <c r="Y100" s="335">
        <v>0</v>
      </c>
      <c r="Z100" s="333">
        <v>0</v>
      </c>
      <c r="AA100" s="334">
        <v>0</v>
      </c>
      <c r="AB100" s="335">
        <v>0</v>
      </c>
      <c r="AC100" s="334">
        <v>0</v>
      </c>
      <c r="AD100" s="335">
        <v>0</v>
      </c>
      <c r="AE100" s="333">
        <v>0</v>
      </c>
    </row>
    <row r="101" spans="2:31">
      <c r="B101" s="319"/>
      <c r="C101" s="321"/>
      <c r="D101" s="326"/>
      <c r="E101" s="351" t="s">
        <v>88</v>
      </c>
      <c r="F101" s="333">
        <v>51</v>
      </c>
      <c r="G101" s="334">
        <v>0</v>
      </c>
      <c r="H101" s="335">
        <v>0</v>
      </c>
      <c r="I101" s="334">
        <v>0</v>
      </c>
      <c r="J101" s="337">
        <v>0</v>
      </c>
      <c r="K101" s="333">
        <v>51</v>
      </c>
      <c r="L101" s="334">
        <v>1</v>
      </c>
      <c r="M101" s="335">
        <v>0</v>
      </c>
      <c r="N101" s="334">
        <v>5</v>
      </c>
      <c r="O101" s="337">
        <v>0</v>
      </c>
      <c r="P101" s="333">
        <v>55</v>
      </c>
      <c r="Q101" s="334">
        <v>2</v>
      </c>
      <c r="R101" s="335">
        <v>0</v>
      </c>
      <c r="S101" s="334">
        <v>1</v>
      </c>
      <c r="T101" s="337">
        <v>0</v>
      </c>
      <c r="U101" s="336">
        <v>54</v>
      </c>
      <c r="V101" s="334">
        <v>0</v>
      </c>
      <c r="W101" s="335">
        <v>0</v>
      </c>
      <c r="X101" s="334">
        <v>0</v>
      </c>
      <c r="Y101" s="335">
        <v>0</v>
      </c>
      <c r="Z101" s="333">
        <v>54</v>
      </c>
      <c r="AA101" s="334">
        <v>0</v>
      </c>
      <c r="AB101" s="335">
        <v>0</v>
      </c>
      <c r="AC101" s="334">
        <v>0</v>
      </c>
      <c r="AD101" s="335">
        <v>0</v>
      </c>
      <c r="AE101" s="333">
        <v>54</v>
      </c>
    </row>
    <row r="102" spans="2:31">
      <c r="B102" s="319"/>
      <c r="C102" s="321"/>
      <c r="D102" s="326"/>
      <c r="E102" s="351" t="s">
        <v>89</v>
      </c>
      <c r="F102" s="333">
        <v>2013</v>
      </c>
      <c r="G102" s="334">
        <v>0</v>
      </c>
      <c r="H102" s="335">
        <v>0</v>
      </c>
      <c r="I102" s="334">
        <v>2</v>
      </c>
      <c r="J102" s="337">
        <v>0</v>
      </c>
      <c r="K102" s="333">
        <v>2015</v>
      </c>
      <c r="L102" s="334">
        <v>0</v>
      </c>
      <c r="M102" s="335">
        <v>0</v>
      </c>
      <c r="N102" s="334">
        <v>2</v>
      </c>
      <c r="O102" s="337">
        <v>0</v>
      </c>
      <c r="P102" s="333">
        <v>2017</v>
      </c>
      <c r="Q102" s="334">
        <v>0</v>
      </c>
      <c r="R102" s="335">
        <v>17</v>
      </c>
      <c r="S102" s="334">
        <v>2</v>
      </c>
      <c r="T102" s="337">
        <v>42</v>
      </c>
      <c r="U102" s="336">
        <v>2044</v>
      </c>
      <c r="V102" s="334">
        <v>0</v>
      </c>
      <c r="W102" s="335">
        <v>0</v>
      </c>
      <c r="X102" s="334">
        <v>0</v>
      </c>
      <c r="Y102" s="335">
        <v>0</v>
      </c>
      <c r="Z102" s="333">
        <v>2044</v>
      </c>
      <c r="AA102" s="334">
        <v>0</v>
      </c>
      <c r="AB102" s="335">
        <v>0</v>
      </c>
      <c r="AC102" s="334">
        <v>0</v>
      </c>
      <c r="AD102" s="335">
        <v>0</v>
      </c>
      <c r="AE102" s="333">
        <v>2044</v>
      </c>
    </row>
    <row r="103" spans="2:31">
      <c r="B103" s="319"/>
      <c r="C103" s="321"/>
      <c r="D103" s="326"/>
      <c r="E103" s="351" t="s">
        <v>90</v>
      </c>
      <c r="F103" s="333">
        <v>0</v>
      </c>
      <c r="G103" s="334">
        <v>0</v>
      </c>
      <c r="H103" s="335">
        <v>0</v>
      </c>
      <c r="I103" s="334">
        <v>0</v>
      </c>
      <c r="J103" s="337">
        <v>0</v>
      </c>
      <c r="K103" s="333">
        <v>0</v>
      </c>
      <c r="L103" s="334">
        <v>0</v>
      </c>
      <c r="M103" s="335">
        <v>0</v>
      </c>
      <c r="N103" s="334">
        <v>0</v>
      </c>
      <c r="O103" s="337">
        <v>0</v>
      </c>
      <c r="P103" s="333">
        <v>0</v>
      </c>
      <c r="Q103" s="334">
        <v>0</v>
      </c>
      <c r="R103" s="335">
        <v>0</v>
      </c>
      <c r="S103" s="334">
        <v>0</v>
      </c>
      <c r="T103" s="337">
        <v>0</v>
      </c>
      <c r="U103" s="336">
        <v>0</v>
      </c>
      <c r="V103" s="334">
        <v>0</v>
      </c>
      <c r="W103" s="335">
        <v>0</v>
      </c>
      <c r="X103" s="334">
        <v>0</v>
      </c>
      <c r="Y103" s="335">
        <v>0</v>
      </c>
      <c r="Z103" s="333">
        <v>0</v>
      </c>
      <c r="AA103" s="334">
        <v>0</v>
      </c>
      <c r="AB103" s="335">
        <v>0</v>
      </c>
      <c r="AC103" s="334">
        <v>0</v>
      </c>
      <c r="AD103" s="335">
        <v>0</v>
      </c>
      <c r="AE103" s="333">
        <v>0</v>
      </c>
    </row>
    <row r="104" spans="2:31">
      <c r="B104" s="319"/>
      <c r="C104" s="321"/>
      <c r="D104" s="326"/>
      <c r="E104" s="351" t="s">
        <v>91</v>
      </c>
      <c r="F104" s="333">
        <v>0</v>
      </c>
      <c r="G104" s="334">
        <v>0</v>
      </c>
      <c r="H104" s="335">
        <v>0</v>
      </c>
      <c r="I104" s="334">
        <v>0</v>
      </c>
      <c r="J104" s="337">
        <v>0</v>
      </c>
      <c r="K104" s="333">
        <v>0</v>
      </c>
      <c r="L104" s="334">
        <v>0</v>
      </c>
      <c r="M104" s="335">
        <v>0</v>
      </c>
      <c r="N104" s="334">
        <v>0</v>
      </c>
      <c r="O104" s="337">
        <v>0</v>
      </c>
      <c r="P104" s="333">
        <v>0</v>
      </c>
      <c r="Q104" s="334">
        <v>0</v>
      </c>
      <c r="R104" s="335">
        <v>0</v>
      </c>
      <c r="S104" s="334">
        <v>0</v>
      </c>
      <c r="T104" s="337">
        <v>0</v>
      </c>
      <c r="U104" s="336">
        <v>0</v>
      </c>
      <c r="V104" s="334">
        <v>0</v>
      </c>
      <c r="W104" s="335">
        <v>0</v>
      </c>
      <c r="X104" s="334">
        <v>0</v>
      </c>
      <c r="Y104" s="335">
        <v>0</v>
      </c>
      <c r="Z104" s="333">
        <v>0</v>
      </c>
      <c r="AA104" s="334">
        <v>0</v>
      </c>
      <c r="AB104" s="335">
        <v>0</v>
      </c>
      <c r="AC104" s="334">
        <v>0</v>
      </c>
      <c r="AD104" s="335">
        <v>0</v>
      </c>
      <c r="AE104" s="333">
        <v>0</v>
      </c>
    </row>
    <row r="105" spans="2:31">
      <c r="B105" s="319"/>
      <c r="C105" s="321"/>
      <c r="D105" s="326"/>
      <c r="E105" s="321"/>
      <c r="F105" s="338"/>
      <c r="G105" s="339"/>
      <c r="H105" s="340"/>
      <c r="I105" s="339"/>
      <c r="J105" s="341"/>
      <c r="K105" s="338"/>
      <c r="L105" s="339"/>
      <c r="M105" s="340"/>
      <c r="N105" s="339"/>
      <c r="O105" s="341"/>
      <c r="P105" s="338"/>
      <c r="Q105" s="339"/>
      <c r="R105" s="340"/>
      <c r="S105" s="339"/>
      <c r="T105" s="341"/>
      <c r="U105" s="342"/>
      <c r="V105" s="339"/>
      <c r="W105" s="340"/>
      <c r="X105" s="339"/>
      <c r="Y105" s="340"/>
      <c r="Z105" s="338"/>
      <c r="AA105" s="339"/>
      <c r="AB105" s="340"/>
      <c r="AC105" s="339"/>
      <c r="AD105" s="340"/>
      <c r="AE105" s="338"/>
    </row>
    <row r="106" spans="2:31">
      <c r="B106" s="319"/>
      <c r="C106" s="321"/>
      <c r="D106" s="326" t="s">
        <v>226</v>
      </c>
      <c r="E106" s="321"/>
      <c r="F106" s="338"/>
      <c r="G106" s="339"/>
      <c r="H106" s="340"/>
      <c r="I106" s="339"/>
      <c r="J106" s="341"/>
      <c r="K106" s="338"/>
      <c r="L106" s="339"/>
      <c r="M106" s="340"/>
      <c r="N106" s="339"/>
      <c r="O106" s="341"/>
      <c r="P106" s="338"/>
      <c r="Q106" s="339"/>
      <c r="R106" s="340"/>
      <c r="S106" s="339"/>
      <c r="T106" s="341"/>
      <c r="U106" s="342"/>
      <c r="V106" s="339"/>
      <c r="W106" s="340"/>
      <c r="X106" s="339"/>
      <c r="Y106" s="340"/>
      <c r="Z106" s="338"/>
      <c r="AA106" s="339"/>
      <c r="AB106" s="340"/>
      <c r="AC106" s="339"/>
      <c r="AD106" s="340"/>
      <c r="AE106" s="338"/>
    </row>
    <row r="107" spans="2:31">
      <c r="B107" s="319"/>
      <c r="C107" s="321"/>
      <c r="D107" s="321"/>
      <c r="E107" s="351" t="s">
        <v>92</v>
      </c>
      <c r="F107" s="333">
        <v>0</v>
      </c>
      <c r="G107" s="334">
        <v>0</v>
      </c>
      <c r="H107" s="335">
        <v>0</v>
      </c>
      <c r="I107" s="334">
        <v>0</v>
      </c>
      <c r="J107" s="337">
        <v>0</v>
      </c>
      <c r="K107" s="333">
        <v>0</v>
      </c>
      <c r="L107" s="334">
        <v>0</v>
      </c>
      <c r="M107" s="335">
        <v>0</v>
      </c>
      <c r="N107" s="334">
        <v>0</v>
      </c>
      <c r="O107" s="337">
        <v>0</v>
      </c>
      <c r="P107" s="333">
        <v>0</v>
      </c>
      <c r="Q107" s="334">
        <v>0</v>
      </c>
      <c r="R107" s="335">
        <v>0</v>
      </c>
      <c r="S107" s="334">
        <v>0</v>
      </c>
      <c r="T107" s="337">
        <v>0</v>
      </c>
      <c r="U107" s="336">
        <v>0</v>
      </c>
      <c r="V107" s="334">
        <v>0</v>
      </c>
      <c r="W107" s="335">
        <v>0</v>
      </c>
      <c r="X107" s="334">
        <v>0</v>
      </c>
      <c r="Y107" s="335">
        <v>0</v>
      </c>
      <c r="Z107" s="333">
        <v>0</v>
      </c>
      <c r="AA107" s="334">
        <v>0</v>
      </c>
      <c r="AB107" s="335">
        <v>0</v>
      </c>
      <c r="AC107" s="334">
        <v>0</v>
      </c>
      <c r="AD107" s="335">
        <v>0</v>
      </c>
      <c r="AE107" s="333">
        <v>0</v>
      </c>
    </row>
    <row r="108" spans="2:31">
      <c r="B108" s="319"/>
      <c r="C108" s="321"/>
      <c r="D108" s="321"/>
      <c r="E108" s="351" t="s">
        <v>93</v>
      </c>
      <c r="F108" s="333">
        <v>702</v>
      </c>
      <c r="G108" s="334">
        <v>0</v>
      </c>
      <c r="H108" s="335">
        <v>0</v>
      </c>
      <c r="I108" s="334">
        <v>11</v>
      </c>
      <c r="J108" s="337">
        <v>0</v>
      </c>
      <c r="K108" s="333">
        <v>713</v>
      </c>
      <c r="L108" s="334">
        <v>3</v>
      </c>
      <c r="M108" s="335">
        <v>3</v>
      </c>
      <c r="N108" s="334">
        <v>6</v>
      </c>
      <c r="O108" s="337">
        <v>3</v>
      </c>
      <c r="P108" s="333">
        <v>716</v>
      </c>
      <c r="Q108" s="334">
        <v>0</v>
      </c>
      <c r="R108" s="335">
        <v>0</v>
      </c>
      <c r="S108" s="334">
        <v>0</v>
      </c>
      <c r="T108" s="337">
        <v>1</v>
      </c>
      <c r="U108" s="336">
        <v>717</v>
      </c>
      <c r="V108" s="334">
        <v>0</v>
      </c>
      <c r="W108" s="335">
        <v>5</v>
      </c>
      <c r="X108" s="334">
        <v>0</v>
      </c>
      <c r="Y108" s="335">
        <v>5</v>
      </c>
      <c r="Z108" s="333">
        <v>717</v>
      </c>
      <c r="AA108" s="334">
        <v>2</v>
      </c>
      <c r="AB108" s="335">
        <v>0</v>
      </c>
      <c r="AC108" s="334">
        <v>2</v>
      </c>
      <c r="AD108" s="335">
        <v>0</v>
      </c>
      <c r="AE108" s="333">
        <v>717</v>
      </c>
    </row>
    <row r="109" spans="2:31">
      <c r="B109" s="319"/>
      <c r="C109" s="321"/>
      <c r="D109" s="321"/>
      <c r="E109" s="321" t="s">
        <v>94</v>
      </c>
      <c r="F109" s="333">
        <v>645</v>
      </c>
      <c r="G109" s="334">
        <v>0</v>
      </c>
      <c r="H109" s="335">
        <v>0</v>
      </c>
      <c r="I109" s="334">
        <v>5</v>
      </c>
      <c r="J109" s="337">
        <v>0</v>
      </c>
      <c r="K109" s="333">
        <v>650</v>
      </c>
      <c r="L109" s="334">
        <v>2</v>
      </c>
      <c r="M109" s="335">
        <v>0</v>
      </c>
      <c r="N109" s="334">
        <v>0</v>
      </c>
      <c r="O109" s="337">
        <v>0</v>
      </c>
      <c r="P109" s="333">
        <v>648</v>
      </c>
      <c r="Q109" s="334">
        <v>0</v>
      </c>
      <c r="R109" s="335">
        <v>13</v>
      </c>
      <c r="S109" s="334">
        <v>0</v>
      </c>
      <c r="T109" s="337">
        <v>16</v>
      </c>
      <c r="U109" s="336">
        <v>651</v>
      </c>
      <c r="V109" s="334">
        <v>0</v>
      </c>
      <c r="W109" s="335">
        <v>0</v>
      </c>
      <c r="X109" s="334">
        <v>0</v>
      </c>
      <c r="Y109" s="335">
        <v>0</v>
      </c>
      <c r="Z109" s="333">
        <v>651</v>
      </c>
      <c r="AA109" s="334">
        <v>0</v>
      </c>
      <c r="AB109" s="335">
        <v>0</v>
      </c>
      <c r="AC109" s="334">
        <v>0</v>
      </c>
      <c r="AD109" s="335">
        <v>0</v>
      </c>
      <c r="AE109" s="333">
        <v>651</v>
      </c>
    </row>
    <row r="110" spans="2:31">
      <c r="B110" s="319"/>
      <c r="C110" s="321"/>
      <c r="D110" s="321"/>
      <c r="E110" s="351" t="s">
        <v>274</v>
      </c>
      <c r="F110" s="333">
        <v>0</v>
      </c>
      <c r="G110" s="334">
        <v>0</v>
      </c>
      <c r="H110" s="335">
        <v>0</v>
      </c>
      <c r="I110" s="334">
        <v>0</v>
      </c>
      <c r="J110" s="337">
        <v>0</v>
      </c>
      <c r="K110" s="333">
        <v>0</v>
      </c>
      <c r="L110" s="334">
        <v>0</v>
      </c>
      <c r="M110" s="335">
        <v>0</v>
      </c>
      <c r="N110" s="334">
        <v>0</v>
      </c>
      <c r="O110" s="337">
        <v>0</v>
      </c>
      <c r="P110" s="333">
        <v>0</v>
      </c>
      <c r="Q110" s="334">
        <v>0</v>
      </c>
      <c r="R110" s="335">
        <v>0</v>
      </c>
      <c r="S110" s="334">
        <v>0</v>
      </c>
      <c r="T110" s="337">
        <v>0</v>
      </c>
      <c r="U110" s="336">
        <v>0</v>
      </c>
      <c r="V110" s="334">
        <v>0</v>
      </c>
      <c r="W110" s="335">
        <v>0</v>
      </c>
      <c r="X110" s="334">
        <v>0</v>
      </c>
      <c r="Y110" s="335">
        <v>0</v>
      </c>
      <c r="Z110" s="333">
        <v>0</v>
      </c>
      <c r="AA110" s="334">
        <v>0</v>
      </c>
      <c r="AB110" s="335">
        <v>0</v>
      </c>
      <c r="AC110" s="334">
        <v>0</v>
      </c>
      <c r="AD110" s="335">
        <v>0</v>
      </c>
      <c r="AE110" s="333">
        <v>0</v>
      </c>
    </row>
    <row r="111" spans="2:31">
      <c r="B111" s="319"/>
      <c r="C111" s="321"/>
      <c r="D111" s="326"/>
      <c r="E111" s="321" t="s">
        <v>275</v>
      </c>
      <c r="F111" s="333">
        <v>0</v>
      </c>
      <c r="G111" s="334">
        <v>0</v>
      </c>
      <c r="H111" s="335">
        <v>0</v>
      </c>
      <c r="I111" s="334">
        <v>0</v>
      </c>
      <c r="J111" s="337">
        <v>0</v>
      </c>
      <c r="K111" s="333">
        <v>0</v>
      </c>
      <c r="L111" s="334">
        <v>0</v>
      </c>
      <c r="M111" s="335">
        <v>0</v>
      </c>
      <c r="N111" s="334">
        <v>0</v>
      </c>
      <c r="O111" s="337">
        <v>0</v>
      </c>
      <c r="P111" s="333">
        <v>0</v>
      </c>
      <c r="Q111" s="334">
        <v>0</v>
      </c>
      <c r="R111" s="335">
        <v>0</v>
      </c>
      <c r="S111" s="334">
        <v>0</v>
      </c>
      <c r="T111" s="337">
        <v>0</v>
      </c>
      <c r="U111" s="336">
        <v>0</v>
      </c>
      <c r="V111" s="334">
        <v>0</v>
      </c>
      <c r="W111" s="335">
        <v>0</v>
      </c>
      <c r="X111" s="334">
        <v>0</v>
      </c>
      <c r="Y111" s="335">
        <v>0</v>
      </c>
      <c r="Z111" s="333">
        <v>0</v>
      </c>
      <c r="AA111" s="334">
        <v>0</v>
      </c>
      <c r="AB111" s="335">
        <v>0</v>
      </c>
      <c r="AC111" s="334">
        <v>0</v>
      </c>
      <c r="AD111" s="335">
        <v>0</v>
      </c>
      <c r="AE111" s="333">
        <v>0</v>
      </c>
    </row>
    <row r="112" spans="2:31" ht="13.5" thickBot="1">
      <c r="B112" s="317"/>
      <c r="C112" s="318"/>
      <c r="D112" s="318"/>
      <c r="E112" s="318"/>
      <c r="F112" s="343"/>
      <c r="G112" s="344"/>
      <c r="H112" s="345"/>
      <c r="I112" s="344"/>
      <c r="J112" s="346"/>
      <c r="K112" s="347"/>
      <c r="L112" s="344"/>
      <c r="M112" s="345"/>
      <c r="N112" s="344"/>
      <c r="O112" s="346"/>
      <c r="P112" s="347"/>
      <c r="Q112" s="344"/>
      <c r="R112" s="345"/>
      <c r="S112" s="344"/>
      <c r="T112" s="346"/>
      <c r="U112" s="348"/>
      <c r="V112" s="344"/>
      <c r="W112" s="345"/>
      <c r="X112" s="344"/>
      <c r="Y112" s="345"/>
      <c r="Z112" s="347"/>
      <c r="AA112" s="344"/>
      <c r="AB112" s="345"/>
      <c r="AC112" s="344"/>
      <c r="AD112" s="345"/>
      <c r="AE112" s="347"/>
    </row>
    <row r="113" spans="2:31">
      <c r="B113" s="349"/>
      <c r="C113" s="350" t="s">
        <v>276</v>
      </c>
      <c r="D113" s="350"/>
      <c r="E113" s="351"/>
      <c r="F113" s="338"/>
      <c r="G113" s="339"/>
      <c r="H113" s="340"/>
      <c r="I113" s="339"/>
      <c r="J113" s="341"/>
      <c r="K113" s="338"/>
      <c r="L113" s="339"/>
      <c r="M113" s="340"/>
      <c r="N113" s="339"/>
      <c r="O113" s="341"/>
      <c r="P113" s="338"/>
      <c r="Q113" s="339"/>
      <c r="R113" s="340"/>
      <c r="S113" s="339"/>
      <c r="T113" s="341"/>
      <c r="U113" s="342"/>
      <c r="V113" s="339"/>
      <c r="W113" s="340"/>
      <c r="X113" s="339"/>
      <c r="Y113" s="340"/>
      <c r="Z113" s="338"/>
      <c r="AA113" s="339"/>
      <c r="AB113" s="340"/>
      <c r="AC113" s="339"/>
      <c r="AD113" s="340"/>
      <c r="AE113" s="338"/>
    </row>
    <row r="114" spans="2:31">
      <c r="B114" s="319"/>
      <c r="C114" s="321"/>
      <c r="D114" s="326" t="s">
        <v>263</v>
      </c>
      <c r="E114" s="321"/>
      <c r="F114" s="338"/>
      <c r="G114" s="339"/>
      <c r="H114" s="340"/>
      <c r="I114" s="339"/>
      <c r="J114" s="341"/>
      <c r="K114" s="338"/>
      <c r="L114" s="339"/>
      <c r="M114" s="340"/>
      <c r="N114" s="339"/>
      <c r="O114" s="341"/>
      <c r="P114" s="338"/>
      <c r="Q114" s="339"/>
      <c r="R114" s="340"/>
      <c r="S114" s="339"/>
      <c r="T114" s="341"/>
      <c r="U114" s="342"/>
      <c r="V114" s="339"/>
      <c r="W114" s="340"/>
      <c r="X114" s="339"/>
      <c r="Y114" s="340"/>
      <c r="Z114" s="338"/>
      <c r="AA114" s="339"/>
      <c r="AB114" s="340"/>
      <c r="AC114" s="339"/>
      <c r="AD114" s="340"/>
      <c r="AE114" s="338"/>
    </row>
    <row r="115" spans="2:31">
      <c r="B115" s="319"/>
      <c r="C115" s="321"/>
      <c r="D115" s="326"/>
      <c r="E115" s="321" t="s">
        <v>277</v>
      </c>
      <c r="F115" s="333">
        <v>143</v>
      </c>
      <c r="G115" s="334">
        <v>0</v>
      </c>
      <c r="H115" s="335">
        <v>1</v>
      </c>
      <c r="I115" s="334">
        <v>0</v>
      </c>
      <c r="J115" s="337">
        <v>1</v>
      </c>
      <c r="K115" s="333">
        <v>143</v>
      </c>
      <c r="L115" s="334">
        <v>5</v>
      </c>
      <c r="M115" s="335">
        <v>0</v>
      </c>
      <c r="N115" s="334">
        <v>0</v>
      </c>
      <c r="O115" s="337">
        <v>0</v>
      </c>
      <c r="P115" s="333">
        <v>138</v>
      </c>
      <c r="Q115" s="334">
        <v>0</v>
      </c>
      <c r="R115" s="335">
        <v>0</v>
      </c>
      <c r="S115" s="334">
        <v>0</v>
      </c>
      <c r="T115" s="337">
        <v>0</v>
      </c>
      <c r="U115" s="336">
        <v>138</v>
      </c>
      <c r="V115" s="334">
        <v>0</v>
      </c>
      <c r="W115" s="335">
        <v>0</v>
      </c>
      <c r="X115" s="334">
        <v>0</v>
      </c>
      <c r="Y115" s="335">
        <v>0</v>
      </c>
      <c r="Z115" s="333">
        <v>138</v>
      </c>
      <c r="AA115" s="334">
        <v>0</v>
      </c>
      <c r="AB115" s="335">
        <v>0</v>
      </c>
      <c r="AC115" s="334">
        <v>0</v>
      </c>
      <c r="AD115" s="335">
        <v>0</v>
      </c>
      <c r="AE115" s="333">
        <v>138</v>
      </c>
    </row>
    <row r="116" spans="2:31">
      <c r="B116" s="319"/>
      <c r="C116" s="321"/>
      <c r="D116" s="326"/>
      <c r="E116" s="321" t="s">
        <v>278</v>
      </c>
      <c r="F116" s="333">
        <v>2233</v>
      </c>
      <c r="G116" s="334">
        <v>0</v>
      </c>
      <c r="H116" s="335">
        <v>0</v>
      </c>
      <c r="I116" s="334">
        <v>0</v>
      </c>
      <c r="J116" s="337">
        <v>0</v>
      </c>
      <c r="K116" s="333">
        <v>2233</v>
      </c>
      <c r="L116" s="334">
        <v>0</v>
      </c>
      <c r="M116" s="335">
        <v>0</v>
      </c>
      <c r="N116" s="334">
        <v>13</v>
      </c>
      <c r="O116" s="337">
        <v>0</v>
      </c>
      <c r="P116" s="333">
        <v>2246</v>
      </c>
      <c r="Q116" s="334">
        <v>4</v>
      </c>
      <c r="R116" s="335">
        <v>8</v>
      </c>
      <c r="S116" s="334">
        <v>4</v>
      </c>
      <c r="T116" s="337">
        <v>8</v>
      </c>
      <c r="U116" s="336">
        <v>2246</v>
      </c>
      <c r="V116" s="334">
        <v>0</v>
      </c>
      <c r="W116" s="335">
        <v>130</v>
      </c>
      <c r="X116" s="334">
        <v>0</v>
      </c>
      <c r="Y116" s="335">
        <v>130</v>
      </c>
      <c r="Z116" s="333">
        <v>2246</v>
      </c>
      <c r="AA116" s="334">
        <v>0</v>
      </c>
      <c r="AB116" s="335">
        <v>130</v>
      </c>
      <c r="AC116" s="334">
        <v>0</v>
      </c>
      <c r="AD116" s="335">
        <v>130</v>
      </c>
      <c r="AE116" s="333">
        <v>2246</v>
      </c>
    </row>
    <row r="117" spans="2:31">
      <c r="B117" s="319"/>
      <c r="C117" s="321"/>
      <c r="D117" s="326"/>
      <c r="E117" s="351"/>
      <c r="F117" s="338"/>
      <c r="G117" s="339"/>
      <c r="H117" s="340"/>
      <c r="I117" s="339"/>
      <c r="J117" s="341"/>
      <c r="K117" s="338"/>
      <c r="L117" s="339"/>
      <c r="M117" s="340"/>
      <c r="N117" s="339"/>
      <c r="O117" s="341"/>
      <c r="P117" s="338"/>
      <c r="Q117" s="339"/>
      <c r="R117" s="340"/>
      <c r="S117" s="339"/>
      <c r="T117" s="341"/>
      <c r="U117" s="342"/>
      <c r="V117" s="339"/>
      <c r="W117" s="340"/>
      <c r="X117" s="339"/>
      <c r="Y117" s="340"/>
      <c r="Z117" s="338"/>
      <c r="AA117" s="339"/>
      <c r="AB117" s="340"/>
      <c r="AC117" s="339"/>
      <c r="AD117" s="340"/>
      <c r="AE117" s="338"/>
    </row>
    <row r="118" spans="2:31">
      <c r="B118" s="319"/>
      <c r="C118" s="321"/>
      <c r="D118" s="326" t="s">
        <v>429</v>
      </c>
      <c r="E118" s="321"/>
      <c r="F118" s="338"/>
      <c r="G118" s="339"/>
      <c r="H118" s="340"/>
      <c r="I118" s="339"/>
      <c r="J118" s="341"/>
      <c r="K118" s="338"/>
      <c r="L118" s="339"/>
      <c r="M118" s="340"/>
      <c r="N118" s="339"/>
      <c r="O118" s="341"/>
      <c r="P118" s="338"/>
      <c r="Q118" s="339"/>
      <c r="R118" s="340"/>
      <c r="S118" s="339"/>
      <c r="T118" s="341"/>
      <c r="U118" s="342"/>
      <c r="V118" s="339"/>
      <c r="W118" s="340"/>
      <c r="X118" s="339"/>
      <c r="Y118" s="340"/>
      <c r="Z118" s="338"/>
      <c r="AA118" s="339"/>
      <c r="AB118" s="340"/>
      <c r="AC118" s="339"/>
      <c r="AD118" s="340"/>
      <c r="AE118" s="338"/>
    </row>
    <row r="119" spans="2:31">
      <c r="B119" s="319"/>
      <c r="C119" s="321"/>
      <c r="D119" s="326"/>
      <c r="E119" s="321" t="s">
        <v>279</v>
      </c>
      <c r="F119" s="333">
        <v>56</v>
      </c>
      <c r="G119" s="334">
        <v>0</v>
      </c>
      <c r="H119" s="335">
        <v>0</v>
      </c>
      <c r="I119" s="334">
        <v>0</v>
      </c>
      <c r="J119" s="337">
        <v>0</v>
      </c>
      <c r="K119" s="333">
        <v>56</v>
      </c>
      <c r="L119" s="334">
        <v>0</v>
      </c>
      <c r="M119" s="335">
        <v>0</v>
      </c>
      <c r="N119" s="334">
        <v>0</v>
      </c>
      <c r="O119" s="337">
        <v>0</v>
      </c>
      <c r="P119" s="333">
        <v>56</v>
      </c>
      <c r="Q119" s="334">
        <v>0</v>
      </c>
      <c r="R119" s="335">
        <v>0</v>
      </c>
      <c r="S119" s="334">
        <v>0</v>
      </c>
      <c r="T119" s="337">
        <v>0</v>
      </c>
      <c r="U119" s="336">
        <v>56</v>
      </c>
      <c r="V119" s="334">
        <v>0</v>
      </c>
      <c r="W119" s="335">
        <v>0</v>
      </c>
      <c r="X119" s="334">
        <v>0</v>
      </c>
      <c r="Y119" s="335">
        <v>0</v>
      </c>
      <c r="Z119" s="333">
        <v>56</v>
      </c>
      <c r="AA119" s="334">
        <v>0</v>
      </c>
      <c r="AB119" s="335">
        <v>0</v>
      </c>
      <c r="AC119" s="334">
        <v>0</v>
      </c>
      <c r="AD119" s="335">
        <v>0</v>
      </c>
      <c r="AE119" s="333">
        <v>56</v>
      </c>
    </row>
    <row r="120" spans="2:31">
      <c r="B120" s="319"/>
      <c r="C120" s="321"/>
      <c r="D120" s="326"/>
      <c r="E120" s="321" t="s">
        <v>280</v>
      </c>
      <c r="F120" s="333">
        <v>4569</v>
      </c>
      <c r="G120" s="334">
        <v>0</v>
      </c>
      <c r="H120" s="335">
        <v>7</v>
      </c>
      <c r="I120" s="334">
        <v>0</v>
      </c>
      <c r="J120" s="337">
        <v>7</v>
      </c>
      <c r="K120" s="333">
        <v>4569</v>
      </c>
      <c r="L120" s="334">
        <v>7</v>
      </c>
      <c r="M120" s="335">
        <v>0</v>
      </c>
      <c r="N120" s="334">
        <v>0</v>
      </c>
      <c r="O120" s="337">
        <v>0</v>
      </c>
      <c r="P120" s="333">
        <v>4562</v>
      </c>
      <c r="Q120" s="334">
        <v>0</v>
      </c>
      <c r="R120" s="335">
        <v>0</v>
      </c>
      <c r="S120" s="334">
        <v>0</v>
      </c>
      <c r="T120" s="337">
        <v>0</v>
      </c>
      <c r="U120" s="336">
        <v>4562</v>
      </c>
      <c r="V120" s="334">
        <v>0</v>
      </c>
      <c r="W120" s="335">
        <v>5</v>
      </c>
      <c r="X120" s="334">
        <v>0</v>
      </c>
      <c r="Y120" s="335">
        <v>5</v>
      </c>
      <c r="Z120" s="333">
        <v>4562</v>
      </c>
      <c r="AA120" s="334">
        <v>0</v>
      </c>
      <c r="AB120" s="335">
        <v>4</v>
      </c>
      <c r="AC120" s="334">
        <v>0</v>
      </c>
      <c r="AD120" s="335">
        <v>4</v>
      </c>
      <c r="AE120" s="333">
        <v>4562</v>
      </c>
    </row>
    <row r="121" spans="2:31">
      <c r="B121" s="319"/>
      <c r="C121" s="321"/>
      <c r="D121" s="326"/>
      <c r="E121" s="351" t="s">
        <v>143</v>
      </c>
      <c r="F121" s="333">
        <v>9138</v>
      </c>
      <c r="G121" s="334">
        <v>0</v>
      </c>
      <c r="H121" s="335">
        <v>0</v>
      </c>
      <c r="I121" s="334">
        <v>0</v>
      </c>
      <c r="J121" s="337">
        <v>0</v>
      </c>
      <c r="K121" s="333">
        <v>9138</v>
      </c>
      <c r="L121" s="334">
        <v>14</v>
      </c>
      <c r="M121" s="335">
        <v>0</v>
      </c>
      <c r="N121" s="334">
        <v>0</v>
      </c>
      <c r="O121" s="337">
        <v>0</v>
      </c>
      <c r="P121" s="333">
        <v>9124</v>
      </c>
      <c r="Q121" s="334">
        <v>0</v>
      </c>
      <c r="R121" s="335">
        <v>0</v>
      </c>
      <c r="S121" s="334">
        <v>0</v>
      </c>
      <c r="T121" s="337">
        <v>0</v>
      </c>
      <c r="U121" s="336">
        <v>9124</v>
      </c>
      <c r="V121" s="334">
        <v>0</v>
      </c>
      <c r="W121" s="335">
        <v>49</v>
      </c>
      <c r="X121" s="334">
        <v>0</v>
      </c>
      <c r="Y121" s="335">
        <v>49</v>
      </c>
      <c r="Z121" s="333">
        <v>9124</v>
      </c>
      <c r="AA121" s="334">
        <v>0</v>
      </c>
      <c r="AB121" s="335">
        <v>45</v>
      </c>
      <c r="AC121" s="334">
        <v>0</v>
      </c>
      <c r="AD121" s="335">
        <v>45</v>
      </c>
      <c r="AE121" s="333">
        <v>9124</v>
      </c>
    </row>
    <row r="122" spans="2:31">
      <c r="B122" s="319"/>
      <c r="C122" s="321"/>
      <c r="D122" s="321"/>
      <c r="E122" s="321"/>
      <c r="F122" s="338"/>
      <c r="G122" s="339"/>
      <c r="H122" s="340"/>
      <c r="I122" s="339"/>
      <c r="J122" s="341"/>
      <c r="K122" s="338"/>
      <c r="L122" s="339"/>
      <c r="M122" s="340"/>
      <c r="N122" s="339"/>
      <c r="O122" s="341"/>
      <c r="P122" s="338"/>
      <c r="Q122" s="339"/>
      <c r="R122" s="340"/>
      <c r="S122" s="339"/>
      <c r="T122" s="341"/>
      <c r="U122" s="342"/>
      <c r="V122" s="339"/>
      <c r="W122" s="340"/>
      <c r="X122" s="339"/>
      <c r="Y122" s="340"/>
      <c r="Z122" s="338"/>
      <c r="AA122" s="339"/>
      <c r="AB122" s="340"/>
      <c r="AC122" s="339"/>
      <c r="AD122" s="340"/>
      <c r="AE122" s="338"/>
    </row>
    <row r="123" spans="2:31">
      <c r="B123" s="319"/>
      <c r="C123" s="321"/>
      <c r="D123" s="326" t="s">
        <v>454</v>
      </c>
      <c r="E123" s="321"/>
      <c r="F123" s="338"/>
      <c r="G123" s="339"/>
      <c r="H123" s="340"/>
      <c r="I123" s="339"/>
      <c r="J123" s="341"/>
      <c r="K123" s="338"/>
      <c r="L123" s="339"/>
      <c r="M123" s="340"/>
      <c r="N123" s="339"/>
      <c r="O123" s="341"/>
      <c r="P123" s="338"/>
      <c r="Q123" s="339"/>
      <c r="R123" s="340"/>
      <c r="S123" s="339"/>
      <c r="T123" s="341"/>
      <c r="U123" s="342"/>
      <c r="V123" s="339"/>
      <c r="W123" s="340"/>
      <c r="X123" s="339"/>
      <c r="Y123" s="340"/>
      <c r="Z123" s="338"/>
      <c r="AA123" s="339"/>
      <c r="AB123" s="340"/>
      <c r="AC123" s="339"/>
      <c r="AD123" s="340"/>
      <c r="AE123" s="338"/>
    </row>
    <row r="124" spans="2:31">
      <c r="B124" s="319"/>
      <c r="C124" s="321"/>
      <c r="D124" s="321"/>
      <c r="E124" s="321" t="s">
        <v>393</v>
      </c>
      <c r="F124" s="333">
        <v>34</v>
      </c>
      <c r="G124" s="334">
        <v>0</v>
      </c>
      <c r="H124" s="335">
        <v>0</v>
      </c>
      <c r="I124" s="334">
        <v>0</v>
      </c>
      <c r="J124" s="337">
        <v>0</v>
      </c>
      <c r="K124" s="333">
        <v>34</v>
      </c>
      <c r="L124" s="334">
        <v>0</v>
      </c>
      <c r="M124" s="335">
        <v>0</v>
      </c>
      <c r="N124" s="334">
        <v>1</v>
      </c>
      <c r="O124" s="337">
        <v>0</v>
      </c>
      <c r="P124" s="333">
        <v>35</v>
      </c>
      <c r="Q124" s="334">
        <v>0</v>
      </c>
      <c r="R124" s="335">
        <v>0</v>
      </c>
      <c r="S124" s="334">
        <v>0</v>
      </c>
      <c r="T124" s="337">
        <v>0</v>
      </c>
      <c r="U124" s="336">
        <v>35</v>
      </c>
      <c r="V124" s="334">
        <v>0</v>
      </c>
      <c r="W124" s="335">
        <v>0</v>
      </c>
      <c r="X124" s="334">
        <v>7</v>
      </c>
      <c r="Y124" s="335">
        <v>0</v>
      </c>
      <c r="Z124" s="333">
        <v>42</v>
      </c>
      <c r="AA124" s="334">
        <v>0</v>
      </c>
      <c r="AB124" s="335">
        <v>0</v>
      </c>
      <c r="AC124" s="334">
        <v>0</v>
      </c>
      <c r="AD124" s="335">
        <v>0</v>
      </c>
      <c r="AE124" s="333">
        <v>42</v>
      </c>
    </row>
    <row r="125" spans="2:31">
      <c r="B125" s="319"/>
      <c r="C125" s="321"/>
      <c r="D125" s="321"/>
      <c r="E125" s="321" t="s">
        <v>392</v>
      </c>
      <c r="F125" s="333">
        <v>164</v>
      </c>
      <c r="G125" s="334">
        <v>0</v>
      </c>
      <c r="H125" s="335">
        <v>0</v>
      </c>
      <c r="I125" s="334">
        <v>0</v>
      </c>
      <c r="J125" s="337">
        <v>0</v>
      </c>
      <c r="K125" s="333">
        <v>164</v>
      </c>
      <c r="L125" s="334">
        <v>0</v>
      </c>
      <c r="M125" s="335">
        <v>0</v>
      </c>
      <c r="N125" s="334">
        <v>0</v>
      </c>
      <c r="O125" s="337">
        <v>0</v>
      </c>
      <c r="P125" s="333">
        <v>164</v>
      </c>
      <c r="Q125" s="334">
        <v>0</v>
      </c>
      <c r="R125" s="335">
        <v>0</v>
      </c>
      <c r="S125" s="334">
        <v>0</v>
      </c>
      <c r="T125" s="337">
        <v>0</v>
      </c>
      <c r="U125" s="336">
        <v>164</v>
      </c>
      <c r="V125" s="334">
        <v>0</v>
      </c>
      <c r="W125" s="335">
        <v>0</v>
      </c>
      <c r="X125" s="334">
        <v>0</v>
      </c>
      <c r="Y125" s="335">
        <v>0</v>
      </c>
      <c r="Z125" s="333">
        <v>164</v>
      </c>
      <c r="AA125" s="334">
        <v>0</v>
      </c>
      <c r="AB125" s="335">
        <v>0</v>
      </c>
      <c r="AC125" s="334">
        <v>0</v>
      </c>
      <c r="AD125" s="335">
        <v>0</v>
      </c>
      <c r="AE125" s="333">
        <v>164</v>
      </c>
    </row>
    <row r="126" spans="2:31">
      <c r="B126" s="319"/>
      <c r="C126" s="321"/>
      <c r="D126" s="321"/>
      <c r="E126" s="321" t="s">
        <v>356</v>
      </c>
      <c r="F126" s="333">
        <v>0</v>
      </c>
      <c r="G126" s="334">
        <v>0</v>
      </c>
      <c r="H126" s="335">
        <v>0</v>
      </c>
      <c r="I126" s="334">
        <v>0</v>
      </c>
      <c r="J126" s="337">
        <v>0</v>
      </c>
      <c r="K126" s="333">
        <v>0</v>
      </c>
      <c r="L126" s="334">
        <v>0</v>
      </c>
      <c r="M126" s="335">
        <v>0</v>
      </c>
      <c r="N126" s="334">
        <v>0</v>
      </c>
      <c r="O126" s="337">
        <v>0</v>
      </c>
      <c r="P126" s="333">
        <v>0</v>
      </c>
      <c r="Q126" s="334">
        <v>0</v>
      </c>
      <c r="R126" s="335">
        <v>0</v>
      </c>
      <c r="S126" s="334">
        <v>0</v>
      </c>
      <c r="T126" s="337">
        <v>0</v>
      </c>
      <c r="U126" s="336">
        <v>0</v>
      </c>
      <c r="V126" s="334">
        <v>0</v>
      </c>
      <c r="W126" s="335">
        <v>0</v>
      </c>
      <c r="X126" s="334">
        <v>0</v>
      </c>
      <c r="Y126" s="335">
        <v>0</v>
      </c>
      <c r="Z126" s="333">
        <v>0</v>
      </c>
      <c r="AA126" s="334">
        <v>0</v>
      </c>
      <c r="AB126" s="335">
        <v>0</v>
      </c>
      <c r="AC126" s="334">
        <v>0</v>
      </c>
      <c r="AD126" s="335">
        <v>0</v>
      </c>
      <c r="AE126" s="333">
        <v>0</v>
      </c>
    </row>
    <row r="127" spans="2:31">
      <c r="B127" s="319"/>
      <c r="C127" s="321"/>
      <c r="D127" s="321"/>
      <c r="E127" s="321"/>
      <c r="F127" s="338"/>
      <c r="G127" s="339"/>
      <c r="H127" s="340"/>
      <c r="I127" s="339"/>
      <c r="J127" s="341"/>
      <c r="K127" s="338"/>
      <c r="L127" s="339"/>
      <c r="M127" s="340"/>
      <c r="N127" s="339"/>
      <c r="O127" s="341"/>
      <c r="P127" s="338"/>
      <c r="Q127" s="339"/>
      <c r="R127" s="340"/>
      <c r="S127" s="339"/>
      <c r="T127" s="341"/>
      <c r="U127" s="342"/>
      <c r="V127" s="339"/>
      <c r="W127" s="340"/>
      <c r="X127" s="339"/>
      <c r="Y127" s="340"/>
      <c r="Z127" s="338"/>
      <c r="AA127" s="339"/>
      <c r="AB127" s="340"/>
      <c r="AC127" s="339"/>
      <c r="AD127" s="340"/>
      <c r="AE127" s="338"/>
    </row>
    <row r="128" spans="2:31">
      <c r="B128" s="319"/>
      <c r="C128" s="321"/>
      <c r="D128" s="326" t="s">
        <v>596</v>
      </c>
      <c r="E128" s="321"/>
      <c r="F128" s="338"/>
      <c r="G128" s="339"/>
      <c r="H128" s="340"/>
      <c r="I128" s="339"/>
      <c r="J128" s="341"/>
      <c r="K128" s="338"/>
      <c r="L128" s="339"/>
      <c r="M128" s="340"/>
      <c r="N128" s="339"/>
      <c r="O128" s="341"/>
      <c r="P128" s="338"/>
      <c r="Q128" s="339"/>
      <c r="R128" s="340"/>
      <c r="S128" s="339"/>
      <c r="T128" s="341"/>
      <c r="U128" s="342"/>
      <c r="V128" s="339"/>
      <c r="W128" s="340"/>
      <c r="X128" s="339"/>
      <c r="Y128" s="340"/>
      <c r="Z128" s="338"/>
      <c r="AA128" s="339"/>
      <c r="AB128" s="340"/>
      <c r="AC128" s="339"/>
      <c r="AD128" s="340"/>
      <c r="AE128" s="338"/>
    </row>
    <row r="129" spans="2:31">
      <c r="B129" s="319"/>
      <c r="C129" s="321"/>
      <c r="D129" s="321"/>
      <c r="E129" s="351" t="s">
        <v>357</v>
      </c>
      <c r="F129" s="333">
        <v>0</v>
      </c>
      <c r="G129" s="334">
        <v>0</v>
      </c>
      <c r="H129" s="335">
        <v>0</v>
      </c>
      <c r="I129" s="334">
        <v>0</v>
      </c>
      <c r="J129" s="337">
        <v>0</v>
      </c>
      <c r="K129" s="333">
        <v>0</v>
      </c>
      <c r="L129" s="334">
        <v>0</v>
      </c>
      <c r="M129" s="335">
        <v>0</v>
      </c>
      <c r="N129" s="334">
        <v>0</v>
      </c>
      <c r="O129" s="337">
        <v>0</v>
      </c>
      <c r="P129" s="333">
        <v>0</v>
      </c>
      <c r="Q129" s="334">
        <v>0</v>
      </c>
      <c r="R129" s="335">
        <v>0</v>
      </c>
      <c r="S129" s="334">
        <v>0</v>
      </c>
      <c r="T129" s="337">
        <v>0</v>
      </c>
      <c r="U129" s="336">
        <v>0</v>
      </c>
      <c r="V129" s="334">
        <v>0</v>
      </c>
      <c r="W129" s="335">
        <v>0</v>
      </c>
      <c r="X129" s="334">
        <v>0</v>
      </c>
      <c r="Y129" s="335">
        <v>0</v>
      </c>
      <c r="Z129" s="333">
        <v>0</v>
      </c>
      <c r="AA129" s="334">
        <v>0</v>
      </c>
      <c r="AB129" s="335">
        <v>0</v>
      </c>
      <c r="AC129" s="334">
        <v>0</v>
      </c>
      <c r="AD129" s="335">
        <v>0</v>
      </c>
      <c r="AE129" s="333">
        <v>0</v>
      </c>
    </row>
    <row r="130" spans="2:31">
      <c r="B130" s="319"/>
      <c r="C130" s="321"/>
      <c r="D130" s="321"/>
      <c r="E130" s="321"/>
      <c r="F130" s="338"/>
      <c r="G130" s="339"/>
      <c r="H130" s="340"/>
      <c r="I130" s="339"/>
      <c r="J130" s="341"/>
      <c r="K130" s="338"/>
      <c r="L130" s="339"/>
      <c r="M130" s="340"/>
      <c r="N130" s="339"/>
      <c r="O130" s="341"/>
      <c r="P130" s="338"/>
      <c r="Q130" s="339"/>
      <c r="R130" s="340"/>
      <c r="S130" s="339"/>
      <c r="T130" s="341"/>
      <c r="U130" s="342"/>
      <c r="V130" s="339"/>
      <c r="W130" s="340"/>
      <c r="X130" s="339"/>
      <c r="Y130" s="340"/>
      <c r="Z130" s="338"/>
      <c r="AA130" s="339"/>
      <c r="AB130" s="340"/>
      <c r="AC130" s="339"/>
      <c r="AD130" s="340"/>
      <c r="AE130" s="338"/>
    </row>
    <row r="131" spans="2:31">
      <c r="B131" s="319"/>
      <c r="C131" s="321"/>
      <c r="D131" s="326" t="s">
        <v>319</v>
      </c>
      <c r="E131" s="321"/>
      <c r="F131" s="338"/>
      <c r="G131" s="339"/>
      <c r="H131" s="340"/>
      <c r="I131" s="339"/>
      <c r="J131" s="341"/>
      <c r="K131" s="338"/>
      <c r="L131" s="339"/>
      <c r="M131" s="340"/>
      <c r="N131" s="339"/>
      <c r="O131" s="341"/>
      <c r="P131" s="338"/>
      <c r="Q131" s="339"/>
      <c r="R131" s="340"/>
      <c r="S131" s="339"/>
      <c r="T131" s="341"/>
      <c r="U131" s="342"/>
      <c r="V131" s="339"/>
      <c r="W131" s="340"/>
      <c r="X131" s="339"/>
      <c r="Y131" s="340"/>
      <c r="Z131" s="338"/>
      <c r="AA131" s="339"/>
      <c r="AB131" s="340"/>
      <c r="AC131" s="339"/>
      <c r="AD131" s="340"/>
      <c r="AE131" s="338"/>
    </row>
    <row r="132" spans="2:31">
      <c r="B132" s="319"/>
      <c r="C132" s="321"/>
      <c r="D132" s="321"/>
      <c r="E132" s="321" t="s">
        <v>358</v>
      </c>
      <c r="F132" s="333">
        <v>264</v>
      </c>
      <c r="G132" s="334">
        <v>44</v>
      </c>
      <c r="H132" s="335">
        <v>0</v>
      </c>
      <c r="I132" s="334">
        <v>4</v>
      </c>
      <c r="J132" s="337">
        <v>0</v>
      </c>
      <c r="K132" s="333">
        <v>224</v>
      </c>
      <c r="L132" s="334">
        <v>0</v>
      </c>
      <c r="M132" s="335">
        <v>0</v>
      </c>
      <c r="N132" s="334">
        <v>12</v>
      </c>
      <c r="O132" s="337">
        <v>0</v>
      </c>
      <c r="P132" s="333">
        <v>236</v>
      </c>
      <c r="Q132" s="334">
        <v>0</v>
      </c>
      <c r="R132" s="335">
        <v>3</v>
      </c>
      <c r="S132" s="334">
        <v>0</v>
      </c>
      <c r="T132" s="337">
        <v>12</v>
      </c>
      <c r="U132" s="336">
        <v>245</v>
      </c>
      <c r="V132" s="334">
        <v>0</v>
      </c>
      <c r="W132" s="335">
        <v>0</v>
      </c>
      <c r="X132" s="334">
        <v>0</v>
      </c>
      <c r="Y132" s="335">
        <v>0</v>
      </c>
      <c r="Z132" s="333">
        <v>245</v>
      </c>
      <c r="AA132" s="334">
        <v>0</v>
      </c>
      <c r="AB132" s="335">
        <v>10</v>
      </c>
      <c r="AC132" s="334">
        <v>0</v>
      </c>
      <c r="AD132" s="335">
        <v>10</v>
      </c>
      <c r="AE132" s="333">
        <v>245</v>
      </c>
    </row>
    <row r="133" spans="2:31">
      <c r="B133" s="319"/>
      <c r="C133" s="321"/>
      <c r="D133" s="321"/>
      <c r="E133" s="321" t="s">
        <v>359</v>
      </c>
      <c r="F133" s="333">
        <v>1618</v>
      </c>
      <c r="G133" s="334">
        <v>0</v>
      </c>
      <c r="H133" s="335">
        <v>0</v>
      </c>
      <c r="I133" s="334">
        <v>0</v>
      </c>
      <c r="J133" s="337">
        <v>0</v>
      </c>
      <c r="K133" s="333">
        <v>1618</v>
      </c>
      <c r="L133" s="334">
        <v>0</v>
      </c>
      <c r="M133" s="335">
        <v>0</v>
      </c>
      <c r="N133" s="334">
        <v>0</v>
      </c>
      <c r="O133" s="337">
        <v>0</v>
      </c>
      <c r="P133" s="333">
        <v>1618</v>
      </c>
      <c r="Q133" s="334">
        <v>0</v>
      </c>
      <c r="R133" s="335">
        <v>36</v>
      </c>
      <c r="S133" s="334">
        <v>0</v>
      </c>
      <c r="T133" s="337">
        <v>80</v>
      </c>
      <c r="U133" s="336">
        <v>1662</v>
      </c>
      <c r="V133" s="334">
        <v>0</v>
      </c>
      <c r="W133" s="335">
        <v>0</v>
      </c>
      <c r="X133" s="334">
        <v>0</v>
      </c>
      <c r="Y133" s="335">
        <v>0</v>
      </c>
      <c r="Z133" s="333">
        <v>1662</v>
      </c>
      <c r="AA133" s="334">
        <v>0</v>
      </c>
      <c r="AB133" s="335">
        <v>0</v>
      </c>
      <c r="AC133" s="334">
        <v>0</v>
      </c>
      <c r="AD133" s="335">
        <v>0</v>
      </c>
      <c r="AE133" s="333">
        <v>1662</v>
      </c>
    </row>
    <row r="134" spans="2:31">
      <c r="B134" s="319"/>
      <c r="C134" s="321"/>
      <c r="D134" s="321"/>
      <c r="E134" s="321"/>
      <c r="F134" s="338"/>
      <c r="G134" s="339"/>
      <c r="H134" s="340"/>
      <c r="I134" s="339"/>
      <c r="J134" s="341"/>
      <c r="K134" s="338"/>
      <c r="L134" s="339"/>
      <c r="M134" s="340"/>
      <c r="N134" s="339"/>
      <c r="O134" s="341"/>
      <c r="P134" s="338"/>
      <c r="Q134" s="339"/>
      <c r="R134" s="340"/>
      <c r="S134" s="339"/>
      <c r="T134" s="341"/>
      <c r="U134" s="342"/>
      <c r="V134" s="339"/>
      <c r="W134" s="340"/>
      <c r="X134" s="339"/>
      <c r="Y134" s="340"/>
      <c r="Z134" s="338"/>
      <c r="AA134" s="339"/>
      <c r="AB134" s="340"/>
      <c r="AC134" s="339"/>
      <c r="AD134" s="340"/>
      <c r="AE134" s="338"/>
    </row>
    <row r="135" spans="2:31">
      <c r="B135" s="319"/>
      <c r="C135" s="321"/>
      <c r="D135" s="326" t="s">
        <v>226</v>
      </c>
      <c r="E135" s="321"/>
      <c r="F135" s="338"/>
      <c r="G135" s="339"/>
      <c r="H135" s="340"/>
      <c r="I135" s="339"/>
      <c r="J135" s="341"/>
      <c r="K135" s="338"/>
      <c r="L135" s="339"/>
      <c r="M135" s="340"/>
      <c r="N135" s="339"/>
      <c r="O135" s="341"/>
      <c r="P135" s="338"/>
      <c r="Q135" s="339"/>
      <c r="R135" s="340"/>
      <c r="S135" s="339"/>
      <c r="T135" s="341"/>
      <c r="U135" s="342"/>
      <c r="V135" s="339"/>
      <c r="W135" s="340"/>
      <c r="X135" s="339"/>
      <c r="Y135" s="340"/>
      <c r="Z135" s="338"/>
      <c r="AA135" s="339"/>
      <c r="AB135" s="340"/>
      <c r="AC135" s="339"/>
      <c r="AD135" s="340"/>
      <c r="AE135" s="338"/>
    </row>
    <row r="136" spans="2:31">
      <c r="B136" s="319"/>
      <c r="C136" s="321"/>
      <c r="D136" s="321"/>
      <c r="E136" s="351" t="s">
        <v>360</v>
      </c>
      <c r="F136" s="333">
        <v>189</v>
      </c>
      <c r="G136" s="334">
        <v>0</v>
      </c>
      <c r="H136" s="335">
        <v>0</v>
      </c>
      <c r="I136" s="334">
        <v>2</v>
      </c>
      <c r="J136" s="337">
        <v>0</v>
      </c>
      <c r="K136" s="333">
        <v>191</v>
      </c>
      <c r="L136" s="334">
        <v>1</v>
      </c>
      <c r="M136" s="335">
        <v>0</v>
      </c>
      <c r="N136" s="334">
        <v>0</v>
      </c>
      <c r="O136" s="337">
        <v>0</v>
      </c>
      <c r="P136" s="333">
        <v>190</v>
      </c>
      <c r="Q136" s="334">
        <v>9</v>
      </c>
      <c r="R136" s="335">
        <v>0</v>
      </c>
      <c r="S136" s="334">
        <v>7</v>
      </c>
      <c r="T136" s="337">
        <v>0</v>
      </c>
      <c r="U136" s="336">
        <v>188</v>
      </c>
      <c r="V136" s="334">
        <v>4</v>
      </c>
      <c r="W136" s="335">
        <v>0</v>
      </c>
      <c r="X136" s="334">
        <v>7</v>
      </c>
      <c r="Y136" s="335">
        <v>0</v>
      </c>
      <c r="Z136" s="333">
        <v>191</v>
      </c>
      <c r="AA136" s="334">
        <v>0</v>
      </c>
      <c r="AB136" s="335">
        <v>2</v>
      </c>
      <c r="AC136" s="334">
        <v>0</v>
      </c>
      <c r="AD136" s="335">
        <v>2</v>
      </c>
      <c r="AE136" s="333">
        <v>191</v>
      </c>
    </row>
    <row r="137" spans="2:31">
      <c r="B137" s="319"/>
      <c r="C137" s="321"/>
      <c r="D137" s="321"/>
      <c r="E137" s="351" t="s">
        <v>361</v>
      </c>
      <c r="F137" s="333">
        <v>327</v>
      </c>
      <c r="G137" s="334">
        <v>0</v>
      </c>
      <c r="H137" s="335">
        <v>0</v>
      </c>
      <c r="I137" s="334">
        <v>0</v>
      </c>
      <c r="J137" s="337">
        <v>0</v>
      </c>
      <c r="K137" s="333">
        <v>327</v>
      </c>
      <c r="L137" s="334">
        <v>0</v>
      </c>
      <c r="M137" s="335">
        <v>0</v>
      </c>
      <c r="N137" s="334">
        <v>0</v>
      </c>
      <c r="O137" s="337">
        <v>0</v>
      </c>
      <c r="P137" s="333">
        <v>327</v>
      </c>
      <c r="Q137" s="334">
        <v>0</v>
      </c>
      <c r="R137" s="335">
        <v>8</v>
      </c>
      <c r="S137" s="334">
        <v>0</v>
      </c>
      <c r="T137" s="337">
        <v>17</v>
      </c>
      <c r="U137" s="336">
        <v>336</v>
      </c>
      <c r="V137" s="334">
        <v>2</v>
      </c>
      <c r="W137" s="335">
        <v>0</v>
      </c>
      <c r="X137" s="334">
        <v>2</v>
      </c>
      <c r="Y137" s="335">
        <v>0</v>
      </c>
      <c r="Z137" s="333">
        <v>336</v>
      </c>
      <c r="AA137" s="334">
        <v>0</v>
      </c>
      <c r="AB137" s="335">
        <v>0</v>
      </c>
      <c r="AC137" s="334">
        <v>0</v>
      </c>
      <c r="AD137" s="335">
        <v>0</v>
      </c>
      <c r="AE137" s="333">
        <v>336</v>
      </c>
    </row>
    <row r="138" spans="2:31" ht="13.5" thickBot="1">
      <c r="B138" s="317"/>
      <c r="C138" s="318"/>
      <c r="D138" s="318"/>
      <c r="E138" s="318"/>
      <c r="F138" s="343"/>
      <c r="G138" s="344"/>
      <c r="H138" s="345"/>
      <c r="I138" s="344"/>
      <c r="J138" s="346"/>
      <c r="K138" s="347"/>
      <c r="L138" s="344"/>
      <c r="M138" s="345"/>
      <c r="N138" s="344"/>
      <c r="O138" s="346"/>
      <c r="P138" s="347"/>
      <c r="Q138" s="344"/>
      <c r="R138" s="345"/>
      <c r="S138" s="344"/>
      <c r="T138" s="346"/>
      <c r="U138" s="348"/>
      <c r="V138" s="344"/>
      <c r="W138" s="345"/>
      <c r="X138" s="344"/>
      <c r="Y138" s="345"/>
      <c r="Z138" s="347"/>
      <c r="AA138" s="344"/>
      <c r="AB138" s="345"/>
      <c r="AC138" s="344"/>
      <c r="AD138" s="345"/>
      <c r="AE138" s="347"/>
    </row>
    <row r="139" spans="2:31">
      <c r="B139" s="349"/>
      <c r="C139" s="350" t="s">
        <v>366</v>
      </c>
      <c r="D139" s="350"/>
      <c r="E139" s="351"/>
      <c r="F139" s="338"/>
      <c r="G139" s="339"/>
      <c r="H139" s="340"/>
      <c r="I139" s="339"/>
      <c r="J139" s="341"/>
      <c r="K139" s="338"/>
      <c r="L139" s="339"/>
      <c r="M139" s="340"/>
      <c r="N139" s="339"/>
      <c r="O139" s="341"/>
      <c r="P139" s="338"/>
      <c r="Q139" s="339"/>
      <c r="R139" s="340"/>
      <c r="S139" s="339"/>
      <c r="T139" s="341"/>
      <c r="U139" s="342"/>
      <c r="V139" s="339"/>
      <c r="W139" s="340"/>
      <c r="X139" s="339"/>
      <c r="Y139" s="340"/>
      <c r="Z139" s="338"/>
      <c r="AA139" s="339"/>
      <c r="AB139" s="340"/>
      <c r="AC139" s="339"/>
      <c r="AD139" s="340"/>
      <c r="AE139" s="338"/>
    </row>
    <row r="140" spans="2:31">
      <c r="B140" s="319"/>
      <c r="C140" s="321"/>
      <c r="D140" s="326" t="s">
        <v>367</v>
      </c>
      <c r="E140" s="321"/>
      <c r="F140" s="338"/>
      <c r="G140" s="339"/>
      <c r="H140" s="340"/>
      <c r="I140" s="339"/>
      <c r="J140" s="341"/>
      <c r="K140" s="338"/>
      <c r="L140" s="339"/>
      <c r="M140" s="340"/>
      <c r="N140" s="339"/>
      <c r="O140" s="341"/>
      <c r="P140" s="338"/>
      <c r="Q140" s="339"/>
      <c r="R140" s="340"/>
      <c r="S140" s="339"/>
      <c r="T140" s="341"/>
      <c r="U140" s="342"/>
      <c r="V140" s="339"/>
      <c r="W140" s="340"/>
      <c r="X140" s="339"/>
      <c r="Y140" s="340"/>
      <c r="Z140" s="338"/>
      <c r="AA140" s="339"/>
      <c r="AB140" s="340"/>
      <c r="AC140" s="339"/>
      <c r="AD140" s="340"/>
      <c r="AE140" s="338"/>
    </row>
    <row r="141" spans="2:31">
      <c r="B141" s="319"/>
      <c r="C141" s="321"/>
      <c r="D141" s="321"/>
      <c r="E141" s="351" t="s">
        <v>368</v>
      </c>
      <c r="F141" s="333">
        <v>0</v>
      </c>
      <c r="G141" s="334">
        <v>0</v>
      </c>
      <c r="H141" s="335">
        <v>0</v>
      </c>
      <c r="I141" s="334">
        <v>0</v>
      </c>
      <c r="J141" s="337">
        <v>0</v>
      </c>
      <c r="K141" s="333">
        <v>0</v>
      </c>
      <c r="L141" s="334">
        <v>0</v>
      </c>
      <c r="M141" s="335">
        <v>0</v>
      </c>
      <c r="N141" s="334">
        <v>0</v>
      </c>
      <c r="O141" s="337">
        <v>0</v>
      </c>
      <c r="P141" s="333">
        <v>0</v>
      </c>
      <c r="Q141" s="334">
        <v>0</v>
      </c>
      <c r="R141" s="335">
        <v>0</v>
      </c>
      <c r="S141" s="334">
        <v>0</v>
      </c>
      <c r="T141" s="337">
        <v>2</v>
      </c>
      <c r="U141" s="336">
        <v>2</v>
      </c>
      <c r="V141" s="334">
        <v>0</v>
      </c>
      <c r="W141" s="335">
        <v>0</v>
      </c>
      <c r="X141" s="334">
        <v>0</v>
      </c>
      <c r="Y141" s="335">
        <v>0</v>
      </c>
      <c r="Z141" s="333">
        <v>2</v>
      </c>
      <c r="AA141" s="334">
        <v>0</v>
      </c>
      <c r="AB141" s="335">
        <v>0</v>
      </c>
      <c r="AC141" s="334">
        <v>0</v>
      </c>
      <c r="AD141" s="335">
        <v>0</v>
      </c>
      <c r="AE141" s="333">
        <v>2</v>
      </c>
    </row>
    <row r="142" spans="2:31">
      <c r="B142" s="319"/>
      <c r="C142" s="321"/>
      <c r="D142" s="321"/>
      <c r="E142" s="351" t="s">
        <v>494</v>
      </c>
      <c r="F142" s="333">
        <v>462</v>
      </c>
      <c r="G142" s="334">
        <v>0</v>
      </c>
      <c r="H142" s="335">
        <v>0</v>
      </c>
      <c r="I142" s="334">
        <v>0</v>
      </c>
      <c r="J142" s="337">
        <v>0</v>
      </c>
      <c r="K142" s="333">
        <v>462</v>
      </c>
      <c r="L142" s="334">
        <v>0</v>
      </c>
      <c r="M142" s="335">
        <v>0</v>
      </c>
      <c r="N142" s="334">
        <v>0</v>
      </c>
      <c r="O142" s="337">
        <v>5</v>
      </c>
      <c r="P142" s="333">
        <v>467</v>
      </c>
      <c r="Q142" s="334">
        <v>0</v>
      </c>
      <c r="R142" s="335">
        <v>0</v>
      </c>
      <c r="S142" s="334">
        <v>0</v>
      </c>
      <c r="T142" s="337">
        <v>17</v>
      </c>
      <c r="U142" s="336">
        <v>484</v>
      </c>
      <c r="V142" s="334">
        <v>0</v>
      </c>
      <c r="W142" s="335">
        <v>0</v>
      </c>
      <c r="X142" s="334">
        <v>0</v>
      </c>
      <c r="Y142" s="335">
        <v>0</v>
      </c>
      <c r="Z142" s="333">
        <v>484</v>
      </c>
      <c r="AA142" s="334">
        <v>0</v>
      </c>
      <c r="AB142" s="335">
        <v>0</v>
      </c>
      <c r="AC142" s="334">
        <v>0</v>
      </c>
      <c r="AD142" s="335">
        <v>0</v>
      </c>
      <c r="AE142" s="333">
        <v>484</v>
      </c>
    </row>
    <row r="143" spans="2:31">
      <c r="B143" s="319"/>
      <c r="C143" s="351"/>
      <c r="D143" s="326"/>
      <c r="E143" s="321"/>
      <c r="F143" s="338"/>
      <c r="G143" s="339"/>
      <c r="H143" s="340"/>
      <c r="I143" s="339"/>
      <c r="J143" s="341"/>
      <c r="K143" s="338"/>
      <c r="L143" s="339"/>
      <c r="M143" s="340"/>
      <c r="N143" s="339"/>
      <c r="O143" s="341"/>
      <c r="P143" s="338"/>
      <c r="Q143" s="339"/>
      <c r="R143" s="340"/>
      <c r="S143" s="339"/>
      <c r="T143" s="341"/>
      <c r="U143" s="342"/>
      <c r="V143" s="339"/>
      <c r="W143" s="340"/>
      <c r="X143" s="339"/>
      <c r="Y143" s="340"/>
      <c r="Z143" s="338"/>
      <c r="AA143" s="339"/>
      <c r="AB143" s="340"/>
      <c r="AC143" s="339"/>
      <c r="AD143" s="340"/>
      <c r="AE143" s="338"/>
    </row>
    <row r="144" spans="2:31">
      <c r="B144" s="319"/>
      <c r="C144" s="321"/>
      <c r="D144" s="326" t="s">
        <v>495</v>
      </c>
      <c r="E144" s="321"/>
      <c r="F144" s="338"/>
      <c r="G144" s="339"/>
      <c r="H144" s="340"/>
      <c r="I144" s="339"/>
      <c r="J144" s="341"/>
      <c r="K144" s="338"/>
      <c r="L144" s="339"/>
      <c r="M144" s="340"/>
      <c r="N144" s="339"/>
      <c r="O144" s="341"/>
      <c r="P144" s="338"/>
      <c r="Q144" s="339"/>
      <c r="R144" s="340"/>
      <c r="S144" s="339"/>
      <c r="T144" s="341"/>
      <c r="U144" s="342"/>
      <c r="V144" s="339"/>
      <c r="W144" s="340"/>
      <c r="X144" s="339"/>
      <c r="Y144" s="340"/>
      <c r="Z144" s="338"/>
      <c r="AA144" s="339"/>
      <c r="AB144" s="340"/>
      <c r="AC144" s="339"/>
      <c r="AD144" s="340"/>
      <c r="AE144" s="338"/>
    </row>
    <row r="145" spans="2:31">
      <c r="B145" s="319"/>
      <c r="C145" s="321"/>
      <c r="D145" s="321"/>
      <c r="E145" s="351" t="s">
        <v>370</v>
      </c>
      <c r="F145" s="333">
        <v>829</v>
      </c>
      <c r="G145" s="334">
        <v>0</v>
      </c>
      <c r="H145" s="335">
        <v>0</v>
      </c>
      <c r="I145" s="334">
        <v>0</v>
      </c>
      <c r="J145" s="337">
        <v>0</v>
      </c>
      <c r="K145" s="333">
        <v>829</v>
      </c>
      <c r="L145" s="334">
        <v>0</v>
      </c>
      <c r="M145" s="335">
        <v>0</v>
      </c>
      <c r="N145" s="334">
        <v>0</v>
      </c>
      <c r="O145" s="337">
        <v>335</v>
      </c>
      <c r="P145" s="333">
        <v>1164</v>
      </c>
      <c r="Q145" s="334">
        <v>0</v>
      </c>
      <c r="R145" s="335">
        <v>0</v>
      </c>
      <c r="S145" s="334">
        <v>0</v>
      </c>
      <c r="T145" s="337">
        <v>327</v>
      </c>
      <c r="U145" s="336">
        <v>1491</v>
      </c>
      <c r="V145" s="334">
        <v>0</v>
      </c>
      <c r="W145" s="335">
        <v>0</v>
      </c>
      <c r="X145" s="334">
        <v>0</v>
      </c>
      <c r="Y145" s="335">
        <v>0</v>
      </c>
      <c r="Z145" s="333">
        <v>1491</v>
      </c>
      <c r="AA145" s="334">
        <v>0</v>
      </c>
      <c r="AB145" s="335">
        <v>0</v>
      </c>
      <c r="AC145" s="334">
        <v>0</v>
      </c>
      <c r="AD145" s="335">
        <v>0</v>
      </c>
      <c r="AE145" s="333">
        <v>1491</v>
      </c>
    </row>
    <row r="146" spans="2:31">
      <c r="B146" s="319"/>
      <c r="C146" s="321"/>
      <c r="D146" s="321"/>
      <c r="E146" s="351" t="s">
        <v>371</v>
      </c>
      <c r="F146" s="333">
        <v>224</v>
      </c>
      <c r="G146" s="334">
        <v>0</v>
      </c>
      <c r="H146" s="335">
        <v>0</v>
      </c>
      <c r="I146" s="334">
        <v>0</v>
      </c>
      <c r="J146" s="337">
        <v>0</v>
      </c>
      <c r="K146" s="333">
        <v>224</v>
      </c>
      <c r="L146" s="334">
        <v>0</v>
      </c>
      <c r="M146" s="335">
        <v>0</v>
      </c>
      <c r="N146" s="334">
        <v>0</v>
      </c>
      <c r="O146" s="337">
        <v>32</v>
      </c>
      <c r="P146" s="333">
        <v>256</v>
      </c>
      <c r="Q146" s="334">
        <v>0</v>
      </c>
      <c r="R146" s="335">
        <v>0</v>
      </c>
      <c r="S146" s="334">
        <v>0</v>
      </c>
      <c r="T146" s="337">
        <v>495</v>
      </c>
      <c r="U146" s="336">
        <v>751</v>
      </c>
      <c r="V146" s="334">
        <v>0</v>
      </c>
      <c r="W146" s="335">
        <v>0</v>
      </c>
      <c r="X146" s="334">
        <v>0</v>
      </c>
      <c r="Y146" s="335">
        <v>0</v>
      </c>
      <c r="Z146" s="333">
        <v>751</v>
      </c>
      <c r="AA146" s="334">
        <v>0</v>
      </c>
      <c r="AB146" s="335">
        <v>0</v>
      </c>
      <c r="AC146" s="334">
        <v>0</v>
      </c>
      <c r="AD146" s="335">
        <v>0</v>
      </c>
      <c r="AE146" s="333">
        <v>751</v>
      </c>
    </row>
    <row r="147" spans="2:31" ht="13.5" thickBot="1">
      <c r="B147" s="317"/>
      <c r="C147" s="318"/>
      <c r="D147" s="318"/>
      <c r="E147" s="318"/>
      <c r="F147" s="343"/>
      <c r="G147" s="344"/>
      <c r="H147" s="345"/>
      <c r="I147" s="344"/>
      <c r="J147" s="346"/>
      <c r="K147" s="347"/>
      <c r="L147" s="344"/>
      <c r="M147" s="345"/>
      <c r="N147" s="344"/>
      <c r="O147" s="346"/>
      <c r="P147" s="347"/>
      <c r="Q147" s="344"/>
      <c r="R147" s="345"/>
      <c r="S147" s="344"/>
      <c r="T147" s="346"/>
      <c r="U147" s="357"/>
      <c r="V147" s="344"/>
      <c r="W147" s="345"/>
      <c r="X147" s="344"/>
      <c r="Y147" s="345"/>
      <c r="Z147" s="347"/>
      <c r="AA147" s="344"/>
      <c r="AB147" s="345"/>
      <c r="AC147" s="344"/>
      <c r="AD147" s="345"/>
      <c r="AE147" s="347"/>
    </row>
  </sheetData>
  <mergeCells count="15"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G7:K7"/>
    <mergeCell ref="L7:P7"/>
    <mergeCell ref="Q7:U7"/>
    <mergeCell ref="V7:Z7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workbookViewId="0">
      <selection activeCell="G13" sqref="G13"/>
    </sheetView>
  </sheetViews>
  <sheetFormatPr defaultColWidth="8.85546875" defaultRowHeight="12.75"/>
  <cols>
    <col min="1" max="1" width="8.85546875" customWidth="1"/>
    <col min="2" max="2" width="23.42578125" customWidth="1"/>
  </cols>
  <sheetData>
    <row r="1" spans="1:20">
      <c r="A1" s="896" t="s">
        <v>498</v>
      </c>
      <c r="F1" s="891" t="s">
        <v>774</v>
      </c>
    </row>
    <row r="3" spans="1:20">
      <c r="A3" s="896" t="s">
        <v>594</v>
      </c>
    </row>
    <row r="6" spans="1:20">
      <c r="A6" s="1085"/>
      <c r="B6" s="1084" t="s">
        <v>595</v>
      </c>
      <c r="C6" s="1181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308"/>
      <c r="S6" s="1085"/>
      <c r="T6" s="1085"/>
    </row>
    <row r="7" spans="1:20" ht="13.5" thickBot="1">
      <c r="A7" s="1085"/>
      <c r="B7" s="1085"/>
      <c r="C7" s="1181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308"/>
      <c r="S7" s="1085"/>
      <c r="T7" s="1085"/>
    </row>
    <row r="8" spans="1:20">
      <c r="A8" s="1085"/>
      <c r="B8" s="1125"/>
      <c r="C8" s="1182"/>
      <c r="D8" s="1102" t="s">
        <v>645</v>
      </c>
      <c r="E8" s="1103"/>
      <c r="F8" s="1103"/>
      <c r="G8" s="1103"/>
      <c r="H8" s="1104"/>
      <c r="I8" s="1103" t="s">
        <v>646</v>
      </c>
      <c r="J8" s="1105"/>
      <c r="K8" s="1105"/>
      <c r="L8" s="1105"/>
      <c r="M8" s="1104"/>
      <c r="N8" s="1085"/>
      <c r="O8" s="1062" t="s">
        <v>645</v>
      </c>
      <c r="P8" s="1063"/>
      <c r="Q8" s="1064"/>
      <c r="R8" s="308"/>
      <c r="S8" s="1062" t="s">
        <v>646</v>
      </c>
      <c r="T8" s="1064"/>
    </row>
    <row r="9" spans="1:20" ht="25.5">
      <c r="A9" s="1085"/>
      <c r="B9" s="1128"/>
      <c r="C9" s="1183" t="s">
        <v>559</v>
      </c>
      <c r="D9" s="1184" t="s">
        <v>560</v>
      </c>
      <c r="E9" s="1185" t="s">
        <v>561</v>
      </c>
      <c r="F9" s="1185" t="s">
        <v>557</v>
      </c>
      <c r="G9" s="1185" t="s">
        <v>562</v>
      </c>
      <c r="H9" s="1186" t="s">
        <v>563</v>
      </c>
      <c r="I9" s="1187" t="s">
        <v>647</v>
      </c>
      <c r="J9" s="1185" t="s">
        <v>666</v>
      </c>
      <c r="K9" s="1185" t="s">
        <v>667</v>
      </c>
      <c r="L9" s="1185" t="s">
        <v>668</v>
      </c>
      <c r="M9" s="1186" t="s">
        <v>669</v>
      </c>
      <c r="N9" s="1085"/>
      <c r="O9" s="1065" t="s">
        <v>656</v>
      </c>
      <c r="P9" s="1066" t="s">
        <v>657</v>
      </c>
      <c r="Q9" s="1067" t="s">
        <v>809</v>
      </c>
      <c r="R9" s="308"/>
      <c r="S9" s="1065" t="s">
        <v>657</v>
      </c>
      <c r="T9" s="1067" t="s">
        <v>658</v>
      </c>
    </row>
    <row r="10" spans="1:20">
      <c r="A10" s="1085"/>
      <c r="B10" s="1188" t="s">
        <v>725</v>
      </c>
      <c r="C10" s="1189" t="s">
        <v>542</v>
      </c>
      <c r="D10" s="1190">
        <v>54.23058330661577</v>
      </c>
      <c r="E10" s="1191">
        <v>38.837901397590365</v>
      </c>
      <c r="F10" s="1191">
        <v>91.674549507870751</v>
      </c>
      <c r="G10" s="1191">
        <v>60.626197243589743</v>
      </c>
      <c r="H10" s="1192">
        <v>65.682752663900402</v>
      </c>
      <c r="I10" s="1191">
        <v>67.834798536622969</v>
      </c>
      <c r="J10" s="1193">
        <v>68.956879235521228</v>
      </c>
      <c r="K10" s="1193">
        <v>73.553938336271187</v>
      </c>
      <c r="L10" s="1193">
        <v>77.272654105263157</v>
      </c>
      <c r="M10" s="1192">
        <v>81.348229883553415</v>
      </c>
      <c r="N10" s="1085"/>
      <c r="O10" s="1073">
        <v>184.74303421207688</v>
      </c>
      <c r="P10" s="1074">
        <v>126.30894990749015</v>
      </c>
      <c r="Q10" s="1075">
        <v>311.05198411956701</v>
      </c>
      <c r="R10" s="308"/>
      <c r="S10" s="1073">
        <v>368.96650009723197</v>
      </c>
      <c r="T10" s="1076">
        <v>0.18618918680616059</v>
      </c>
    </row>
    <row r="11" spans="1:20">
      <c r="A11" s="1085"/>
      <c r="B11" s="1188" t="s">
        <v>726</v>
      </c>
      <c r="C11" s="1189" t="s">
        <v>542</v>
      </c>
      <c r="D11" s="1194">
        <v>47.9</v>
      </c>
      <c r="E11" s="1195">
        <v>34.199999999999996</v>
      </c>
      <c r="F11" s="1195">
        <v>74.400000000000006</v>
      </c>
      <c r="G11" s="1195">
        <v>47.7</v>
      </c>
      <c r="H11" s="1196">
        <v>49.6</v>
      </c>
      <c r="I11" s="1195">
        <v>50.599999999999994</v>
      </c>
      <c r="J11" s="1197">
        <v>53</v>
      </c>
      <c r="K11" s="1197">
        <v>56.9</v>
      </c>
      <c r="L11" s="1197">
        <v>60.2</v>
      </c>
      <c r="M11" s="1196">
        <v>63.6</v>
      </c>
      <c r="N11" s="1085"/>
      <c r="O11" s="1073">
        <v>156.5</v>
      </c>
      <c r="P11" s="1074">
        <v>97.300000000000011</v>
      </c>
      <c r="Q11" s="1075">
        <v>253.79999999999998</v>
      </c>
      <c r="R11" s="308"/>
      <c r="S11" s="1073">
        <v>284.3</v>
      </c>
      <c r="T11" s="1076">
        <v>0.12017336485421604</v>
      </c>
    </row>
    <row r="12" spans="1:20">
      <c r="A12" s="1085"/>
      <c r="B12" s="1188" t="s">
        <v>349</v>
      </c>
      <c r="C12" s="1189" t="s">
        <v>542</v>
      </c>
      <c r="D12" s="1133">
        <v>6.3305833066157717</v>
      </c>
      <c r="E12" s="1136">
        <v>4.6379013975903689</v>
      </c>
      <c r="F12" s="1136">
        <v>17.274549507870745</v>
      </c>
      <c r="G12" s="1136">
        <v>12.926197243589741</v>
      </c>
      <c r="H12" s="1135">
        <v>16.082752663900401</v>
      </c>
      <c r="I12" s="1134">
        <v>17.234798536622975</v>
      </c>
      <c r="J12" s="1136">
        <v>15.956879235521228</v>
      </c>
      <c r="K12" s="1136">
        <v>16.653938336271189</v>
      </c>
      <c r="L12" s="1136">
        <v>17.072654105263155</v>
      </c>
      <c r="M12" s="1135">
        <v>17.748229883553414</v>
      </c>
      <c r="N12" s="1085"/>
      <c r="O12" s="1073">
        <v>28.243034212076886</v>
      </c>
      <c r="P12" s="1074">
        <v>29.008949907490141</v>
      </c>
      <c r="Q12" s="1075">
        <v>57.251984119567027</v>
      </c>
      <c r="R12" s="308"/>
      <c r="S12" s="1073">
        <v>84.66650009723196</v>
      </c>
      <c r="T12" s="1076">
        <v>0.47883957908622887</v>
      </c>
    </row>
    <row r="13" spans="1:20">
      <c r="A13" s="1085"/>
      <c r="B13" s="1188" t="s">
        <v>728</v>
      </c>
      <c r="C13" s="1189" t="s">
        <v>542</v>
      </c>
      <c r="D13" s="1194">
        <v>12.7</v>
      </c>
      <c r="E13" s="1195">
        <v>16.3</v>
      </c>
      <c r="F13" s="1195">
        <v>7.4</v>
      </c>
      <c r="G13" s="1195">
        <v>2.6</v>
      </c>
      <c r="H13" s="1196">
        <v>4.5</v>
      </c>
      <c r="I13" s="1195">
        <v>5.7</v>
      </c>
      <c r="J13" s="1197">
        <v>5.9</v>
      </c>
      <c r="K13" s="1197">
        <v>6.3</v>
      </c>
      <c r="L13" s="1197">
        <v>6.7</v>
      </c>
      <c r="M13" s="1196">
        <v>7</v>
      </c>
      <c r="N13" s="1085"/>
      <c r="O13" s="1073">
        <v>36.4</v>
      </c>
      <c r="P13" s="1074">
        <v>7.1</v>
      </c>
      <c r="Q13" s="1075">
        <v>43.5</v>
      </c>
      <c r="R13" s="308"/>
      <c r="S13" s="1073">
        <v>31.6</v>
      </c>
      <c r="T13" s="1076">
        <v>-0.27356321839080455</v>
      </c>
    </row>
    <row r="14" spans="1:20" ht="13.5" thickBot="1">
      <c r="A14" s="1085"/>
      <c r="B14" s="1198" t="s">
        <v>124</v>
      </c>
      <c r="C14" s="1199" t="s">
        <v>542</v>
      </c>
      <c r="D14" s="1120">
        <v>-6.3694166933842276</v>
      </c>
      <c r="E14" s="1123">
        <v>-11.662098602409632</v>
      </c>
      <c r="F14" s="1123">
        <v>9.8745495078707446</v>
      </c>
      <c r="G14" s="1123">
        <v>10.326197243589741</v>
      </c>
      <c r="H14" s="1122">
        <v>11.582752663900401</v>
      </c>
      <c r="I14" s="1121">
        <v>11.534798536622976</v>
      </c>
      <c r="J14" s="1123">
        <v>10.056879235521228</v>
      </c>
      <c r="K14" s="1123">
        <v>10.353938336271188</v>
      </c>
      <c r="L14" s="1123">
        <v>10.372654105263155</v>
      </c>
      <c r="M14" s="1122">
        <v>10.748229883553414</v>
      </c>
      <c r="N14" s="1085"/>
      <c r="O14" s="1077">
        <v>-8.1569657879231148</v>
      </c>
      <c r="P14" s="1078">
        <v>21.90894990749014</v>
      </c>
      <c r="Q14" s="1079">
        <v>13.751984119567027</v>
      </c>
      <c r="R14" s="308"/>
      <c r="S14" s="1077">
        <v>53.066500097231959</v>
      </c>
      <c r="T14" s="1080">
        <v>2.8588249983306939</v>
      </c>
    </row>
    <row r="15" spans="1:20">
      <c r="A15" s="1085"/>
      <c r="B15" s="1085"/>
      <c r="C15" s="1181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5"/>
      <c r="Q15" s="1085"/>
      <c r="R15" s="308"/>
      <c r="S15" s="1085"/>
      <c r="T15" s="1085"/>
    </row>
    <row r="16" spans="1:20">
      <c r="A16" s="1085"/>
      <c r="B16" s="1084" t="s">
        <v>125</v>
      </c>
      <c r="C16" s="1181"/>
      <c r="D16" s="1200"/>
      <c r="E16" s="1200"/>
      <c r="F16" s="1200"/>
      <c r="G16" s="1200"/>
      <c r="H16" s="1200"/>
      <c r="I16" s="1200"/>
      <c r="J16" s="1200"/>
      <c r="K16" s="1200"/>
      <c r="L16" s="1200"/>
      <c r="M16" s="1200"/>
      <c r="N16" s="1200"/>
      <c r="O16" s="1085"/>
      <c r="P16" s="1085"/>
      <c r="Q16" s="1085"/>
      <c r="R16" s="308"/>
      <c r="S16" s="1200"/>
      <c r="T16" s="1200"/>
    </row>
    <row r="17" spans="1:20" ht="13.5" thickBot="1">
      <c r="A17" s="1085"/>
      <c r="B17" s="1084"/>
      <c r="C17" s="1181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308"/>
      <c r="O17" s="308"/>
      <c r="P17" s="308"/>
      <c r="Q17" s="308"/>
      <c r="R17" s="308"/>
      <c r="S17" s="308"/>
      <c r="T17" s="308"/>
    </row>
    <row r="18" spans="1:20">
      <c r="A18" s="1085"/>
      <c r="B18" s="1125"/>
      <c r="C18" s="1182"/>
      <c r="D18" s="1102" t="s">
        <v>645</v>
      </c>
      <c r="E18" s="1103"/>
      <c r="F18" s="1103"/>
      <c r="G18" s="1103"/>
      <c r="H18" s="1104"/>
      <c r="I18" s="1103" t="s">
        <v>646</v>
      </c>
      <c r="J18" s="1105"/>
      <c r="K18" s="1105"/>
      <c r="L18" s="1105"/>
      <c r="M18" s="1104"/>
      <c r="N18" s="308"/>
      <c r="O18" s="308"/>
      <c r="P18" s="308"/>
      <c r="Q18" s="308"/>
      <c r="R18" s="308"/>
      <c r="S18" s="308"/>
      <c r="T18" s="308"/>
    </row>
    <row r="19" spans="1:20">
      <c r="A19" s="1085"/>
      <c r="B19" s="1128"/>
      <c r="C19" s="1183" t="s">
        <v>559</v>
      </c>
      <c r="D19" s="1184" t="s">
        <v>560</v>
      </c>
      <c r="E19" s="1185" t="s">
        <v>561</v>
      </c>
      <c r="F19" s="1185" t="s">
        <v>557</v>
      </c>
      <c r="G19" s="1185" t="s">
        <v>562</v>
      </c>
      <c r="H19" s="1186" t="s">
        <v>563</v>
      </c>
      <c r="I19" s="1187" t="s">
        <v>647</v>
      </c>
      <c r="J19" s="1185" t="s">
        <v>666</v>
      </c>
      <c r="K19" s="1185" t="s">
        <v>667</v>
      </c>
      <c r="L19" s="1185" t="s">
        <v>668</v>
      </c>
      <c r="M19" s="1186" t="s">
        <v>669</v>
      </c>
      <c r="N19" s="308"/>
      <c r="O19" s="308"/>
      <c r="P19" s="308"/>
      <c r="Q19" s="308"/>
      <c r="R19" s="308"/>
      <c r="S19" s="308"/>
      <c r="T19" s="308"/>
    </row>
    <row r="20" spans="1:20">
      <c r="A20" s="1085"/>
      <c r="B20" s="1201"/>
      <c r="C20" s="1202"/>
      <c r="D20" s="1071"/>
      <c r="E20" s="1203"/>
      <c r="F20" s="1203"/>
      <c r="G20" s="1203"/>
      <c r="H20" s="1072"/>
      <c r="I20" s="1203"/>
      <c r="J20" s="1203"/>
      <c r="K20" s="1203"/>
      <c r="L20" s="1203"/>
      <c r="M20" s="1072"/>
      <c r="N20" s="308"/>
      <c r="O20" s="308"/>
      <c r="P20" s="308"/>
      <c r="Q20" s="308"/>
      <c r="R20" s="308"/>
      <c r="S20" s="308"/>
      <c r="T20" s="308"/>
    </row>
    <row r="21" spans="1:20" ht="25.5">
      <c r="A21" s="1085"/>
      <c r="B21" s="1204" t="s">
        <v>126</v>
      </c>
      <c r="C21" s="1189" t="s">
        <v>807</v>
      </c>
      <c r="D21" s="1205">
        <v>5142</v>
      </c>
      <c r="E21" s="1195">
        <v>5071.9969813739526</v>
      </c>
      <c r="F21" s="1195">
        <v>5165.0399372894481</v>
      </c>
      <c r="G21" s="1195">
        <v>5268.9998729061226</v>
      </c>
      <c r="H21" s="1196">
        <v>5307.952969828777</v>
      </c>
      <c r="I21" s="1195">
        <v>5347.0146139487642</v>
      </c>
      <c r="J21" s="1197">
        <v>5386.0263758444116</v>
      </c>
      <c r="K21" s="1197">
        <v>5424.9980447425833</v>
      </c>
      <c r="L21" s="1197">
        <v>5464.0472450535744</v>
      </c>
      <c r="M21" s="1196">
        <v>5503.044901736067</v>
      </c>
      <c r="N21" s="308"/>
      <c r="O21" s="308"/>
      <c r="P21" s="308"/>
      <c r="Q21" s="308"/>
      <c r="R21" s="308"/>
      <c r="S21" s="308"/>
      <c r="T21" s="308"/>
    </row>
    <row r="22" spans="1:20" ht="25.5">
      <c r="A22" s="1085"/>
      <c r="B22" s="1204" t="s">
        <v>268</v>
      </c>
      <c r="C22" s="1189" t="s">
        <v>807</v>
      </c>
      <c r="D22" s="1194">
        <v>29.88360892237084</v>
      </c>
      <c r="E22" s="1195">
        <v>-70.003018626047691</v>
      </c>
      <c r="F22" s="1195">
        <v>93.042955915494986</v>
      </c>
      <c r="G22" s="1195">
        <v>103.95993561667426</v>
      </c>
      <c r="H22" s="1196">
        <v>38.953096922654105</v>
      </c>
      <c r="I22" s="1195">
        <v>39.061644119987612</v>
      </c>
      <c r="J22" s="1197">
        <v>39.011761895647439</v>
      </c>
      <c r="K22" s="1197">
        <v>38.971668898171487</v>
      </c>
      <c r="L22" s="1197">
        <v>39.049200310991523</v>
      </c>
      <c r="M22" s="1196">
        <v>38.997656682492938</v>
      </c>
      <c r="N22" s="308"/>
      <c r="O22" s="308"/>
      <c r="P22" s="308"/>
      <c r="Q22" s="308"/>
      <c r="R22" s="308"/>
      <c r="S22" s="308"/>
      <c r="T22" s="308"/>
    </row>
    <row r="23" spans="1:20" ht="38.25">
      <c r="A23" s="1085"/>
      <c r="B23" s="1206" t="s">
        <v>265</v>
      </c>
      <c r="C23" s="1189" t="s">
        <v>807</v>
      </c>
      <c r="D23" s="358">
        <v>61.223229983654413</v>
      </c>
      <c r="E23" s="359">
        <v>86.57903988436783</v>
      </c>
      <c r="F23" s="359">
        <v>67.934097110053727</v>
      </c>
      <c r="G23" s="359">
        <v>50.460195454410112</v>
      </c>
      <c r="H23" s="360">
        <v>45.683369752276747</v>
      </c>
      <c r="I23" s="359">
        <v>47.180403308129122</v>
      </c>
      <c r="J23" s="361">
        <v>51.4786451649748</v>
      </c>
      <c r="K23" s="361">
        <v>56.838552167498847</v>
      </c>
      <c r="L23" s="361">
        <v>63.016083580318885</v>
      </c>
      <c r="M23" s="360">
        <v>70.064539951820294</v>
      </c>
      <c r="N23" s="308"/>
      <c r="O23" s="308"/>
      <c r="P23" s="308"/>
      <c r="Q23" s="308"/>
      <c r="R23" s="308"/>
      <c r="S23" s="308"/>
      <c r="T23" s="308"/>
    </row>
    <row r="24" spans="1:20" ht="38.25">
      <c r="A24" s="1085"/>
      <c r="B24" s="1206" t="s">
        <v>266</v>
      </c>
      <c r="C24" s="1189" t="s">
        <v>807</v>
      </c>
      <c r="D24" s="358">
        <v>-31.339621061283573</v>
      </c>
      <c r="E24" s="359">
        <v>-35.582058510415521</v>
      </c>
      <c r="F24" s="359">
        <v>-23.691141194558739</v>
      </c>
      <c r="G24" s="359">
        <v>-32.600259837735848</v>
      </c>
      <c r="H24" s="360">
        <v>-34.230272829622642</v>
      </c>
      <c r="I24" s="359">
        <v>-32.518759188141509</v>
      </c>
      <c r="J24" s="361">
        <v>-29.266883269327359</v>
      </c>
      <c r="K24" s="361">
        <v>-29.266883269327359</v>
      </c>
      <c r="L24" s="361">
        <v>-29.266883269327359</v>
      </c>
      <c r="M24" s="360">
        <v>-29.266883269327359</v>
      </c>
      <c r="N24" s="308"/>
      <c r="O24" s="308"/>
      <c r="P24" s="308"/>
      <c r="Q24" s="308"/>
      <c r="R24" s="308"/>
      <c r="S24" s="308"/>
      <c r="T24" s="308"/>
    </row>
    <row r="25" spans="1:20" ht="51">
      <c r="A25" s="1085"/>
      <c r="B25" s="1206" t="s">
        <v>269</v>
      </c>
      <c r="C25" s="1189" t="s">
        <v>807</v>
      </c>
      <c r="D25" s="358">
        <v>0</v>
      </c>
      <c r="E25" s="359">
        <v>-121</v>
      </c>
      <c r="F25" s="359">
        <v>48.8</v>
      </c>
      <c r="G25" s="359">
        <v>86.1</v>
      </c>
      <c r="H25" s="360">
        <v>27.5</v>
      </c>
      <c r="I25" s="359">
        <v>24.4</v>
      </c>
      <c r="J25" s="361">
        <v>16.8</v>
      </c>
      <c r="K25" s="361">
        <v>11.4</v>
      </c>
      <c r="L25" s="361">
        <v>5.3</v>
      </c>
      <c r="M25" s="360">
        <v>-1.8</v>
      </c>
      <c r="N25" s="308"/>
      <c r="O25" s="308"/>
      <c r="P25" s="308"/>
      <c r="Q25" s="308"/>
      <c r="R25" s="308"/>
      <c r="S25" s="308"/>
      <c r="T25" s="308"/>
    </row>
    <row r="26" spans="1:20">
      <c r="A26" s="1085"/>
      <c r="B26" s="1207"/>
      <c r="C26" s="1208"/>
      <c r="D26" s="1209"/>
      <c r="E26" s="1210"/>
      <c r="F26" s="1210"/>
      <c r="G26" s="1210"/>
      <c r="H26" s="1211"/>
      <c r="I26" s="1210"/>
      <c r="J26" s="1210"/>
      <c r="K26" s="1210"/>
      <c r="L26" s="1210"/>
      <c r="M26" s="1211"/>
      <c r="N26" s="308"/>
      <c r="O26" s="308"/>
      <c r="P26" s="308"/>
      <c r="Q26" s="308"/>
      <c r="R26" s="308"/>
      <c r="S26" s="308"/>
      <c r="T26" s="308"/>
    </row>
    <row r="27" spans="1:20" ht="25.5">
      <c r="A27" s="1085"/>
      <c r="B27" s="1204" t="s">
        <v>131</v>
      </c>
      <c r="C27" s="1189" t="s">
        <v>579</v>
      </c>
      <c r="D27" s="1205">
        <v>30104.9</v>
      </c>
      <c r="E27" s="1195">
        <v>29508.87294690101</v>
      </c>
      <c r="F27" s="1195">
        <v>29665.403522061137</v>
      </c>
      <c r="G27" s="1195">
        <v>29133.779123498996</v>
      </c>
      <c r="H27" s="1196">
        <v>27786.10373262026</v>
      </c>
      <c r="I27" s="1195">
        <v>27637.566456374068</v>
      </c>
      <c r="J27" s="1197">
        <v>28143.049712027703</v>
      </c>
      <c r="K27" s="1197">
        <v>28347.761310734062</v>
      </c>
      <c r="L27" s="1197">
        <v>28504.659507964814</v>
      </c>
      <c r="M27" s="1196">
        <v>28539.062081679618</v>
      </c>
      <c r="N27" s="308"/>
      <c r="O27" s="308"/>
      <c r="P27" s="308"/>
      <c r="Q27" s="308"/>
      <c r="R27" s="308"/>
      <c r="S27" s="308"/>
      <c r="T27" s="308"/>
    </row>
    <row r="28" spans="1:20" ht="25.5">
      <c r="A28" s="1085"/>
      <c r="B28" s="1132" t="s">
        <v>128</v>
      </c>
      <c r="C28" s="1189" t="s">
        <v>579</v>
      </c>
      <c r="D28" s="1194">
        <v>0</v>
      </c>
      <c r="E28" s="1195">
        <v>-596.02705309899238</v>
      </c>
      <c r="F28" s="1195">
        <v>156.53057516012572</v>
      </c>
      <c r="G28" s="1195">
        <v>-531.62439856214178</v>
      </c>
      <c r="H28" s="1196">
        <v>-1347.6753908787359</v>
      </c>
      <c r="I28" s="1195">
        <v>-148.53727624619205</v>
      </c>
      <c r="J28" s="1197">
        <v>505.48325565363473</v>
      </c>
      <c r="K28" s="1197">
        <v>204.71159870635893</v>
      </c>
      <c r="L28" s="1197">
        <v>156.89819723075198</v>
      </c>
      <c r="M28" s="1196">
        <v>34.402573714804021</v>
      </c>
      <c r="N28" s="308"/>
      <c r="O28" s="308"/>
      <c r="P28" s="308"/>
      <c r="Q28" s="308"/>
      <c r="R28" s="308"/>
      <c r="S28" s="308"/>
      <c r="T28" s="308"/>
    </row>
    <row r="29" spans="1:20">
      <c r="A29" s="1085"/>
      <c r="B29" s="1212" t="s">
        <v>350</v>
      </c>
      <c r="C29" s="1189" t="s">
        <v>579</v>
      </c>
      <c r="D29" s="358">
        <v>0</v>
      </c>
      <c r="E29" s="359">
        <v>-383.7</v>
      </c>
      <c r="F29" s="359">
        <v>204.4</v>
      </c>
      <c r="G29" s="359">
        <v>603.29999999999995</v>
      </c>
      <c r="H29" s="360">
        <v>-364.49012888832817</v>
      </c>
      <c r="I29" s="359">
        <v>-76.965111835070687</v>
      </c>
      <c r="J29" s="361">
        <v>595.75834551226376</v>
      </c>
      <c r="K29" s="361">
        <v>321.99765507629519</v>
      </c>
      <c r="L29" s="361">
        <v>311.59367679810094</v>
      </c>
      <c r="M29" s="360">
        <v>227.41184967661448</v>
      </c>
      <c r="N29" s="308"/>
      <c r="O29" s="308"/>
      <c r="P29" s="308"/>
      <c r="Q29" s="308"/>
      <c r="R29" s="308"/>
      <c r="S29" s="308"/>
      <c r="T29" s="308"/>
    </row>
    <row r="30" spans="1:20">
      <c r="A30" s="1085"/>
      <c r="B30" s="1212" t="s">
        <v>351</v>
      </c>
      <c r="C30" s="1189" t="s">
        <v>579</v>
      </c>
      <c r="D30" s="358">
        <v>0</v>
      </c>
      <c r="E30" s="359">
        <v>-60.209720749855599</v>
      </c>
      <c r="F30" s="359">
        <v>-59.017893965620345</v>
      </c>
      <c r="G30" s="359">
        <v>-59.33072492490443</v>
      </c>
      <c r="H30" s="360">
        <v>-58.267515192878832</v>
      </c>
      <c r="I30" s="359">
        <v>-55.572164411121364</v>
      </c>
      <c r="J30" s="361">
        <v>-55.275089858628981</v>
      </c>
      <c r="K30" s="361">
        <v>-56.286056369936247</v>
      </c>
      <c r="L30" s="361">
        <v>-56.695479567348968</v>
      </c>
      <c r="M30" s="360">
        <v>-57.009275961810467</v>
      </c>
      <c r="N30" s="308"/>
      <c r="O30" s="308"/>
      <c r="P30" s="308"/>
      <c r="Q30" s="308"/>
      <c r="R30" s="308"/>
      <c r="S30" s="308"/>
      <c r="T30" s="308"/>
    </row>
    <row r="31" spans="1:20">
      <c r="A31" s="1085"/>
      <c r="B31" s="1212" t="s">
        <v>352</v>
      </c>
      <c r="C31" s="1189" t="s">
        <v>579</v>
      </c>
      <c r="D31" s="358">
        <v>0</v>
      </c>
      <c r="E31" s="359">
        <v>0</v>
      </c>
      <c r="F31" s="359">
        <v>0</v>
      </c>
      <c r="G31" s="359">
        <v>0</v>
      </c>
      <c r="H31" s="360">
        <v>-1</v>
      </c>
      <c r="I31" s="359">
        <v>-16</v>
      </c>
      <c r="J31" s="361">
        <v>-35</v>
      </c>
      <c r="K31" s="361">
        <v>-61</v>
      </c>
      <c r="L31" s="361">
        <v>-98</v>
      </c>
      <c r="M31" s="360">
        <v>-136</v>
      </c>
      <c r="N31" s="308"/>
      <c r="O31" s="308"/>
      <c r="P31" s="308"/>
      <c r="Q31" s="308"/>
      <c r="R31" s="308"/>
      <c r="S31" s="308"/>
      <c r="T31" s="308"/>
    </row>
    <row r="32" spans="1:20">
      <c r="A32" s="1085"/>
      <c r="B32" s="1212" t="s">
        <v>270</v>
      </c>
      <c r="C32" s="1189" t="s">
        <v>579</v>
      </c>
      <c r="D32" s="358">
        <v>0</v>
      </c>
      <c r="E32" s="359">
        <v>0</v>
      </c>
      <c r="F32" s="359">
        <v>0</v>
      </c>
      <c r="G32" s="359">
        <v>0</v>
      </c>
      <c r="H32" s="360">
        <v>0</v>
      </c>
      <c r="I32" s="359">
        <v>0</v>
      </c>
      <c r="J32" s="361">
        <v>0</v>
      </c>
      <c r="K32" s="361">
        <v>0</v>
      </c>
      <c r="L32" s="361">
        <v>0</v>
      </c>
      <c r="M32" s="360">
        <v>0</v>
      </c>
      <c r="N32" s="308"/>
      <c r="O32" s="308"/>
      <c r="P32" s="308"/>
      <c r="Q32" s="308"/>
      <c r="R32" s="308"/>
      <c r="S32" s="308"/>
      <c r="T32" s="308"/>
    </row>
    <row r="33" spans="1:20">
      <c r="A33" s="1085"/>
      <c r="B33" s="1212" t="s">
        <v>271</v>
      </c>
      <c r="C33" s="1189" t="s">
        <v>579</v>
      </c>
      <c r="D33" s="358">
        <v>0</v>
      </c>
      <c r="E33" s="359">
        <v>-152.11733234913683</v>
      </c>
      <c r="F33" s="359">
        <v>11.14846912574607</v>
      </c>
      <c r="G33" s="359">
        <v>-176.78738964835989</v>
      </c>
      <c r="H33" s="360">
        <v>0</v>
      </c>
      <c r="I33" s="359">
        <v>0</v>
      </c>
      <c r="J33" s="361">
        <v>0</v>
      </c>
      <c r="K33" s="361">
        <v>0</v>
      </c>
      <c r="L33" s="361">
        <v>0</v>
      </c>
      <c r="M33" s="360">
        <v>0</v>
      </c>
      <c r="N33" s="308"/>
      <c r="O33" s="308"/>
      <c r="P33" s="308"/>
      <c r="Q33" s="308"/>
      <c r="R33" s="308"/>
      <c r="S33" s="308"/>
      <c r="T33" s="308"/>
    </row>
    <row r="34" spans="1:20">
      <c r="A34" s="1085"/>
      <c r="B34" s="1212" t="s">
        <v>272</v>
      </c>
      <c r="C34" s="1189" t="s">
        <v>579</v>
      </c>
      <c r="D34" s="358">
        <v>0</v>
      </c>
      <c r="E34" s="359">
        <v>0</v>
      </c>
      <c r="F34" s="359">
        <v>0</v>
      </c>
      <c r="G34" s="359">
        <v>-898.80628398887745</v>
      </c>
      <c r="H34" s="360">
        <v>-923.91774679752893</v>
      </c>
      <c r="I34" s="359">
        <v>0</v>
      </c>
      <c r="J34" s="361">
        <v>0</v>
      </c>
      <c r="K34" s="361">
        <v>0</v>
      </c>
      <c r="L34" s="361">
        <v>0</v>
      </c>
      <c r="M34" s="360">
        <v>0</v>
      </c>
      <c r="N34" s="308"/>
      <c r="O34" s="308"/>
      <c r="P34" s="308"/>
      <c r="Q34" s="308"/>
      <c r="R34" s="308"/>
      <c r="S34" s="308"/>
      <c r="T34" s="308"/>
    </row>
    <row r="35" spans="1:20">
      <c r="A35" s="1085"/>
      <c r="B35" s="1207"/>
      <c r="C35" s="1208"/>
      <c r="D35" s="1213"/>
      <c r="E35" s="1115"/>
      <c r="F35" s="1115"/>
      <c r="G35" s="1115"/>
      <c r="H35" s="1116"/>
      <c r="I35" s="1115"/>
      <c r="J35" s="1115"/>
      <c r="K35" s="1115"/>
      <c r="L35" s="1115"/>
      <c r="M35" s="1116"/>
      <c r="N35" s="308"/>
      <c r="O35" s="308"/>
      <c r="P35" s="308"/>
      <c r="Q35" s="308"/>
      <c r="R35" s="308"/>
      <c r="S35" s="308"/>
      <c r="T35" s="308"/>
    </row>
    <row r="36" spans="1:20" ht="25.5">
      <c r="A36" s="1085"/>
      <c r="B36" s="1204" t="s">
        <v>131</v>
      </c>
      <c r="C36" s="1189"/>
      <c r="D36" s="1214"/>
      <c r="E36" s="1215"/>
      <c r="F36" s="1215"/>
      <c r="G36" s="1215"/>
      <c r="H36" s="1216"/>
      <c r="I36" s="1215"/>
      <c r="J36" s="1215"/>
      <c r="K36" s="1215"/>
      <c r="L36" s="1215"/>
      <c r="M36" s="1216"/>
      <c r="N36" s="308"/>
      <c r="O36" s="308"/>
      <c r="P36" s="308"/>
      <c r="Q36" s="308"/>
      <c r="R36" s="308"/>
      <c r="S36" s="308"/>
      <c r="T36" s="308"/>
    </row>
    <row r="37" spans="1:20">
      <c r="A37" s="1085"/>
      <c r="B37" s="1206" t="s">
        <v>803</v>
      </c>
      <c r="C37" s="1189" t="s">
        <v>579</v>
      </c>
      <c r="D37" s="358">
        <v>19523.266459129649</v>
      </c>
      <c r="E37" s="359">
        <v>19016.929435043203</v>
      </c>
      <c r="F37" s="359">
        <v>19286.227944554696</v>
      </c>
      <c r="G37" s="359">
        <v>19229.074695564028</v>
      </c>
      <c r="H37" s="360">
        <v>18354.625369378955</v>
      </c>
      <c r="I37" s="359">
        <v>18249.277296070482</v>
      </c>
      <c r="J37" s="361">
        <v>18625.949514491527</v>
      </c>
      <c r="K37" s="361">
        <v>18839.156840147247</v>
      </c>
      <c r="L37" s="361">
        <v>18968.934447947027</v>
      </c>
      <c r="M37" s="360">
        <v>19043.032656457795</v>
      </c>
      <c r="N37" s="308"/>
      <c r="O37" s="308"/>
      <c r="P37" s="308"/>
      <c r="Q37" s="308"/>
      <c r="R37" s="308"/>
      <c r="S37" s="308"/>
      <c r="T37" s="308"/>
    </row>
    <row r="38" spans="1:20">
      <c r="A38" s="1085"/>
      <c r="B38" s="1206" t="s">
        <v>802</v>
      </c>
      <c r="C38" s="1189" t="s">
        <v>579</v>
      </c>
      <c r="D38" s="358">
        <v>9858.5454833604635</v>
      </c>
      <c r="E38" s="359">
        <v>9824.4309793401699</v>
      </c>
      <c r="F38" s="359">
        <v>9669.4932603255311</v>
      </c>
      <c r="G38" s="359">
        <v>9284.365647030776</v>
      </c>
      <c r="H38" s="360">
        <v>8814.1175596317244</v>
      </c>
      <c r="I38" s="359">
        <v>8770.9283566940048</v>
      </c>
      <c r="J38" s="361">
        <v>8899.7393939265985</v>
      </c>
      <c r="K38" s="361">
        <v>8891.2436669772342</v>
      </c>
      <c r="L38" s="361">
        <v>8918.3642564082056</v>
      </c>
      <c r="M38" s="360">
        <v>8878.6686216122453</v>
      </c>
      <c r="N38" s="308"/>
      <c r="O38" s="308"/>
      <c r="P38" s="308"/>
      <c r="Q38" s="308"/>
      <c r="R38" s="308"/>
      <c r="S38" s="308"/>
      <c r="T38" s="308"/>
    </row>
    <row r="39" spans="1:20">
      <c r="A39" s="1085"/>
      <c r="B39" s="1206" t="s">
        <v>273</v>
      </c>
      <c r="C39" s="1189" t="s">
        <v>579</v>
      </c>
      <c r="D39" s="358">
        <v>723.04843243768596</v>
      </c>
      <c r="E39" s="359">
        <v>667.58656842679875</v>
      </c>
      <c r="F39" s="359">
        <v>709.64125757199179</v>
      </c>
      <c r="G39" s="359">
        <v>620.31725384461356</v>
      </c>
      <c r="H39" s="360">
        <v>617.33927655000002</v>
      </c>
      <c r="I39" s="359">
        <v>617.33927655000002</v>
      </c>
      <c r="J39" s="361">
        <v>617.33927655000002</v>
      </c>
      <c r="K39" s="361">
        <v>617.33927655000002</v>
      </c>
      <c r="L39" s="361">
        <v>617.33927655000002</v>
      </c>
      <c r="M39" s="360">
        <v>617.33927655000002</v>
      </c>
      <c r="N39" s="308"/>
      <c r="O39" s="308"/>
      <c r="P39" s="308"/>
      <c r="Q39" s="308"/>
      <c r="R39" s="308"/>
      <c r="S39" s="308"/>
      <c r="T39" s="308"/>
    </row>
    <row r="40" spans="1:20">
      <c r="A40" s="1085"/>
      <c r="B40" s="1204" t="s">
        <v>267</v>
      </c>
      <c r="C40" s="1189" t="s">
        <v>579</v>
      </c>
      <c r="D40" s="1133">
        <v>30104.860374927797</v>
      </c>
      <c r="E40" s="1134">
        <v>29508.946982810172</v>
      </c>
      <c r="F40" s="1134">
        <v>29665.362462452216</v>
      </c>
      <c r="G40" s="1134">
        <v>29133.757596439416</v>
      </c>
      <c r="H40" s="1135">
        <v>27786.08220556068</v>
      </c>
      <c r="I40" s="1134">
        <v>27637.544929314488</v>
      </c>
      <c r="J40" s="1136">
        <v>28143.028184968123</v>
      </c>
      <c r="K40" s="1136">
        <v>28347.739783674482</v>
      </c>
      <c r="L40" s="1136">
        <v>28504.637980905234</v>
      </c>
      <c r="M40" s="1135">
        <v>28539.040554620038</v>
      </c>
      <c r="N40" s="308"/>
      <c r="O40" s="308"/>
      <c r="P40" s="308"/>
      <c r="Q40" s="308"/>
      <c r="R40" s="308"/>
      <c r="S40" s="308"/>
      <c r="T40" s="308"/>
    </row>
    <row r="41" spans="1:20">
      <c r="A41" s="1085"/>
      <c r="B41" s="1132"/>
      <c r="C41" s="1189"/>
      <c r="D41" s="1209"/>
      <c r="E41" s="1210"/>
      <c r="F41" s="1210"/>
      <c r="G41" s="1210"/>
      <c r="H41" s="1211"/>
      <c r="I41" s="1210"/>
      <c r="J41" s="1210"/>
      <c r="K41" s="1210"/>
      <c r="L41" s="1210"/>
      <c r="M41" s="1211"/>
      <c r="N41" s="308"/>
      <c r="O41" s="308"/>
      <c r="P41" s="308"/>
      <c r="Q41" s="308"/>
      <c r="R41" s="308"/>
      <c r="S41" s="308"/>
      <c r="T41" s="308"/>
    </row>
    <row r="42" spans="1:20" ht="51">
      <c r="A42" s="1085"/>
      <c r="B42" s="1132" t="s">
        <v>389</v>
      </c>
      <c r="C42" s="1189"/>
      <c r="D42" s="1214"/>
      <c r="E42" s="1215"/>
      <c r="F42" s="1215"/>
      <c r="G42" s="1215"/>
      <c r="H42" s="1216"/>
      <c r="I42" s="1215"/>
      <c r="J42" s="1215"/>
      <c r="K42" s="1215"/>
      <c r="L42" s="1215"/>
      <c r="M42" s="1216"/>
      <c r="N42" s="308"/>
      <c r="O42" s="308"/>
      <c r="P42" s="308"/>
      <c r="Q42" s="308"/>
      <c r="R42" s="308"/>
      <c r="S42" s="308"/>
      <c r="T42" s="308"/>
    </row>
    <row r="43" spans="1:20">
      <c r="A43" s="1085"/>
      <c r="B43" s="1206" t="s">
        <v>803</v>
      </c>
      <c r="C43" s="1189" t="s">
        <v>390</v>
      </c>
      <c r="D43" s="358">
        <v>203209.96209810363</v>
      </c>
      <c r="E43" s="359">
        <v>253590.32384568275</v>
      </c>
      <c r="F43" s="359">
        <v>247138.81248500801</v>
      </c>
      <c r="G43" s="359">
        <v>162407.16110561299</v>
      </c>
      <c r="H43" s="360">
        <v>149722.57225309103</v>
      </c>
      <c r="I43" s="359">
        <v>153294.52527383162</v>
      </c>
      <c r="J43" s="361">
        <v>166488.8696913333</v>
      </c>
      <c r="K43" s="361">
        <v>183276.66213915555</v>
      </c>
      <c r="L43" s="361">
        <v>202079.72137829248</v>
      </c>
      <c r="M43" s="360">
        <v>223108.77229215583</v>
      </c>
      <c r="N43" s="308"/>
      <c r="O43" s="308"/>
      <c r="P43" s="308"/>
      <c r="Q43" s="308"/>
      <c r="R43" s="308"/>
      <c r="S43" s="308"/>
      <c r="T43" s="308"/>
    </row>
    <row r="44" spans="1:20">
      <c r="A44" s="1085"/>
      <c r="B44" s="1206" t="s">
        <v>802</v>
      </c>
      <c r="C44" s="1189" t="s">
        <v>390</v>
      </c>
      <c r="D44" s="358">
        <v>196300.37897250504</v>
      </c>
      <c r="E44" s="359">
        <v>316771.32806155022</v>
      </c>
      <c r="F44" s="359">
        <v>192019.68535005167</v>
      </c>
      <c r="G44" s="359">
        <v>167619.73170206739</v>
      </c>
      <c r="H44" s="360">
        <v>148778.564486669</v>
      </c>
      <c r="I44" s="359">
        <v>155157.10374795471</v>
      </c>
      <c r="J44" s="361">
        <v>170132.01575159584</v>
      </c>
      <c r="K44" s="361">
        <v>188455.3599958031</v>
      </c>
      <c r="L44" s="361">
        <v>210209.41272066924</v>
      </c>
      <c r="M44" s="360">
        <v>235525.00613990793</v>
      </c>
      <c r="N44" s="308"/>
      <c r="O44" s="308"/>
      <c r="P44" s="308"/>
      <c r="Q44" s="308"/>
      <c r="R44" s="308"/>
      <c r="S44" s="308"/>
      <c r="T44" s="308"/>
    </row>
    <row r="45" spans="1:20">
      <c r="A45" s="1085"/>
      <c r="B45" s="1206" t="s">
        <v>273</v>
      </c>
      <c r="C45" s="1189" t="s">
        <v>390</v>
      </c>
      <c r="D45" s="358">
        <v>0</v>
      </c>
      <c r="E45" s="359">
        <v>0</v>
      </c>
      <c r="F45" s="359">
        <v>0</v>
      </c>
      <c r="G45" s="359">
        <v>0</v>
      </c>
      <c r="H45" s="360">
        <v>0</v>
      </c>
      <c r="I45" s="359">
        <v>0</v>
      </c>
      <c r="J45" s="361">
        <v>0</v>
      </c>
      <c r="K45" s="361">
        <v>0</v>
      </c>
      <c r="L45" s="361">
        <v>0</v>
      </c>
      <c r="M45" s="360">
        <v>0</v>
      </c>
      <c r="N45" s="308"/>
      <c r="O45" s="308"/>
      <c r="P45" s="308"/>
      <c r="Q45" s="308"/>
      <c r="R45" s="308"/>
      <c r="S45" s="308"/>
      <c r="T45" s="308"/>
    </row>
    <row r="46" spans="1:20" ht="39" thickBot="1">
      <c r="A46" s="1085"/>
      <c r="B46" s="1144" t="s">
        <v>391</v>
      </c>
      <c r="C46" s="1199" t="s">
        <v>390</v>
      </c>
      <c r="D46" s="1120">
        <v>399510.3410706087</v>
      </c>
      <c r="E46" s="1121">
        <v>570361.65190723294</v>
      </c>
      <c r="F46" s="1121">
        <v>439158.49783505965</v>
      </c>
      <c r="G46" s="1121">
        <v>330026.89280768041</v>
      </c>
      <c r="H46" s="1122">
        <v>298501.13673976006</v>
      </c>
      <c r="I46" s="1121">
        <v>308451.62902178633</v>
      </c>
      <c r="J46" s="1123">
        <v>336620.88544292911</v>
      </c>
      <c r="K46" s="1123">
        <v>371732.02213495865</v>
      </c>
      <c r="L46" s="1123">
        <v>412289.13409896172</v>
      </c>
      <c r="M46" s="1122">
        <v>458633.77843206376</v>
      </c>
      <c r="N46" s="364"/>
      <c r="O46" s="308"/>
      <c r="P46" s="308"/>
      <c r="Q46" s="308"/>
      <c r="R46" s="308"/>
      <c r="S46" s="308"/>
      <c r="T46" s="308"/>
    </row>
    <row r="47" spans="1:20">
      <c r="A47" s="308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</row>
    <row r="48" spans="1:20">
      <c r="A48" s="1085"/>
      <c r="B48" s="1085"/>
      <c r="C48" s="1181"/>
      <c r="D48" s="1200"/>
      <c r="E48" s="1200"/>
      <c r="F48" s="1200"/>
      <c r="G48" s="1200"/>
      <c r="H48" s="1200"/>
      <c r="I48" s="1200"/>
      <c r="J48" s="1200"/>
      <c r="K48" s="1200"/>
      <c r="L48" s="1200"/>
      <c r="M48" s="1200"/>
      <c r="N48" s="308"/>
      <c r="O48" s="308"/>
      <c r="P48" s="308"/>
      <c r="Q48" s="308"/>
      <c r="R48" s="308"/>
      <c r="S48" s="308"/>
      <c r="T48" s="308"/>
    </row>
    <row r="49" spans="1:20">
      <c r="A49" s="1085"/>
      <c r="B49" s="1084" t="s">
        <v>144</v>
      </c>
      <c r="C49" s="1181"/>
      <c r="D49" s="1200"/>
      <c r="E49" s="1200"/>
      <c r="F49" s="1200"/>
      <c r="G49" s="1200"/>
      <c r="H49" s="1200"/>
      <c r="I49" s="1200"/>
      <c r="J49" s="1200"/>
      <c r="K49" s="1200"/>
      <c r="L49" s="1200"/>
      <c r="M49" s="1200"/>
      <c r="N49" s="308"/>
      <c r="O49" s="308"/>
      <c r="P49" s="308"/>
      <c r="Q49" s="308"/>
      <c r="R49" s="308"/>
      <c r="S49" s="308"/>
      <c r="T49" s="308"/>
    </row>
    <row r="50" spans="1:20" ht="13.5" thickBot="1">
      <c r="A50" s="1085"/>
      <c r="B50" s="1084"/>
      <c r="C50" s="1181"/>
      <c r="D50" s="1200"/>
      <c r="E50" s="1200"/>
      <c r="F50" s="1200"/>
      <c r="G50" s="1200"/>
      <c r="H50" s="1200"/>
      <c r="I50" s="1200"/>
      <c r="J50" s="1200"/>
      <c r="K50" s="1200"/>
      <c r="L50" s="1200"/>
      <c r="M50" s="1200"/>
      <c r="N50" s="308"/>
      <c r="O50" s="308"/>
      <c r="P50" s="308"/>
      <c r="Q50" s="308"/>
      <c r="R50" s="308"/>
      <c r="S50" s="308"/>
      <c r="T50" s="308"/>
    </row>
    <row r="51" spans="1:20">
      <c r="A51" s="1085"/>
      <c r="B51" s="1125"/>
      <c r="C51" s="1217"/>
      <c r="D51" s="1102" t="s">
        <v>645</v>
      </c>
      <c r="E51" s="1103"/>
      <c r="F51" s="1103"/>
      <c r="G51" s="1103"/>
      <c r="H51" s="1104"/>
      <c r="I51" s="1103" t="s">
        <v>646</v>
      </c>
      <c r="J51" s="1105"/>
      <c r="K51" s="1105"/>
      <c r="L51" s="1105"/>
      <c r="M51" s="1104"/>
      <c r="N51" s="308"/>
      <c r="O51" s="308"/>
      <c r="P51" s="308"/>
      <c r="Q51" s="308"/>
      <c r="R51" s="308"/>
      <c r="S51" s="308"/>
      <c r="T51" s="308"/>
    </row>
    <row r="52" spans="1:20">
      <c r="A52" s="1085"/>
      <c r="B52" s="1128"/>
      <c r="C52" s="1218" t="s">
        <v>559</v>
      </c>
      <c r="D52" s="1184" t="s">
        <v>560</v>
      </c>
      <c r="E52" s="1185" t="s">
        <v>561</v>
      </c>
      <c r="F52" s="1185" t="s">
        <v>557</v>
      </c>
      <c r="G52" s="1185" t="s">
        <v>562</v>
      </c>
      <c r="H52" s="1186" t="s">
        <v>563</v>
      </c>
      <c r="I52" s="1187" t="s">
        <v>647</v>
      </c>
      <c r="J52" s="1185" t="s">
        <v>666</v>
      </c>
      <c r="K52" s="1185" t="s">
        <v>667</v>
      </c>
      <c r="L52" s="1185" t="s">
        <v>668</v>
      </c>
      <c r="M52" s="1186" t="s">
        <v>669</v>
      </c>
      <c r="N52" s="308"/>
      <c r="O52" s="308"/>
      <c r="P52" s="308"/>
      <c r="Q52" s="308"/>
      <c r="R52" s="308"/>
      <c r="S52" s="308"/>
      <c r="T52" s="308"/>
    </row>
    <row r="53" spans="1:20">
      <c r="A53" s="1085"/>
      <c r="B53" s="1219" t="s">
        <v>145</v>
      </c>
      <c r="C53" s="1220"/>
      <c r="D53" s="1221"/>
      <c r="E53" s="1222"/>
      <c r="F53" s="1222"/>
      <c r="G53" s="1222"/>
      <c r="H53" s="1223"/>
      <c r="I53" s="1210"/>
      <c r="J53" s="1210"/>
      <c r="K53" s="1210"/>
      <c r="L53" s="1210"/>
      <c r="M53" s="1211"/>
      <c r="N53" s="370"/>
      <c r="O53" s="308"/>
      <c r="P53" s="308"/>
      <c r="Q53" s="308"/>
      <c r="R53" s="308"/>
      <c r="S53" s="308"/>
      <c r="T53" s="308"/>
    </row>
    <row r="54" spans="1:20">
      <c r="A54" s="1085"/>
      <c r="B54" s="1201" t="s">
        <v>233</v>
      </c>
      <c r="C54" s="1224"/>
      <c r="D54" s="1225"/>
      <c r="E54" s="1226"/>
      <c r="F54" s="1226"/>
      <c r="G54" s="1226"/>
      <c r="H54" s="1227"/>
      <c r="I54" s="1115"/>
      <c r="J54" s="1115"/>
      <c r="K54" s="1115"/>
      <c r="L54" s="1115"/>
      <c r="M54" s="1116"/>
      <c r="N54" s="370"/>
      <c r="O54" s="308"/>
      <c r="P54" s="308"/>
      <c r="Q54" s="308"/>
      <c r="R54" s="308"/>
      <c r="S54" s="308"/>
      <c r="T54" s="308"/>
    </row>
    <row r="55" spans="1:20">
      <c r="A55" s="1085"/>
      <c r="B55" s="1228" t="s">
        <v>234</v>
      </c>
      <c r="C55" s="1224" t="s">
        <v>235</v>
      </c>
      <c r="D55" s="371">
        <v>2</v>
      </c>
      <c r="E55" s="372">
        <v>2</v>
      </c>
      <c r="F55" s="372">
        <v>4</v>
      </c>
      <c r="G55" s="372">
        <v>3.6</v>
      </c>
      <c r="H55" s="373">
        <v>3.2</v>
      </c>
      <c r="I55" s="372">
        <v>3.4</v>
      </c>
      <c r="J55" s="374">
        <v>3.7</v>
      </c>
      <c r="K55" s="374">
        <v>4.2</v>
      </c>
      <c r="L55" s="374">
        <v>4.7</v>
      </c>
      <c r="M55" s="373">
        <v>5.3</v>
      </c>
      <c r="N55" s="308"/>
      <c r="O55" s="308"/>
      <c r="P55" s="308"/>
      <c r="Q55" s="308"/>
      <c r="R55" s="308"/>
      <c r="S55" s="308"/>
      <c r="T55" s="308"/>
    </row>
    <row r="56" spans="1:20">
      <c r="A56" s="1085"/>
      <c r="B56" s="1228" t="s">
        <v>236</v>
      </c>
      <c r="C56" s="1224" t="s">
        <v>235</v>
      </c>
      <c r="D56" s="371">
        <v>34184</v>
      </c>
      <c r="E56" s="372">
        <v>34314.800000000003</v>
      </c>
      <c r="F56" s="372">
        <v>33331</v>
      </c>
      <c r="G56" s="372">
        <v>27899.8</v>
      </c>
      <c r="H56" s="373">
        <v>28372.2</v>
      </c>
      <c r="I56" s="372">
        <v>30153.7</v>
      </c>
      <c r="J56" s="374">
        <v>31706.1</v>
      </c>
      <c r="K56" s="374">
        <v>34216.199999999997</v>
      </c>
      <c r="L56" s="374">
        <v>36957.800000000003</v>
      </c>
      <c r="M56" s="373">
        <v>39945.800000000003</v>
      </c>
      <c r="N56" s="308"/>
      <c r="O56" s="308"/>
      <c r="P56" s="308"/>
      <c r="Q56" s="308"/>
      <c r="R56" s="308"/>
      <c r="S56" s="308"/>
      <c r="T56" s="308"/>
    </row>
    <row r="57" spans="1:20">
      <c r="A57" s="1085"/>
      <c r="B57" s="1228" t="s">
        <v>489</v>
      </c>
      <c r="C57" s="1224" t="s">
        <v>235</v>
      </c>
      <c r="D57" s="371">
        <v>9236.7000000000007</v>
      </c>
      <c r="E57" s="372">
        <v>10487.1</v>
      </c>
      <c r="F57" s="372">
        <v>6982.5</v>
      </c>
      <c r="G57" s="372">
        <v>9608.2000000000007</v>
      </c>
      <c r="H57" s="373">
        <v>10088.700000000001</v>
      </c>
      <c r="I57" s="372">
        <v>9584.2000000000007</v>
      </c>
      <c r="J57" s="374">
        <v>8625.7999999999993</v>
      </c>
      <c r="K57" s="374">
        <v>8625.7999999999993</v>
      </c>
      <c r="L57" s="374">
        <v>8625.7999999999993</v>
      </c>
      <c r="M57" s="373">
        <v>8625.7999999999993</v>
      </c>
      <c r="N57" s="308"/>
      <c r="O57" s="308"/>
      <c r="P57" s="308"/>
      <c r="Q57" s="308"/>
      <c r="R57" s="308"/>
      <c r="S57" s="308"/>
      <c r="T57" s="308"/>
    </row>
    <row r="58" spans="1:20">
      <c r="A58" s="1085"/>
      <c r="B58" s="1201" t="s">
        <v>365</v>
      </c>
      <c r="C58" s="1224"/>
      <c r="D58" s="1229"/>
      <c r="E58" s="1230"/>
      <c r="F58" s="1230"/>
      <c r="G58" s="1230"/>
      <c r="H58" s="1231"/>
      <c r="I58" s="1232"/>
      <c r="J58" s="1232"/>
      <c r="K58" s="1232"/>
      <c r="L58" s="1232"/>
      <c r="M58" s="1233"/>
      <c r="N58" s="370"/>
      <c r="O58" s="308"/>
      <c r="P58" s="308"/>
      <c r="Q58" s="308"/>
      <c r="R58" s="308"/>
      <c r="S58" s="308"/>
      <c r="T58" s="308"/>
    </row>
    <row r="59" spans="1:20">
      <c r="A59" s="1085"/>
      <c r="B59" s="1228" t="s">
        <v>234</v>
      </c>
      <c r="C59" s="1224" t="s">
        <v>235</v>
      </c>
      <c r="D59" s="371">
        <v>0</v>
      </c>
      <c r="E59" s="372">
        <v>6</v>
      </c>
      <c r="F59" s="372">
        <v>10</v>
      </c>
      <c r="G59" s="372">
        <v>9</v>
      </c>
      <c r="H59" s="373">
        <v>8.1</v>
      </c>
      <c r="I59" s="372">
        <v>8.5</v>
      </c>
      <c r="J59" s="374">
        <v>9.4</v>
      </c>
      <c r="K59" s="374">
        <v>10.4</v>
      </c>
      <c r="L59" s="374">
        <v>11.6</v>
      </c>
      <c r="M59" s="373">
        <v>13.1</v>
      </c>
      <c r="N59" s="308"/>
      <c r="O59" s="308"/>
      <c r="P59" s="308"/>
      <c r="Q59" s="308"/>
      <c r="R59" s="308"/>
      <c r="S59" s="308"/>
      <c r="T59" s="308"/>
    </row>
    <row r="60" spans="1:20">
      <c r="A60" s="1085"/>
      <c r="B60" s="1228" t="s">
        <v>236</v>
      </c>
      <c r="C60" s="1224" t="s">
        <v>235</v>
      </c>
      <c r="D60" s="371">
        <v>81</v>
      </c>
      <c r="E60" s="372">
        <v>396</v>
      </c>
      <c r="F60" s="372">
        <v>196</v>
      </c>
      <c r="G60" s="372">
        <v>174.7</v>
      </c>
      <c r="H60" s="373">
        <v>156.6</v>
      </c>
      <c r="I60" s="372">
        <v>164</v>
      </c>
      <c r="J60" s="374">
        <v>180.3</v>
      </c>
      <c r="K60" s="374">
        <v>200</v>
      </c>
      <c r="L60" s="374">
        <v>223.7</v>
      </c>
      <c r="M60" s="373">
        <v>252.1</v>
      </c>
      <c r="N60" s="308"/>
      <c r="O60" s="308"/>
      <c r="P60" s="308"/>
      <c r="Q60" s="308"/>
      <c r="R60" s="308"/>
      <c r="S60" s="308"/>
      <c r="T60" s="308"/>
    </row>
    <row r="61" spans="1:20">
      <c r="A61" s="1085"/>
      <c r="B61" s="1228" t="s">
        <v>489</v>
      </c>
      <c r="C61" s="1224" t="s">
        <v>235</v>
      </c>
      <c r="D61" s="371">
        <v>93.3</v>
      </c>
      <c r="E61" s="372">
        <v>105.9</v>
      </c>
      <c r="F61" s="372">
        <v>70.5</v>
      </c>
      <c r="G61" s="372">
        <v>97.1</v>
      </c>
      <c r="H61" s="373">
        <v>101.9</v>
      </c>
      <c r="I61" s="372">
        <v>96.8</v>
      </c>
      <c r="J61" s="374">
        <v>87.1</v>
      </c>
      <c r="K61" s="374">
        <v>87.1</v>
      </c>
      <c r="L61" s="374">
        <v>87.1</v>
      </c>
      <c r="M61" s="373">
        <v>87.1</v>
      </c>
      <c r="N61" s="308"/>
      <c r="O61" s="308"/>
      <c r="P61" s="308"/>
      <c r="Q61" s="308"/>
      <c r="R61" s="308"/>
      <c r="S61" s="308"/>
      <c r="T61" s="308"/>
    </row>
    <row r="62" spans="1:20">
      <c r="A62" s="1085"/>
      <c r="B62" s="1201" t="s">
        <v>488</v>
      </c>
      <c r="C62" s="1224"/>
      <c r="D62" s="1229"/>
      <c r="E62" s="1230"/>
      <c r="F62" s="1230"/>
      <c r="G62" s="1230"/>
      <c r="H62" s="1231"/>
      <c r="I62" s="1232"/>
      <c r="J62" s="1232"/>
      <c r="K62" s="1232"/>
      <c r="L62" s="1232"/>
      <c r="M62" s="1233"/>
      <c r="N62" s="370"/>
      <c r="O62" s="308"/>
      <c r="P62" s="308"/>
      <c r="Q62" s="308"/>
      <c r="R62" s="308"/>
      <c r="S62" s="308"/>
      <c r="T62" s="308"/>
    </row>
    <row r="63" spans="1:20">
      <c r="A63" s="1085"/>
      <c r="B63" s="1228" t="s">
        <v>234</v>
      </c>
      <c r="C63" s="1224" t="s">
        <v>235</v>
      </c>
      <c r="D63" s="371">
        <v>0</v>
      </c>
      <c r="E63" s="372">
        <v>0</v>
      </c>
      <c r="F63" s="372">
        <v>0</v>
      </c>
      <c r="G63" s="372">
        <v>0</v>
      </c>
      <c r="H63" s="373">
        <v>0</v>
      </c>
      <c r="I63" s="372">
        <v>0</v>
      </c>
      <c r="J63" s="374">
        <v>0</v>
      </c>
      <c r="K63" s="374">
        <v>0</v>
      </c>
      <c r="L63" s="374">
        <v>0</v>
      </c>
      <c r="M63" s="373">
        <v>0</v>
      </c>
      <c r="N63" s="308"/>
      <c r="O63" s="308"/>
      <c r="P63" s="308"/>
      <c r="Q63" s="308"/>
      <c r="R63" s="308"/>
      <c r="S63" s="308"/>
      <c r="T63" s="308"/>
    </row>
    <row r="64" spans="1:20">
      <c r="A64" s="1085"/>
      <c r="B64" s="1228" t="s">
        <v>236</v>
      </c>
      <c r="C64" s="1224" t="s">
        <v>235</v>
      </c>
      <c r="D64" s="371">
        <v>0</v>
      </c>
      <c r="E64" s="372">
        <v>0</v>
      </c>
      <c r="F64" s="372">
        <v>0</v>
      </c>
      <c r="G64" s="372">
        <v>0</v>
      </c>
      <c r="H64" s="373">
        <v>0</v>
      </c>
      <c r="I64" s="372">
        <v>0</v>
      </c>
      <c r="J64" s="374">
        <v>0</v>
      </c>
      <c r="K64" s="374">
        <v>0</v>
      </c>
      <c r="L64" s="374">
        <v>0</v>
      </c>
      <c r="M64" s="373">
        <v>0</v>
      </c>
      <c r="N64" s="308"/>
      <c r="O64" s="308"/>
      <c r="P64" s="308"/>
      <c r="Q64" s="308"/>
      <c r="R64" s="308"/>
      <c r="S64" s="308"/>
      <c r="T64" s="308"/>
    </row>
    <row r="65" spans="1:20">
      <c r="A65" s="1085"/>
      <c r="B65" s="1228" t="s">
        <v>489</v>
      </c>
      <c r="C65" s="1224" t="s">
        <v>235</v>
      </c>
      <c r="D65" s="371">
        <v>0</v>
      </c>
      <c r="E65" s="372">
        <v>0</v>
      </c>
      <c r="F65" s="372">
        <v>0</v>
      </c>
      <c r="G65" s="372">
        <v>0</v>
      </c>
      <c r="H65" s="373">
        <v>0</v>
      </c>
      <c r="I65" s="372">
        <v>0</v>
      </c>
      <c r="J65" s="374">
        <v>0</v>
      </c>
      <c r="K65" s="374">
        <v>0</v>
      </c>
      <c r="L65" s="374">
        <v>0</v>
      </c>
      <c r="M65" s="373">
        <v>0</v>
      </c>
      <c r="N65" s="308"/>
      <c r="O65" s="308"/>
      <c r="P65" s="308"/>
      <c r="Q65" s="308"/>
      <c r="R65" s="308"/>
      <c r="S65" s="308"/>
      <c r="T65" s="308"/>
    </row>
    <row r="66" spans="1:20">
      <c r="A66" s="1085"/>
      <c r="B66" s="1201" t="s">
        <v>492</v>
      </c>
      <c r="C66" s="1224"/>
      <c r="D66" s="1229"/>
      <c r="E66" s="1230"/>
      <c r="F66" s="1230"/>
      <c r="G66" s="1230"/>
      <c r="H66" s="1231"/>
      <c r="I66" s="1232"/>
      <c r="J66" s="1232"/>
      <c r="K66" s="1232"/>
      <c r="L66" s="1232"/>
      <c r="M66" s="1233"/>
      <c r="N66" s="370"/>
      <c r="O66" s="308"/>
      <c r="P66" s="308"/>
      <c r="Q66" s="308"/>
      <c r="R66" s="308"/>
      <c r="S66" s="308"/>
      <c r="T66" s="308"/>
    </row>
    <row r="67" spans="1:20">
      <c r="A67" s="1085"/>
      <c r="B67" s="1228" t="s">
        <v>234</v>
      </c>
      <c r="C67" s="1224" t="s">
        <v>235</v>
      </c>
      <c r="D67" s="375">
        <v>0</v>
      </c>
      <c r="E67" s="376">
        <v>0</v>
      </c>
      <c r="F67" s="376">
        <v>0</v>
      </c>
      <c r="G67" s="376">
        <v>0</v>
      </c>
      <c r="H67" s="377">
        <v>0</v>
      </c>
      <c r="I67" s="376">
        <v>0</v>
      </c>
      <c r="J67" s="378">
        <v>0</v>
      </c>
      <c r="K67" s="378">
        <v>0</v>
      </c>
      <c r="L67" s="378">
        <v>0</v>
      </c>
      <c r="M67" s="377">
        <v>0</v>
      </c>
      <c r="N67" s="308"/>
      <c r="O67" s="308"/>
      <c r="P67" s="308"/>
      <c r="Q67" s="308"/>
      <c r="R67" s="308"/>
      <c r="S67" s="308"/>
      <c r="T67" s="308"/>
    </row>
    <row r="68" spans="1:20">
      <c r="A68" s="1085"/>
      <c r="B68" s="1228" t="s">
        <v>236</v>
      </c>
      <c r="C68" s="1224" t="s">
        <v>235</v>
      </c>
      <c r="D68" s="375">
        <v>0</v>
      </c>
      <c r="E68" s="376">
        <v>0</v>
      </c>
      <c r="F68" s="376">
        <v>0</v>
      </c>
      <c r="G68" s="376">
        <v>0</v>
      </c>
      <c r="H68" s="377">
        <v>0</v>
      </c>
      <c r="I68" s="376">
        <v>0</v>
      </c>
      <c r="J68" s="378">
        <v>0</v>
      </c>
      <c r="K68" s="378">
        <v>0</v>
      </c>
      <c r="L68" s="378">
        <v>0</v>
      </c>
      <c r="M68" s="377">
        <v>0</v>
      </c>
      <c r="N68" s="308"/>
      <c r="O68" s="308"/>
      <c r="P68" s="308"/>
      <c r="Q68" s="308"/>
      <c r="R68" s="308"/>
      <c r="S68" s="308"/>
      <c r="T68" s="308"/>
    </row>
    <row r="69" spans="1:20">
      <c r="A69" s="1085"/>
      <c r="B69" s="1228" t="s">
        <v>489</v>
      </c>
      <c r="C69" s="1224" t="s">
        <v>235</v>
      </c>
      <c r="D69" s="371">
        <v>0</v>
      </c>
      <c r="E69" s="372">
        <v>0</v>
      </c>
      <c r="F69" s="372">
        <v>0</v>
      </c>
      <c r="G69" s="372">
        <v>0</v>
      </c>
      <c r="H69" s="373">
        <v>0</v>
      </c>
      <c r="I69" s="372">
        <v>0</v>
      </c>
      <c r="J69" s="374">
        <v>0</v>
      </c>
      <c r="K69" s="374">
        <v>0</v>
      </c>
      <c r="L69" s="374">
        <v>0</v>
      </c>
      <c r="M69" s="373">
        <v>0</v>
      </c>
      <c r="N69" s="308"/>
      <c r="O69" s="308"/>
      <c r="P69" s="308"/>
      <c r="Q69" s="308"/>
      <c r="R69" s="308"/>
      <c r="S69" s="308"/>
      <c r="T69" s="308"/>
    </row>
    <row r="70" spans="1:20" ht="25.5">
      <c r="A70" s="1085"/>
      <c r="B70" s="1234" t="s">
        <v>493</v>
      </c>
      <c r="C70" s="1224" t="s">
        <v>235</v>
      </c>
      <c r="D70" s="1235">
        <v>34267</v>
      </c>
      <c r="E70" s="1236">
        <v>34718.800000000003</v>
      </c>
      <c r="F70" s="1236">
        <v>33541</v>
      </c>
      <c r="G70" s="1236">
        <v>28087.1</v>
      </c>
      <c r="H70" s="1237">
        <v>28540.1</v>
      </c>
      <c r="I70" s="1238">
        <v>30329.600000000002</v>
      </c>
      <c r="J70" s="1236">
        <v>31899.5</v>
      </c>
      <c r="K70" s="1236">
        <v>34430.799999999996</v>
      </c>
      <c r="L70" s="1236">
        <v>37197.799999999996</v>
      </c>
      <c r="M70" s="1237">
        <v>40216.300000000003</v>
      </c>
      <c r="N70" s="379"/>
      <c r="O70" s="308"/>
      <c r="P70" s="308"/>
      <c r="Q70" s="308"/>
      <c r="R70" s="308"/>
      <c r="S70" s="308"/>
      <c r="T70" s="308"/>
    </row>
    <row r="71" spans="1:20" ht="39" thickBot="1">
      <c r="A71" s="1085"/>
      <c r="B71" s="1239" t="s">
        <v>496</v>
      </c>
      <c r="C71" s="1240" t="s">
        <v>235</v>
      </c>
      <c r="D71" s="1241">
        <v>9330</v>
      </c>
      <c r="E71" s="1242">
        <v>10593</v>
      </c>
      <c r="F71" s="1242">
        <v>7053</v>
      </c>
      <c r="G71" s="1242">
        <v>9705.3000000000011</v>
      </c>
      <c r="H71" s="1243">
        <v>10190.6</v>
      </c>
      <c r="I71" s="1244">
        <v>9681</v>
      </c>
      <c r="J71" s="1242">
        <v>8712.9</v>
      </c>
      <c r="K71" s="1242">
        <v>8712.9</v>
      </c>
      <c r="L71" s="1242">
        <v>8712.9</v>
      </c>
      <c r="M71" s="1243">
        <v>8712.9</v>
      </c>
      <c r="N71" s="379"/>
      <c r="O71" s="308"/>
      <c r="P71" s="308"/>
      <c r="Q71" s="308"/>
      <c r="R71" s="308"/>
      <c r="S71" s="308"/>
      <c r="T71" s="308"/>
    </row>
    <row r="72" spans="1:20">
      <c r="A72" s="1085"/>
      <c r="B72" s="1245"/>
      <c r="C72" s="380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</row>
    <row r="73" spans="1:20">
      <c r="A73" s="1085"/>
      <c r="B73" s="1246"/>
      <c r="C73" s="1247"/>
      <c r="D73" s="1248"/>
      <c r="E73" s="1248"/>
      <c r="F73" s="1248"/>
      <c r="G73" s="1248"/>
      <c r="H73" s="1248"/>
      <c r="I73" s="1248"/>
      <c r="J73" s="1248"/>
      <c r="K73" s="1248"/>
      <c r="L73" s="1248"/>
      <c r="M73" s="1248"/>
      <c r="N73" s="308"/>
      <c r="O73" s="1248"/>
      <c r="P73" s="1248"/>
      <c r="Q73" s="1248"/>
      <c r="R73" s="308"/>
      <c r="S73" s="1248"/>
      <c r="T73" s="1248"/>
    </row>
    <row r="74" spans="1:20">
      <c r="A74" s="1085"/>
      <c r="B74" s="1084" t="s">
        <v>497</v>
      </c>
      <c r="C74" s="1247"/>
      <c r="D74" s="1248"/>
      <c r="E74" s="1248"/>
      <c r="F74" s="1248"/>
      <c r="G74" s="1248"/>
      <c r="H74" s="1248"/>
      <c r="I74" s="1248"/>
      <c r="J74" s="1248"/>
      <c r="K74" s="1248"/>
      <c r="L74" s="1248"/>
      <c r="M74" s="1248"/>
      <c r="N74" s="308"/>
      <c r="O74" s="1248"/>
      <c r="P74" s="1248"/>
      <c r="Q74" s="1248"/>
      <c r="R74" s="308"/>
      <c r="S74" s="1248"/>
      <c r="T74" s="1248"/>
    </row>
    <row r="75" spans="1:20" ht="13.5" thickBot="1">
      <c r="A75" s="1085"/>
      <c r="B75" s="1084"/>
      <c r="C75" s="1247"/>
      <c r="D75" s="1248"/>
      <c r="E75" s="1248"/>
      <c r="F75" s="1248"/>
      <c r="G75" s="1248"/>
      <c r="H75" s="1248"/>
      <c r="I75" s="1248"/>
      <c r="J75" s="1248"/>
      <c r="K75" s="1248"/>
      <c r="L75" s="1248"/>
      <c r="M75" s="1248"/>
      <c r="N75" s="308"/>
      <c r="O75" s="1248"/>
      <c r="P75" s="1248"/>
      <c r="Q75" s="1248"/>
      <c r="R75" s="308"/>
      <c r="S75" s="1248"/>
      <c r="T75" s="1248"/>
    </row>
    <row r="76" spans="1:20">
      <c r="A76" s="1085"/>
      <c r="B76" s="1249"/>
      <c r="C76" s="1217"/>
      <c r="D76" s="1102" t="s">
        <v>645</v>
      </c>
      <c r="E76" s="1103"/>
      <c r="F76" s="1103"/>
      <c r="G76" s="1103"/>
      <c r="H76" s="1104"/>
      <c r="I76" s="1103" t="s">
        <v>646</v>
      </c>
      <c r="J76" s="1105"/>
      <c r="K76" s="1105"/>
      <c r="L76" s="1105"/>
      <c r="M76" s="1104"/>
      <c r="N76" s="308"/>
      <c r="O76" s="1062" t="s">
        <v>645</v>
      </c>
      <c r="P76" s="1063"/>
      <c r="Q76" s="1064"/>
      <c r="R76" s="308"/>
      <c r="S76" s="1062" t="s">
        <v>646</v>
      </c>
      <c r="T76" s="1064"/>
    </row>
    <row r="77" spans="1:20" ht="25.5">
      <c r="A77" s="1085"/>
      <c r="B77" s="1250" t="s">
        <v>497</v>
      </c>
      <c r="C77" s="1218" t="s">
        <v>559</v>
      </c>
      <c r="D77" s="1184" t="s">
        <v>560</v>
      </c>
      <c r="E77" s="1185" t="s">
        <v>561</v>
      </c>
      <c r="F77" s="1185" t="s">
        <v>557</v>
      </c>
      <c r="G77" s="1185" t="s">
        <v>562</v>
      </c>
      <c r="H77" s="1186" t="s">
        <v>563</v>
      </c>
      <c r="I77" s="1187" t="s">
        <v>647</v>
      </c>
      <c r="J77" s="1185" t="s">
        <v>666</v>
      </c>
      <c r="K77" s="1185" t="s">
        <v>667</v>
      </c>
      <c r="L77" s="1185" t="s">
        <v>668</v>
      </c>
      <c r="M77" s="1186" t="s">
        <v>669</v>
      </c>
      <c r="N77" s="308"/>
      <c r="O77" s="1065" t="s">
        <v>656</v>
      </c>
      <c r="P77" s="1066" t="s">
        <v>657</v>
      </c>
      <c r="Q77" s="1067" t="s">
        <v>809</v>
      </c>
      <c r="R77" s="308"/>
      <c r="S77" s="1065" t="s">
        <v>657</v>
      </c>
      <c r="T77" s="1067" t="s">
        <v>658</v>
      </c>
    </row>
    <row r="78" spans="1:20">
      <c r="A78" s="1085"/>
      <c r="B78" s="1106" t="s">
        <v>502</v>
      </c>
      <c r="C78" s="1251"/>
      <c r="D78" s="1221"/>
      <c r="E78" s="1222"/>
      <c r="F78" s="1222"/>
      <c r="G78" s="1222"/>
      <c r="H78" s="1223"/>
      <c r="I78" s="1210"/>
      <c r="J78" s="1210"/>
      <c r="K78" s="1210"/>
      <c r="L78" s="1210"/>
      <c r="M78" s="1211"/>
      <c r="N78" s="308"/>
      <c r="O78" s="1209"/>
      <c r="P78" s="1210"/>
      <c r="Q78" s="1211"/>
      <c r="R78" s="308"/>
      <c r="S78" s="1209"/>
      <c r="T78" s="1211"/>
    </row>
    <row r="79" spans="1:20">
      <c r="A79" s="1085"/>
      <c r="B79" s="1111" t="s">
        <v>354</v>
      </c>
      <c r="C79" s="1252"/>
      <c r="D79" s="1071"/>
      <c r="E79" s="1203"/>
      <c r="F79" s="1203"/>
      <c r="G79" s="1203"/>
      <c r="H79" s="1072"/>
      <c r="I79" s="1203"/>
      <c r="J79" s="1203"/>
      <c r="K79" s="1203"/>
      <c r="L79" s="1203"/>
      <c r="M79" s="1072"/>
      <c r="N79" s="308"/>
      <c r="O79" s="1068"/>
      <c r="P79" s="1069"/>
      <c r="Q79" s="1070"/>
      <c r="R79" s="308"/>
      <c r="S79" s="1071"/>
      <c r="T79" s="1072"/>
    </row>
    <row r="80" spans="1:20">
      <c r="A80" s="1085"/>
      <c r="B80" s="1118" t="s">
        <v>503</v>
      </c>
      <c r="C80" s="1224" t="s">
        <v>542</v>
      </c>
      <c r="D80" s="358">
        <v>0</v>
      </c>
      <c r="E80" s="359">
        <v>0</v>
      </c>
      <c r="F80" s="359">
        <v>0</v>
      </c>
      <c r="G80" s="359">
        <v>27.973664081196581</v>
      </c>
      <c r="H80" s="360">
        <v>25.438403452282159</v>
      </c>
      <c r="I80" s="359">
        <v>25.226996820354664</v>
      </c>
      <c r="J80" s="361">
        <v>26.987440506563704</v>
      </c>
      <c r="K80" s="361">
        <v>29.540530490847459</v>
      </c>
      <c r="L80" s="361">
        <v>31.602534178947366</v>
      </c>
      <c r="M80" s="360">
        <v>33.746650109843941</v>
      </c>
      <c r="N80" s="308"/>
      <c r="O80" s="1073">
        <v>0</v>
      </c>
      <c r="P80" s="1074">
        <v>53.412067533478741</v>
      </c>
      <c r="Q80" s="1075">
        <v>53.412067533478741</v>
      </c>
      <c r="R80" s="308"/>
      <c r="S80" s="1073">
        <v>147.10415210655714</v>
      </c>
      <c r="T80" s="1076">
        <v>1.7541370124710507</v>
      </c>
    </row>
    <row r="81" spans="1:20">
      <c r="A81" s="1085"/>
      <c r="B81" s="1118" t="s">
        <v>504</v>
      </c>
      <c r="C81" s="1224" t="s">
        <v>542</v>
      </c>
      <c r="D81" s="358">
        <v>43.165151786332039</v>
      </c>
      <c r="E81" s="359">
        <v>30.970736755514366</v>
      </c>
      <c r="F81" s="359">
        <v>58.955014971873361</v>
      </c>
      <c r="G81" s="359">
        <v>15.828514551282051</v>
      </c>
      <c r="H81" s="360">
        <v>12.222357908713693</v>
      </c>
      <c r="I81" s="359">
        <v>12.1169039845798</v>
      </c>
      <c r="J81" s="361">
        <v>12.997627596911197</v>
      </c>
      <c r="K81" s="361">
        <v>14.274618760677967</v>
      </c>
      <c r="L81" s="361">
        <v>15.256395810526316</v>
      </c>
      <c r="M81" s="360">
        <v>16.32902424669868</v>
      </c>
      <c r="N81" s="308"/>
      <c r="O81" s="1073">
        <v>133.09090351371978</v>
      </c>
      <c r="P81" s="1074">
        <v>28.050872459995745</v>
      </c>
      <c r="Q81" s="1075">
        <v>161.14177597371551</v>
      </c>
      <c r="R81" s="308"/>
      <c r="S81" s="1073">
        <v>70.974570399393954</v>
      </c>
      <c r="T81" s="1076">
        <v>-0.55955201579154179</v>
      </c>
    </row>
    <row r="82" spans="1:20">
      <c r="A82" s="1085"/>
      <c r="B82" s="1253" t="s">
        <v>505</v>
      </c>
      <c r="C82" s="1224" t="s">
        <v>542</v>
      </c>
      <c r="D82" s="1073">
        <v>43.165151786332039</v>
      </c>
      <c r="E82" s="1254">
        <v>30.970736755514366</v>
      </c>
      <c r="F82" s="1254">
        <v>58.955014971873361</v>
      </c>
      <c r="G82" s="1254">
        <v>43.802178632478629</v>
      </c>
      <c r="H82" s="1075">
        <v>37.660761360995849</v>
      </c>
      <c r="I82" s="1254">
        <v>37.343900804934464</v>
      </c>
      <c r="J82" s="1074">
        <v>39.985068103474902</v>
      </c>
      <c r="K82" s="1074">
        <v>43.815149251525426</v>
      </c>
      <c r="L82" s="1074">
        <v>46.85892998947368</v>
      </c>
      <c r="M82" s="1075">
        <v>50.075674356542621</v>
      </c>
      <c r="N82" s="308"/>
      <c r="O82" s="1073">
        <v>133.09090351371978</v>
      </c>
      <c r="P82" s="1074">
        <v>81.462939993474478</v>
      </c>
      <c r="Q82" s="1075">
        <v>214.55384350719427</v>
      </c>
      <c r="R82" s="308"/>
      <c r="S82" s="1073">
        <v>218.07872250595108</v>
      </c>
      <c r="T82" s="1076">
        <v>1.6428878369818673E-2</v>
      </c>
    </row>
    <row r="83" spans="1:20">
      <c r="A83" s="1085"/>
      <c r="B83" s="1111" t="s">
        <v>355</v>
      </c>
      <c r="C83" s="1255"/>
      <c r="D83" s="1256"/>
      <c r="E83" s="1257"/>
      <c r="F83" s="1257"/>
      <c r="G83" s="1257"/>
      <c r="H83" s="1258"/>
      <c r="I83" s="1257"/>
      <c r="J83" s="1257"/>
      <c r="K83" s="1257"/>
      <c r="L83" s="1257"/>
      <c r="M83" s="1258"/>
      <c r="N83" s="308"/>
      <c r="O83" s="1259"/>
      <c r="P83" s="1257"/>
      <c r="Q83" s="1258"/>
      <c r="R83" s="308"/>
      <c r="S83" s="1256"/>
      <c r="T83" s="1258"/>
    </row>
    <row r="84" spans="1:20">
      <c r="A84" s="1085"/>
      <c r="B84" s="1118" t="s">
        <v>503</v>
      </c>
      <c r="C84" s="1224" t="s">
        <v>542</v>
      </c>
      <c r="D84" s="358">
        <v>0</v>
      </c>
      <c r="E84" s="359">
        <v>0</v>
      </c>
      <c r="F84" s="359">
        <v>0</v>
      </c>
      <c r="G84" s="359">
        <v>5.6743731410256411</v>
      </c>
      <c r="H84" s="360">
        <v>8.9431887136929458</v>
      </c>
      <c r="I84" s="359">
        <v>9.7332507417116432</v>
      </c>
      <c r="J84" s="361">
        <v>9.624197533590733</v>
      </c>
      <c r="K84" s="361">
        <v>9.9129296949152543</v>
      </c>
      <c r="L84" s="361">
        <v>10.104885536842104</v>
      </c>
      <c r="M84" s="360">
        <v>10.391197247899159</v>
      </c>
      <c r="N84" s="308"/>
      <c r="O84" s="1073">
        <v>0</v>
      </c>
      <c r="P84" s="1074">
        <v>14.617561854718588</v>
      </c>
      <c r="Q84" s="1075">
        <v>14.617561854718588</v>
      </c>
      <c r="R84" s="308"/>
      <c r="S84" s="1073">
        <v>49.766460754958892</v>
      </c>
      <c r="T84" s="1076">
        <v>2.4045664557180682</v>
      </c>
    </row>
    <row r="85" spans="1:20">
      <c r="A85" s="1085"/>
      <c r="B85" s="1118" t="s">
        <v>504</v>
      </c>
      <c r="C85" s="1224" t="s">
        <v>542</v>
      </c>
      <c r="D85" s="358">
        <v>10.766365803519308</v>
      </c>
      <c r="E85" s="359">
        <v>7.6679959169601482</v>
      </c>
      <c r="F85" s="359">
        <v>32.121006465216958</v>
      </c>
      <c r="G85" s="359">
        <v>11.149645470085469</v>
      </c>
      <c r="H85" s="360">
        <v>19.078802589211616</v>
      </c>
      <c r="I85" s="359">
        <v>20.75764698997687</v>
      </c>
      <c r="J85" s="361">
        <v>19.347613598455599</v>
      </c>
      <c r="K85" s="361">
        <v>19.825859389830509</v>
      </c>
      <c r="L85" s="361">
        <v>20.30883857894737</v>
      </c>
      <c r="M85" s="360">
        <v>20.881358279111645</v>
      </c>
      <c r="N85" s="308"/>
      <c r="O85" s="1073">
        <v>50.555368185696416</v>
      </c>
      <c r="P85" s="1074">
        <v>30.228448059297087</v>
      </c>
      <c r="Q85" s="1075">
        <v>80.783816244993503</v>
      </c>
      <c r="R85" s="308"/>
      <c r="S85" s="1073">
        <v>101.12131683632199</v>
      </c>
      <c r="T85" s="1076">
        <v>0.25175216443911053</v>
      </c>
    </row>
    <row r="86" spans="1:20">
      <c r="A86" s="1085"/>
      <c r="B86" s="1253" t="s">
        <v>506</v>
      </c>
      <c r="C86" s="1224" t="s">
        <v>542</v>
      </c>
      <c r="D86" s="1073">
        <v>10.766365803519308</v>
      </c>
      <c r="E86" s="1254">
        <v>7.6679959169601482</v>
      </c>
      <c r="F86" s="1254">
        <v>32.121006465216958</v>
      </c>
      <c r="G86" s="1254">
        <v>16.824018611111111</v>
      </c>
      <c r="H86" s="1075">
        <v>28.02199130290456</v>
      </c>
      <c r="I86" s="1254">
        <v>30.490897731688513</v>
      </c>
      <c r="J86" s="1074">
        <v>28.971811132046334</v>
      </c>
      <c r="K86" s="1074">
        <v>29.738789084745761</v>
      </c>
      <c r="L86" s="1074">
        <v>30.413724115789474</v>
      </c>
      <c r="M86" s="1075">
        <v>31.272555527010802</v>
      </c>
      <c r="N86" s="308"/>
      <c r="O86" s="1073">
        <v>50.555368185696416</v>
      </c>
      <c r="P86" s="1074">
        <v>44.846009914015667</v>
      </c>
      <c r="Q86" s="1075">
        <v>95.401378099712076</v>
      </c>
      <c r="R86" s="308"/>
      <c r="S86" s="1073">
        <v>150.88777759128089</v>
      </c>
      <c r="T86" s="1076">
        <v>0.58161004166601526</v>
      </c>
    </row>
    <row r="87" spans="1:20">
      <c r="A87" s="1085"/>
      <c r="B87" s="1111" t="s">
        <v>484</v>
      </c>
      <c r="C87" s="1255"/>
      <c r="D87" s="1256"/>
      <c r="E87" s="1257"/>
      <c r="F87" s="1257"/>
      <c r="G87" s="1257"/>
      <c r="H87" s="1258"/>
      <c r="I87" s="1257"/>
      <c r="J87" s="1257"/>
      <c r="K87" s="1257"/>
      <c r="L87" s="1257"/>
      <c r="M87" s="1258"/>
      <c r="N87" s="308"/>
      <c r="O87" s="1256"/>
      <c r="P87" s="1257"/>
      <c r="Q87" s="1258"/>
      <c r="R87" s="308"/>
      <c r="S87" s="1256"/>
      <c r="T87" s="1258"/>
    </row>
    <row r="88" spans="1:20">
      <c r="A88" s="1085"/>
      <c r="B88" s="1118" t="s">
        <v>503</v>
      </c>
      <c r="C88" s="1224" t="s">
        <v>542</v>
      </c>
      <c r="D88" s="358">
        <v>0</v>
      </c>
      <c r="E88" s="359">
        <v>0</v>
      </c>
      <c r="F88" s="359">
        <v>0</v>
      </c>
      <c r="G88" s="359">
        <v>0</v>
      </c>
      <c r="H88" s="360">
        <v>0</v>
      </c>
      <c r="I88" s="359">
        <v>0</v>
      </c>
      <c r="J88" s="361">
        <v>0</v>
      </c>
      <c r="K88" s="361">
        <v>0</v>
      </c>
      <c r="L88" s="361">
        <v>0</v>
      </c>
      <c r="M88" s="360">
        <v>0</v>
      </c>
      <c r="N88" s="308"/>
      <c r="O88" s="1073">
        <v>0</v>
      </c>
      <c r="P88" s="1074">
        <v>0</v>
      </c>
      <c r="Q88" s="1075">
        <v>0</v>
      </c>
      <c r="R88" s="308"/>
      <c r="S88" s="1073">
        <v>0</v>
      </c>
      <c r="T88" s="1076" t="s">
        <v>816</v>
      </c>
    </row>
    <row r="89" spans="1:20">
      <c r="A89" s="1085"/>
      <c r="B89" s="1118" t="s">
        <v>504</v>
      </c>
      <c r="C89" s="1224" t="s">
        <v>542</v>
      </c>
      <c r="D89" s="358">
        <v>0.29906571676442523</v>
      </c>
      <c r="E89" s="359">
        <v>0.19916872511584802</v>
      </c>
      <c r="F89" s="359">
        <v>0.59852807078044012</v>
      </c>
      <c r="G89" s="359">
        <v>0</v>
      </c>
      <c r="H89" s="360">
        <v>0</v>
      </c>
      <c r="I89" s="359">
        <v>0</v>
      </c>
      <c r="J89" s="361">
        <v>0</v>
      </c>
      <c r="K89" s="361">
        <v>0</v>
      </c>
      <c r="L89" s="361">
        <v>0</v>
      </c>
      <c r="M89" s="360">
        <v>0</v>
      </c>
      <c r="N89" s="308"/>
      <c r="O89" s="1073">
        <v>1.0967625126607135</v>
      </c>
      <c r="P89" s="1074">
        <v>0</v>
      </c>
      <c r="Q89" s="1075">
        <v>1.0967625126607135</v>
      </c>
      <c r="R89" s="308"/>
      <c r="S89" s="1073">
        <v>0</v>
      </c>
      <c r="T89" s="1076">
        <v>-1</v>
      </c>
    </row>
    <row r="90" spans="1:20">
      <c r="A90" s="1085"/>
      <c r="B90" s="1253" t="s">
        <v>507</v>
      </c>
      <c r="C90" s="1224" t="s">
        <v>542</v>
      </c>
      <c r="D90" s="1073">
        <v>0.29906571676442523</v>
      </c>
      <c r="E90" s="1254">
        <v>0.19916872511584802</v>
      </c>
      <c r="F90" s="1254">
        <v>0.59852807078044012</v>
      </c>
      <c r="G90" s="1254">
        <v>0</v>
      </c>
      <c r="H90" s="1075">
        <v>0</v>
      </c>
      <c r="I90" s="1254">
        <v>0</v>
      </c>
      <c r="J90" s="1074">
        <v>0</v>
      </c>
      <c r="K90" s="1074">
        <v>0</v>
      </c>
      <c r="L90" s="1074">
        <v>0</v>
      </c>
      <c r="M90" s="1075">
        <v>0</v>
      </c>
      <c r="N90" s="308"/>
      <c r="O90" s="1073">
        <v>1.0967625126607135</v>
      </c>
      <c r="P90" s="1074">
        <v>0</v>
      </c>
      <c r="Q90" s="1075">
        <v>1.0967625126607135</v>
      </c>
      <c r="R90" s="308"/>
      <c r="S90" s="1073">
        <v>0</v>
      </c>
      <c r="T90" s="1076">
        <v>-1</v>
      </c>
    </row>
    <row r="91" spans="1:20">
      <c r="A91" s="1085"/>
      <c r="B91" s="1111" t="s">
        <v>485</v>
      </c>
      <c r="C91" s="1255"/>
      <c r="D91" s="1256"/>
      <c r="E91" s="1257"/>
      <c r="F91" s="1257"/>
      <c r="G91" s="1257"/>
      <c r="H91" s="1258"/>
      <c r="I91" s="1257"/>
      <c r="J91" s="1257"/>
      <c r="K91" s="1257"/>
      <c r="L91" s="1257"/>
      <c r="M91" s="1258"/>
      <c r="N91" s="308"/>
      <c r="O91" s="1256"/>
      <c r="P91" s="1257"/>
      <c r="Q91" s="1258"/>
      <c r="R91" s="308"/>
      <c r="S91" s="1256"/>
      <c r="T91" s="1258"/>
    </row>
    <row r="92" spans="1:20">
      <c r="A92" s="1085"/>
      <c r="B92" s="1118" t="s">
        <v>503</v>
      </c>
      <c r="C92" s="1224" t="s">
        <v>542</v>
      </c>
      <c r="D92" s="358">
        <v>0</v>
      </c>
      <c r="E92" s="359">
        <v>0</v>
      </c>
      <c r="F92" s="359">
        <v>0</v>
      </c>
      <c r="G92" s="359">
        <v>0</v>
      </c>
      <c r="H92" s="360">
        <v>0</v>
      </c>
      <c r="I92" s="359">
        <v>0</v>
      </c>
      <c r="J92" s="361">
        <v>0</v>
      </c>
      <c r="K92" s="361">
        <v>0</v>
      </c>
      <c r="L92" s="361">
        <v>0</v>
      </c>
      <c r="M92" s="360">
        <v>0</v>
      </c>
      <c r="N92" s="308"/>
      <c r="O92" s="1073">
        <v>0</v>
      </c>
      <c r="P92" s="1074">
        <v>0</v>
      </c>
      <c r="Q92" s="1075">
        <v>0</v>
      </c>
      <c r="R92" s="308"/>
      <c r="S92" s="1073">
        <v>0</v>
      </c>
      <c r="T92" s="1076" t="s">
        <v>816</v>
      </c>
    </row>
    <row r="93" spans="1:20">
      <c r="A93" s="1085"/>
      <c r="B93" s="1118" t="s">
        <v>504</v>
      </c>
      <c r="C93" s="1224" t="s">
        <v>542</v>
      </c>
      <c r="D93" s="358">
        <v>0</v>
      </c>
      <c r="E93" s="359">
        <v>0</v>
      </c>
      <c r="F93" s="359">
        <v>0</v>
      </c>
      <c r="G93" s="359">
        <v>0</v>
      </c>
      <c r="H93" s="360">
        <v>0</v>
      </c>
      <c r="I93" s="359">
        <v>0</v>
      </c>
      <c r="J93" s="361">
        <v>0</v>
      </c>
      <c r="K93" s="361">
        <v>0</v>
      </c>
      <c r="L93" s="361">
        <v>0</v>
      </c>
      <c r="M93" s="360">
        <v>0</v>
      </c>
      <c r="N93" s="308"/>
      <c r="O93" s="1073">
        <v>0</v>
      </c>
      <c r="P93" s="1074">
        <v>0</v>
      </c>
      <c r="Q93" s="1075">
        <v>0</v>
      </c>
      <c r="R93" s="308"/>
      <c r="S93" s="1073">
        <v>0</v>
      </c>
      <c r="T93" s="1076" t="s">
        <v>816</v>
      </c>
    </row>
    <row r="94" spans="1:20">
      <c r="A94" s="1085"/>
      <c r="B94" s="1253" t="s">
        <v>383</v>
      </c>
      <c r="C94" s="1224" t="s">
        <v>542</v>
      </c>
      <c r="D94" s="1073">
        <v>0</v>
      </c>
      <c r="E94" s="1254">
        <v>0</v>
      </c>
      <c r="F94" s="1254">
        <v>0</v>
      </c>
      <c r="G94" s="1254">
        <v>0</v>
      </c>
      <c r="H94" s="1075">
        <v>0</v>
      </c>
      <c r="I94" s="1254">
        <v>0</v>
      </c>
      <c r="J94" s="1074">
        <v>0</v>
      </c>
      <c r="K94" s="1074">
        <v>0</v>
      </c>
      <c r="L94" s="1074">
        <v>0</v>
      </c>
      <c r="M94" s="1075">
        <v>0</v>
      </c>
      <c r="N94" s="308"/>
      <c r="O94" s="1073">
        <v>0</v>
      </c>
      <c r="P94" s="1074">
        <v>0</v>
      </c>
      <c r="Q94" s="1075">
        <v>0</v>
      </c>
      <c r="R94" s="308"/>
      <c r="S94" s="1073">
        <v>0</v>
      </c>
      <c r="T94" s="1076" t="s">
        <v>816</v>
      </c>
    </row>
    <row r="95" spans="1:20">
      <c r="A95" s="1085"/>
      <c r="B95" s="1260"/>
      <c r="C95" s="1224"/>
      <c r="D95" s="1256"/>
      <c r="E95" s="1257"/>
      <c r="F95" s="1257"/>
      <c r="G95" s="1257"/>
      <c r="H95" s="1258"/>
      <c r="I95" s="1257"/>
      <c r="J95" s="1257"/>
      <c r="K95" s="1257"/>
      <c r="L95" s="1257"/>
      <c r="M95" s="1258"/>
      <c r="N95" s="308"/>
      <c r="O95" s="1256"/>
      <c r="P95" s="1257"/>
      <c r="Q95" s="1258"/>
      <c r="R95" s="308"/>
      <c r="S95" s="1256"/>
      <c r="T95" s="1258"/>
    </row>
    <row r="96" spans="1:20" ht="38.25">
      <c r="A96" s="1085"/>
      <c r="B96" s="1260" t="s">
        <v>384</v>
      </c>
      <c r="C96" s="1224" t="s">
        <v>542</v>
      </c>
      <c r="D96" s="362"/>
      <c r="E96" s="363"/>
      <c r="F96" s="363"/>
      <c r="G96" s="359">
        <v>0</v>
      </c>
      <c r="H96" s="360">
        <v>0</v>
      </c>
      <c r="I96" s="359">
        <v>0</v>
      </c>
      <c r="J96" s="361">
        <v>0</v>
      </c>
      <c r="K96" s="361">
        <v>0</v>
      </c>
      <c r="L96" s="361">
        <v>0</v>
      </c>
      <c r="M96" s="360">
        <v>0</v>
      </c>
      <c r="N96" s="308"/>
      <c r="O96" s="1073">
        <v>0</v>
      </c>
      <c r="P96" s="1074">
        <v>0</v>
      </c>
      <c r="Q96" s="1075">
        <v>0</v>
      </c>
      <c r="R96" s="308"/>
      <c r="S96" s="1073">
        <v>0</v>
      </c>
      <c r="T96" s="1076" t="s">
        <v>816</v>
      </c>
    </row>
    <row r="97" spans="1:20" ht="51">
      <c r="A97" s="1085"/>
      <c r="B97" s="1260" t="s">
        <v>385</v>
      </c>
      <c r="C97" s="1224" t="s">
        <v>542</v>
      </c>
      <c r="D97" s="1133">
        <v>54.23058330661577</v>
      </c>
      <c r="E97" s="1134">
        <v>38.837901397590365</v>
      </c>
      <c r="F97" s="1134">
        <v>91.674549507870751</v>
      </c>
      <c r="G97" s="1134">
        <v>60.626197243589743</v>
      </c>
      <c r="H97" s="1135">
        <v>65.682752663900402</v>
      </c>
      <c r="I97" s="1134">
        <v>67.834798536622969</v>
      </c>
      <c r="J97" s="1136">
        <v>68.956879235521228</v>
      </c>
      <c r="K97" s="1136">
        <v>73.553938336271187</v>
      </c>
      <c r="L97" s="1136">
        <v>77.272654105263157</v>
      </c>
      <c r="M97" s="1135">
        <v>81.348229883553415</v>
      </c>
      <c r="N97" s="364"/>
      <c r="O97" s="1133">
        <v>184.74303421207688</v>
      </c>
      <c r="P97" s="1136">
        <v>126.30894990749015</v>
      </c>
      <c r="Q97" s="1135">
        <v>311.05198411956701</v>
      </c>
      <c r="R97" s="364"/>
      <c r="S97" s="1133">
        <v>368.96650009723197</v>
      </c>
      <c r="T97" s="1261">
        <v>0.18618918680616059</v>
      </c>
    </row>
    <row r="98" spans="1:20">
      <c r="A98" s="1085"/>
      <c r="B98" s="1260"/>
      <c r="C98" s="1224"/>
      <c r="D98" s="1256"/>
      <c r="E98" s="1257"/>
      <c r="F98" s="1257"/>
      <c r="G98" s="1257"/>
      <c r="H98" s="1258"/>
      <c r="I98" s="1257"/>
      <c r="J98" s="1257"/>
      <c r="K98" s="1257"/>
      <c r="L98" s="1257"/>
      <c r="M98" s="1258"/>
      <c r="N98" s="308"/>
      <c r="O98" s="1256"/>
      <c r="P98" s="1257"/>
      <c r="Q98" s="1258"/>
      <c r="R98" s="308"/>
      <c r="S98" s="1256"/>
      <c r="T98" s="1258"/>
    </row>
    <row r="99" spans="1:20" ht="25.5">
      <c r="A99" s="1085"/>
      <c r="B99" s="1260" t="s">
        <v>435</v>
      </c>
      <c r="C99" s="1189" t="s">
        <v>542</v>
      </c>
      <c r="D99" s="362"/>
      <c r="E99" s="363"/>
      <c r="F99" s="363"/>
      <c r="G99" s="359">
        <v>0</v>
      </c>
      <c r="H99" s="360">
        <v>0</v>
      </c>
      <c r="I99" s="359">
        <v>0</v>
      </c>
      <c r="J99" s="361">
        <v>0</v>
      </c>
      <c r="K99" s="361">
        <v>0</v>
      </c>
      <c r="L99" s="361">
        <v>0</v>
      </c>
      <c r="M99" s="360">
        <v>0</v>
      </c>
      <c r="N99" s="308"/>
      <c r="O99" s="1073">
        <v>0</v>
      </c>
      <c r="P99" s="1074">
        <v>0</v>
      </c>
      <c r="Q99" s="1075">
        <v>0</v>
      </c>
      <c r="R99" s="308"/>
      <c r="S99" s="1073">
        <v>0</v>
      </c>
      <c r="T99" s="1076" t="s">
        <v>816</v>
      </c>
    </row>
    <row r="100" spans="1:20" ht="26.25" thickBot="1">
      <c r="A100" s="1085"/>
      <c r="B100" s="1262" t="s">
        <v>436</v>
      </c>
      <c r="C100" s="1240" t="s">
        <v>542</v>
      </c>
      <c r="D100" s="365"/>
      <c r="E100" s="366"/>
      <c r="F100" s="366"/>
      <c r="G100" s="367">
        <v>0</v>
      </c>
      <c r="H100" s="368">
        <v>0</v>
      </c>
      <c r="I100" s="367">
        <v>0</v>
      </c>
      <c r="J100" s="369">
        <v>0</v>
      </c>
      <c r="K100" s="369">
        <v>0</v>
      </c>
      <c r="L100" s="369">
        <v>0</v>
      </c>
      <c r="M100" s="368">
        <v>0</v>
      </c>
      <c r="N100" s="308"/>
      <c r="O100" s="1077">
        <v>0</v>
      </c>
      <c r="P100" s="1078">
        <v>0</v>
      </c>
      <c r="Q100" s="1079">
        <v>0</v>
      </c>
      <c r="R100" s="308"/>
      <c r="S100" s="1077">
        <v>0</v>
      </c>
      <c r="T100" s="1080" t="s">
        <v>816</v>
      </c>
    </row>
    <row r="101" spans="1:20">
      <c r="A101" s="1085"/>
      <c r="B101" s="1085"/>
      <c r="C101" s="1085"/>
      <c r="D101" s="1085"/>
      <c r="E101" s="1085"/>
      <c r="F101" s="1085"/>
      <c r="G101" s="1085"/>
      <c r="H101" s="1085"/>
      <c r="I101" s="1085"/>
      <c r="J101" s="1085"/>
      <c r="K101" s="1085"/>
      <c r="L101" s="1085"/>
      <c r="M101" s="1085"/>
      <c r="N101" s="1085"/>
      <c r="O101" s="1085"/>
      <c r="P101" s="1085"/>
      <c r="Q101" s="1085"/>
      <c r="R101" s="1085"/>
      <c r="S101" s="1085"/>
      <c r="T101" s="1085"/>
    </row>
    <row r="102" spans="1:20">
      <c r="A102" s="1085"/>
      <c r="B102" s="1085"/>
      <c r="C102" s="1181"/>
      <c r="D102" s="1200"/>
      <c r="E102" s="1200"/>
      <c r="F102" s="1200"/>
      <c r="G102" s="1200"/>
      <c r="H102" s="1200"/>
      <c r="I102" s="1200"/>
      <c r="J102" s="1200"/>
      <c r="K102" s="1200"/>
      <c r="L102" s="1200"/>
      <c r="M102" s="1200"/>
      <c r="N102" s="308"/>
      <c r="O102" s="1200"/>
      <c r="P102" s="1200"/>
      <c r="Q102" s="1200"/>
      <c r="R102" s="308"/>
      <c r="S102" s="1200"/>
      <c r="T102" s="1200"/>
    </row>
    <row r="103" spans="1:20">
      <c r="A103" s="1085"/>
      <c r="B103" s="1084" t="s">
        <v>670</v>
      </c>
      <c r="C103" s="1247"/>
      <c r="D103" s="1248"/>
      <c r="E103" s="1248"/>
      <c r="F103" s="1248"/>
      <c r="G103" s="1248"/>
      <c r="H103" s="1248"/>
      <c r="I103" s="1248"/>
      <c r="J103" s="1248"/>
      <c r="K103" s="1248"/>
      <c r="L103" s="1248"/>
      <c r="M103" s="1248"/>
      <c r="N103" s="308"/>
      <c r="O103" s="1248"/>
      <c r="P103" s="1248"/>
      <c r="Q103" s="1248"/>
      <c r="R103" s="308"/>
      <c r="S103" s="1248"/>
      <c r="T103" s="1248"/>
    </row>
    <row r="104" spans="1:20" ht="13.5" thickBot="1">
      <c r="A104" s="1085"/>
      <c r="B104" s="1084"/>
      <c r="C104" s="1247"/>
      <c r="D104" s="1248"/>
      <c r="E104" s="1248"/>
      <c r="F104" s="1248"/>
      <c r="G104" s="1248"/>
      <c r="H104" s="1248"/>
      <c r="I104" s="1248"/>
      <c r="J104" s="1248"/>
      <c r="K104" s="1248"/>
      <c r="L104" s="1248"/>
      <c r="M104" s="1248"/>
      <c r="N104" s="308"/>
      <c r="O104" s="1248"/>
      <c r="P104" s="1248"/>
      <c r="Q104" s="1248"/>
      <c r="R104" s="308"/>
      <c r="S104" s="1248"/>
      <c r="T104" s="1248"/>
    </row>
    <row r="105" spans="1:20">
      <c r="A105" s="1085"/>
      <c r="B105" s="1249"/>
      <c r="C105" s="1217"/>
      <c r="D105" s="1102" t="s">
        <v>645</v>
      </c>
      <c r="E105" s="1103"/>
      <c r="F105" s="1103"/>
      <c r="G105" s="1103"/>
      <c r="H105" s="1104"/>
      <c r="I105" s="1103" t="s">
        <v>646</v>
      </c>
      <c r="J105" s="1105"/>
      <c r="K105" s="1105"/>
      <c r="L105" s="1105"/>
      <c r="M105" s="1104"/>
      <c r="N105" s="308"/>
      <c r="O105" s="1062" t="s">
        <v>645</v>
      </c>
      <c r="P105" s="1063"/>
      <c r="Q105" s="1064"/>
      <c r="R105" s="308"/>
      <c r="S105" s="1062" t="s">
        <v>646</v>
      </c>
      <c r="T105" s="1064"/>
    </row>
    <row r="106" spans="1:20" ht="25.5">
      <c r="A106" s="1085"/>
      <c r="B106" s="1250" t="s">
        <v>670</v>
      </c>
      <c r="C106" s="1218" t="s">
        <v>559</v>
      </c>
      <c r="D106" s="1184" t="s">
        <v>560</v>
      </c>
      <c r="E106" s="1185" t="s">
        <v>561</v>
      </c>
      <c r="F106" s="1185" t="s">
        <v>557</v>
      </c>
      <c r="G106" s="1185" t="s">
        <v>562</v>
      </c>
      <c r="H106" s="1186" t="s">
        <v>563</v>
      </c>
      <c r="I106" s="1187" t="s">
        <v>647</v>
      </c>
      <c r="J106" s="1185" t="s">
        <v>666</v>
      </c>
      <c r="K106" s="1185" t="s">
        <v>667</v>
      </c>
      <c r="L106" s="1185" t="s">
        <v>668</v>
      </c>
      <c r="M106" s="1186" t="s">
        <v>669</v>
      </c>
      <c r="N106" s="308"/>
      <c r="O106" s="1065" t="s">
        <v>656</v>
      </c>
      <c r="P106" s="1066" t="s">
        <v>657</v>
      </c>
      <c r="Q106" s="1067" t="s">
        <v>809</v>
      </c>
      <c r="R106" s="308"/>
      <c r="S106" s="1065" t="s">
        <v>657</v>
      </c>
      <c r="T106" s="1067" t="s">
        <v>658</v>
      </c>
    </row>
    <row r="107" spans="1:20">
      <c r="A107" s="1085"/>
      <c r="B107" s="1111" t="s">
        <v>671</v>
      </c>
      <c r="C107" s="1252"/>
      <c r="D107" s="1071"/>
      <c r="E107" s="1203"/>
      <c r="F107" s="1203"/>
      <c r="G107" s="1203"/>
      <c r="H107" s="1072"/>
      <c r="I107" s="1203"/>
      <c r="J107" s="1203"/>
      <c r="K107" s="1203"/>
      <c r="L107" s="1203"/>
      <c r="M107" s="1072"/>
      <c r="N107" s="308"/>
      <c r="O107" s="1068"/>
      <c r="P107" s="1069"/>
      <c r="Q107" s="1070"/>
      <c r="R107" s="308"/>
      <c r="S107" s="1071"/>
      <c r="T107" s="1072"/>
    </row>
    <row r="108" spans="1:20">
      <c r="A108" s="1085"/>
      <c r="B108" s="1118" t="s">
        <v>503</v>
      </c>
      <c r="C108" s="1224" t="s">
        <v>542</v>
      </c>
      <c r="D108" s="358">
        <v>0</v>
      </c>
      <c r="E108" s="359">
        <v>0</v>
      </c>
      <c r="F108" s="359">
        <v>0</v>
      </c>
      <c r="G108" s="359">
        <v>28.1</v>
      </c>
      <c r="H108" s="360">
        <v>25.6</v>
      </c>
      <c r="I108" s="359">
        <v>25.4</v>
      </c>
      <c r="J108" s="361">
        <v>27.2</v>
      </c>
      <c r="K108" s="361">
        <v>29.8</v>
      </c>
      <c r="L108" s="361">
        <v>31.9</v>
      </c>
      <c r="M108" s="360">
        <v>34.1</v>
      </c>
      <c r="N108" s="308"/>
      <c r="O108" s="1073">
        <v>0</v>
      </c>
      <c r="P108" s="1074">
        <v>53.7</v>
      </c>
      <c r="Q108" s="1075">
        <v>53.7</v>
      </c>
      <c r="R108" s="308"/>
      <c r="S108" s="1073">
        <v>148.39999999999998</v>
      </c>
      <c r="T108" s="1076">
        <v>1.763500931098696</v>
      </c>
    </row>
    <row r="109" spans="1:20">
      <c r="A109" s="1085"/>
      <c r="B109" s="1118" t="s">
        <v>672</v>
      </c>
      <c r="C109" s="1224" t="s">
        <v>542</v>
      </c>
      <c r="D109" s="358">
        <v>38.1</v>
      </c>
      <c r="E109" s="359">
        <v>27.4</v>
      </c>
      <c r="F109" s="359">
        <v>49.1</v>
      </c>
      <c r="G109" s="359">
        <v>10.4</v>
      </c>
      <c r="H109" s="360">
        <v>9.5</v>
      </c>
      <c r="I109" s="359">
        <v>9.4</v>
      </c>
      <c r="J109" s="361">
        <v>10.1</v>
      </c>
      <c r="K109" s="361">
        <v>11</v>
      </c>
      <c r="L109" s="361">
        <v>11.8</v>
      </c>
      <c r="M109" s="360">
        <v>12.6</v>
      </c>
      <c r="N109" s="308"/>
      <c r="O109" s="1073">
        <v>114.6</v>
      </c>
      <c r="P109" s="1074">
        <v>19.899999999999999</v>
      </c>
      <c r="Q109" s="1075">
        <v>134.5</v>
      </c>
      <c r="R109" s="308"/>
      <c r="S109" s="1073">
        <v>54.9</v>
      </c>
      <c r="T109" s="1076">
        <v>-0.59182156133828989</v>
      </c>
    </row>
    <row r="110" spans="1:20">
      <c r="A110" s="1085"/>
      <c r="B110" s="1253" t="s">
        <v>505</v>
      </c>
      <c r="C110" s="1224" t="s">
        <v>542</v>
      </c>
      <c r="D110" s="1073">
        <v>38.1</v>
      </c>
      <c r="E110" s="1254">
        <v>27.4</v>
      </c>
      <c r="F110" s="1254">
        <v>49.1</v>
      </c>
      <c r="G110" s="1254">
        <v>38.5</v>
      </c>
      <c r="H110" s="1075">
        <v>35.1</v>
      </c>
      <c r="I110" s="1254">
        <v>34.799999999999997</v>
      </c>
      <c r="J110" s="1074">
        <v>37.299999999999997</v>
      </c>
      <c r="K110" s="1074">
        <v>40.799999999999997</v>
      </c>
      <c r="L110" s="1074">
        <v>43.7</v>
      </c>
      <c r="M110" s="1075">
        <v>46.7</v>
      </c>
      <c r="N110" s="308"/>
      <c r="O110" s="1073">
        <v>114.6</v>
      </c>
      <c r="P110" s="1074">
        <v>73.599999999999994</v>
      </c>
      <c r="Q110" s="1075">
        <v>188.2</v>
      </c>
      <c r="R110" s="308"/>
      <c r="S110" s="1073">
        <v>203.3</v>
      </c>
      <c r="T110" s="1076">
        <v>8.0233793836344436E-2</v>
      </c>
    </row>
    <row r="111" spans="1:20">
      <c r="A111" s="1085"/>
      <c r="B111" s="1111" t="s">
        <v>518</v>
      </c>
      <c r="C111" s="1255"/>
      <c r="D111" s="1256"/>
      <c r="E111" s="1257"/>
      <c r="F111" s="1257"/>
      <c r="G111" s="1257"/>
      <c r="H111" s="1258"/>
      <c r="I111" s="1257"/>
      <c r="J111" s="1257"/>
      <c r="K111" s="1257"/>
      <c r="L111" s="1257"/>
      <c r="M111" s="1258"/>
      <c r="N111" s="308"/>
      <c r="O111" s="1259"/>
      <c r="P111" s="1257"/>
      <c r="Q111" s="1258"/>
      <c r="R111" s="308"/>
      <c r="S111" s="1256"/>
      <c r="T111" s="1258"/>
    </row>
    <row r="112" spans="1:20">
      <c r="A112" s="1085"/>
      <c r="B112" s="1118" t="s">
        <v>503</v>
      </c>
      <c r="C112" s="1224" t="s">
        <v>542</v>
      </c>
      <c r="D112" s="358">
        <v>0</v>
      </c>
      <c r="E112" s="359">
        <v>0</v>
      </c>
      <c r="F112" s="359">
        <v>0</v>
      </c>
      <c r="G112" s="359">
        <v>5.7</v>
      </c>
      <c r="H112" s="360">
        <v>9</v>
      </c>
      <c r="I112" s="359">
        <v>9.8000000000000007</v>
      </c>
      <c r="J112" s="361">
        <v>9.6999999999999993</v>
      </c>
      <c r="K112" s="361">
        <v>10</v>
      </c>
      <c r="L112" s="361">
        <v>10.199999999999999</v>
      </c>
      <c r="M112" s="360">
        <v>10.5</v>
      </c>
      <c r="N112" s="308"/>
      <c r="O112" s="1073">
        <v>0</v>
      </c>
      <c r="P112" s="1074">
        <v>14.7</v>
      </c>
      <c r="Q112" s="1075">
        <v>14.7</v>
      </c>
      <c r="R112" s="308"/>
      <c r="S112" s="1073">
        <v>50.2</v>
      </c>
      <c r="T112" s="1076">
        <v>2.4149659863945581</v>
      </c>
    </row>
    <row r="113" spans="1:20">
      <c r="A113" s="1085"/>
      <c r="B113" s="1118" t="s">
        <v>672</v>
      </c>
      <c r="C113" s="1224" t="s">
        <v>542</v>
      </c>
      <c r="D113" s="358">
        <v>9.5</v>
      </c>
      <c r="E113" s="359">
        <v>6.8</v>
      </c>
      <c r="F113" s="359">
        <v>24.9</v>
      </c>
      <c r="G113" s="359">
        <v>3.5</v>
      </c>
      <c r="H113" s="360">
        <v>5.5</v>
      </c>
      <c r="I113" s="359">
        <v>6</v>
      </c>
      <c r="J113" s="361">
        <v>6</v>
      </c>
      <c r="K113" s="361">
        <v>6.1</v>
      </c>
      <c r="L113" s="361">
        <v>6.3</v>
      </c>
      <c r="M113" s="360">
        <v>6.4</v>
      </c>
      <c r="N113" s="308"/>
      <c r="O113" s="1073">
        <v>41.2</v>
      </c>
      <c r="P113" s="1074">
        <v>9</v>
      </c>
      <c r="Q113" s="1075">
        <v>50.2</v>
      </c>
      <c r="R113" s="308"/>
      <c r="S113" s="1073">
        <v>30.800000000000004</v>
      </c>
      <c r="T113" s="1076">
        <v>-0.38645418326693221</v>
      </c>
    </row>
    <row r="114" spans="1:20">
      <c r="A114" s="1085"/>
      <c r="B114" s="1253" t="s">
        <v>506</v>
      </c>
      <c r="C114" s="1224" t="s">
        <v>542</v>
      </c>
      <c r="D114" s="1073">
        <v>9.5</v>
      </c>
      <c r="E114" s="1254">
        <v>6.8</v>
      </c>
      <c r="F114" s="1254">
        <v>24.9</v>
      </c>
      <c r="G114" s="1254">
        <v>9.1999999999999993</v>
      </c>
      <c r="H114" s="1075">
        <v>14.5</v>
      </c>
      <c r="I114" s="1254">
        <v>15.8</v>
      </c>
      <c r="J114" s="1074">
        <v>15.7</v>
      </c>
      <c r="K114" s="1074">
        <v>16.100000000000001</v>
      </c>
      <c r="L114" s="1074">
        <v>16.5</v>
      </c>
      <c r="M114" s="1075">
        <v>16.899999999999999</v>
      </c>
      <c r="N114" s="308"/>
      <c r="O114" s="1073">
        <v>41.2</v>
      </c>
      <c r="P114" s="1074">
        <v>23.7</v>
      </c>
      <c r="Q114" s="1075">
        <v>64.900000000000006</v>
      </c>
      <c r="R114" s="308"/>
      <c r="S114" s="1073">
        <v>81</v>
      </c>
      <c r="T114" s="1076">
        <v>0.24807395993836662</v>
      </c>
    </row>
    <row r="115" spans="1:20">
      <c r="A115" s="1085"/>
      <c r="B115" s="1111" t="s">
        <v>398</v>
      </c>
      <c r="C115" s="1255"/>
      <c r="D115" s="1256"/>
      <c r="E115" s="1257"/>
      <c r="F115" s="1257"/>
      <c r="G115" s="1257"/>
      <c r="H115" s="1258"/>
      <c r="I115" s="1257"/>
      <c r="J115" s="1257"/>
      <c r="K115" s="1257"/>
      <c r="L115" s="1257"/>
      <c r="M115" s="1258"/>
      <c r="N115" s="308"/>
      <c r="O115" s="1256"/>
      <c r="P115" s="1257"/>
      <c r="Q115" s="1258"/>
      <c r="R115" s="308"/>
      <c r="S115" s="1256"/>
      <c r="T115" s="1258"/>
    </row>
    <row r="116" spans="1:20">
      <c r="A116" s="1085"/>
      <c r="B116" s="1118" t="s">
        <v>503</v>
      </c>
      <c r="C116" s="1224" t="s">
        <v>542</v>
      </c>
      <c r="D116" s="358">
        <v>0</v>
      </c>
      <c r="E116" s="359">
        <v>0</v>
      </c>
      <c r="F116" s="359">
        <v>0</v>
      </c>
      <c r="G116" s="359">
        <v>0</v>
      </c>
      <c r="H116" s="360">
        <v>0</v>
      </c>
      <c r="I116" s="359">
        <v>0</v>
      </c>
      <c r="J116" s="361">
        <v>0</v>
      </c>
      <c r="K116" s="361">
        <v>0</v>
      </c>
      <c r="L116" s="361">
        <v>0</v>
      </c>
      <c r="M116" s="360">
        <v>0</v>
      </c>
      <c r="N116" s="308"/>
      <c r="O116" s="1073">
        <v>0</v>
      </c>
      <c r="P116" s="1074">
        <v>0</v>
      </c>
      <c r="Q116" s="1075">
        <v>0</v>
      </c>
      <c r="R116" s="308"/>
      <c r="S116" s="1073">
        <v>0</v>
      </c>
      <c r="T116" s="1076" t="s">
        <v>816</v>
      </c>
    </row>
    <row r="117" spans="1:20">
      <c r="A117" s="1085"/>
      <c r="B117" s="1118" t="s">
        <v>672</v>
      </c>
      <c r="C117" s="1224" t="s">
        <v>542</v>
      </c>
      <c r="D117" s="358">
        <v>0.3</v>
      </c>
      <c r="E117" s="359">
        <v>0</v>
      </c>
      <c r="F117" s="359">
        <v>0.4</v>
      </c>
      <c r="G117" s="359">
        <v>0</v>
      </c>
      <c r="H117" s="360">
        <v>0</v>
      </c>
      <c r="I117" s="359">
        <v>0</v>
      </c>
      <c r="J117" s="361">
        <v>0</v>
      </c>
      <c r="K117" s="361">
        <v>0</v>
      </c>
      <c r="L117" s="361">
        <v>0</v>
      </c>
      <c r="M117" s="360">
        <v>0</v>
      </c>
      <c r="N117" s="308"/>
      <c r="O117" s="1073">
        <v>0.7</v>
      </c>
      <c r="P117" s="1074">
        <v>0</v>
      </c>
      <c r="Q117" s="1075">
        <v>0.7</v>
      </c>
      <c r="R117" s="308"/>
      <c r="S117" s="1073">
        <v>0</v>
      </c>
      <c r="T117" s="1076">
        <v>-1</v>
      </c>
    </row>
    <row r="118" spans="1:20">
      <c r="A118" s="1085"/>
      <c r="B118" s="1253" t="s">
        <v>507</v>
      </c>
      <c r="C118" s="1224" t="s">
        <v>542</v>
      </c>
      <c r="D118" s="1073">
        <v>0.3</v>
      </c>
      <c r="E118" s="1254">
        <v>0</v>
      </c>
      <c r="F118" s="1254">
        <v>0.4</v>
      </c>
      <c r="G118" s="1254">
        <v>0</v>
      </c>
      <c r="H118" s="1075">
        <v>0</v>
      </c>
      <c r="I118" s="1254">
        <v>0</v>
      </c>
      <c r="J118" s="1074">
        <v>0</v>
      </c>
      <c r="K118" s="1074">
        <v>0</v>
      </c>
      <c r="L118" s="1074">
        <v>0</v>
      </c>
      <c r="M118" s="1075">
        <v>0</v>
      </c>
      <c r="N118" s="308"/>
      <c r="O118" s="1073">
        <v>0.7</v>
      </c>
      <c r="P118" s="1074">
        <v>0</v>
      </c>
      <c r="Q118" s="1075">
        <v>0.7</v>
      </c>
      <c r="R118" s="308"/>
      <c r="S118" s="1073">
        <v>0</v>
      </c>
      <c r="T118" s="1076">
        <v>-1</v>
      </c>
    </row>
    <row r="119" spans="1:20">
      <c r="A119" s="1085"/>
      <c r="B119" s="1111" t="s">
        <v>287</v>
      </c>
      <c r="C119" s="1255"/>
      <c r="D119" s="1256"/>
      <c r="E119" s="1257"/>
      <c r="F119" s="1257"/>
      <c r="G119" s="1257"/>
      <c r="H119" s="1258"/>
      <c r="I119" s="1257"/>
      <c r="J119" s="1257"/>
      <c r="K119" s="1257"/>
      <c r="L119" s="1257"/>
      <c r="M119" s="1258"/>
      <c r="N119" s="308"/>
      <c r="O119" s="1256"/>
      <c r="P119" s="1257"/>
      <c r="Q119" s="1258"/>
      <c r="R119" s="308"/>
      <c r="S119" s="1256"/>
      <c r="T119" s="1258"/>
    </row>
    <row r="120" spans="1:20">
      <c r="A120" s="1085"/>
      <c r="B120" s="1118" t="s">
        <v>503</v>
      </c>
      <c r="C120" s="1224" t="s">
        <v>542</v>
      </c>
      <c r="D120" s="358">
        <v>0</v>
      </c>
      <c r="E120" s="359">
        <v>0</v>
      </c>
      <c r="F120" s="359">
        <v>0</v>
      </c>
      <c r="G120" s="359">
        <v>0</v>
      </c>
      <c r="H120" s="360">
        <v>0</v>
      </c>
      <c r="I120" s="359">
        <v>0</v>
      </c>
      <c r="J120" s="361">
        <v>0</v>
      </c>
      <c r="K120" s="361">
        <v>0</v>
      </c>
      <c r="L120" s="361">
        <v>0</v>
      </c>
      <c r="M120" s="360">
        <v>0</v>
      </c>
      <c r="N120" s="308"/>
      <c r="O120" s="1073">
        <v>0</v>
      </c>
      <c r="P120" s="1074">
        <v>0</v>
      </c>
      <c r="Q120" s="1075">
        <v>0</v>
      </c>
      <c r="R120" s="308"/>
      <c r="S120" s="1073">
        <v>0</v>
      </c>
      <c r="T120" s="1076" t="s">
        <v>816</v>
      </c>
    </row>
    <row r="121" spans="1:20">
      <c r="A121" s="1085"/>
      <c r="B121" s="1118" t="s">
        <v>672</v>
      </c>
      <c r="C121" s="1224" t="s">
        <v>542</v>
      </c>
      <c r="D121" s="358">
        <v>0</v>
      </c>
      <c r="E121" s="359">
        <v>0</v>
      </c>
      <c r="F121" s="359">
        <v>0</v>
      </c>
      <c r="G121" s="359">
        <v>0</v>
      </c>
      <c r="H121" s="360">
        <v>0</v>
      </c>
      <c r="I121" s="359">
        <v>0</v>
      </c>
      <c r="J121" s="361">
        <v>0</v>
      </c>
      <c r="K121" s="361">
        <v>0</v>
      </c>
      <c r="L121" s="361">
        <v>0</v>
      </c>
      <c r="M121" s="360">
        <v>0</v>
      </c>
      <c r="N121" s="308"/>
      <c r="O121" s="1073">
        <v>0</v>
      </c>
      <c r="P121" s="1074">
        <v>0</v>
      </c>
      <c r="Q121" s="1075">
        <v>0</v>
      </c>
      <c r="R121" s="308"/>
      <c r="S121" s="1073">
        <v>0</v>
      </c>
      <c r="T121" s="1076" t="s">
        <v>816</v>
      </c>
    </row>
    <row r="122" spans="1:20">
      <c r="A122" s="1085"/>
      <c r="B122" s="1253" t="s">
        <v>383</v>
      </c>
      <c r="C122" s="1224" t="s">
        <v>542</v>
      </c>
      <c r="D122" s="1073">
        <v>0</v>
      </c>
      <c r="E122" s="1254">
        <v>0</v>
      </c>
      <c r="F122" s="1254">
        <v>0</v>
      </c>
      <c r="G122" s="1254">
        <v>0</v>
      </c>
      <c r="H122" s="1075">
        <v>0</v>
      </c>
      <c r="I122" s="1254">
        <v>0</v>
      </c>
      <c r="J122" s="1074">
        <v>0</v>
      </c>
      <c r="K122" s="1074">
        <v>0</v>
      </c>
      <c r="L122" s="1074">
        <v>0</v>
      </c>
      <c r="M122" s="1075">
        <v>0</v>
      </c>
      <c r="N122" s="308"/>
      <c r="O122" s="1073">
        <v>0</v>
      </c>
      <c r="P122" s="1074">
        <v>0</v>
      </c>
      <c r="Q122" s="1075">
        <v>0</v>
      </c>
      <c r="R122" s="308"/>
      <c r="S122" s="1073">
        <v>0</v>
      </c>
      <c r="T122" s="1076" t="s">
        <v>816</v>
      </c>
    </row>
    <row r="123" spans="1:20">
      <c r="A123" s="1085"/>
      <c r="B123" s="1260"/>
      <c r="C123" s="1224"/>
      <c r="D123" s="1256"/>
      <c r="E123" s="1257"/>
      <c r="F123" s="1257"/>
      <c r="G123" s="1257"/>
      <c r="H123" s="1258"/>
      <c r="I123" s="1257"/>
      <c r="J123" s="1257"/>
      <c r="K123" s="1257"/>
      <c r="L123" s="1257"/>
      <c r="M123" s="1258"/>
      <c r="N123" s="308"/>
      <c r="O123" s="1256"/>
      <c r="P123" s="1257"/>
      <c r="Q123" s="1258"/>
      <c r="R123" s="308"/>
      <c r="S123" s="1256"/>
      <c r="T123" s="1258"/>
    </row>
    <row r="124" spans="1:20">
      <c r="A124" s="1085"/>
      <c r="B124" s="1111" t="s">
        <v>159</v>
      </c>
      <c r="C124" s="1189" t="s">
        <v>542</v>
      </c>
      <c r="D124" s="1134">
        <v>47.9</v>
      </c>
      <c r="E124" s="1134">
        <v>34.199999999999996</v>
      </c>
      <c r="F124" s="1134">
        <v>74.400000000000006</v>
      </c>
      <c r="G124" s="1134">
        <v>47.7</v>
      </c>
      <c r="H124" s="1135">
        <v>49.6</v>
      </c>
      <c r="I124" s="1134">
        <v>50.599999999999994</v>
      </c>
      <c r="J124" s="1136">
        <v>53</v>
      </c>
      <c r="K124" s="1136">
        <v>56.9</v>
      </c>
      <c r="L124" s="1136">
        <v>60.2</v>
      </c>
      <c r="M124" s="1135">
        <v>63.6</v>
      </c>
      <c r="N124" s="364"/>
      <c r="O124" s="1133">
        <v>156.5</v>
      </c>
      <c r="P124" s="1136">
        <v>97.300000000000011</v>
      </c>
      <c r="Q124" s="1135">
        <v>253.79999999999998</v>
      </c>
      <c r="R124" s="364"/>
      <c r="S124" s="1133">
        <v>284.3</v>
      </c>
      <c r="T124" s="1261">
        <v>0.12017336485421604</v>
      </c>
    </row>
    <row r="125" spans="1:20">
      <c r="A125" s="1085"/>
      <c r="B125" s="1111" t="s">
        <v>160</v>
      </c>
      <c r="C125" s="1189" t="s">
        <v>542</v>
      </c>
      <c r="D125" s="358">
        <v>12.7</v>
      </c>
      <c r="E125" s="359">
        <v>16.3</v>
      </c>
      <c r="F125" s="359">
        <v>7.4</v>
      </c>
      <c r="G125" s="359">
        <v>2.6</v>
      </c>
      <c r="H125" s="360">
        <v>4.5</v>
      </c>
      <c r="I125" s="359">
        <v>5.7</v>
      </c>
      <c r="J125" s="361">
        <v>5.9</v>
      </c>
      <c r="K125" s="361">
        <v>6.3</v>
      </c>
      <c r="L125" s="361">
        <v>6.7</v>
      </c>
      <c r="M125" s="360">
        <v>7</v>
      </c>
      <c r="N125" s="364"/>
      <c r="O125" s="1133">
        <v>36.4</v>
      </c>
      <c r="P125" s="1136">
        <v>7.1</v>
      </c>
      <c r="Q125" s="1135">
        <v>43.5</v>
      </c>
      <c r="R125" s="364"/>
      <c r="S125" s="1133">
        <v>31.6</v>
      </c>
      <c r="T125" s="1261">
        <v>-0.27356321839080455</v>
      </c>
    </row>
    <row r="126" spans="1:20">
      <c r="A126" s="1085"/>
      <c r="B126" s="1111" t="s">
        <v>161</v>
      </c>
      <c r="C126" s="1189" t="s">
        <v>542</v>
      </c>
      <c r="D126" s="1133">
        <v>60.599999999999994</v>
      </c>
      <c r="E126" s="1134">
        <v>50.5</v>
      </c>
      <c r="F126" s="1134">
        <v>81.800000000000011</v>
      </c>
      <c r="G126" s="1134">
        <v>50.300000000000004</v>
      </c>
      <c r="H126" s="1135">
        <v>54.1</v>
      </c>
      <c r="I126" s="1134">
        <v>56.3</v>
      </c>
      <c r="J126" s="1136">
        <v>58.9</v>
      </c>
      <c r="K126" s="1136">
        <v>63.199999999999996</v>
      </c>
      <c r="L126" s="1136">
        <v>66.900000000000006</v>
      </c>
      <c r="M126" s="1135">
        <v>70.599999999999994</v>
      </c>
      <c r="N126" s="364"/>
      <c r="O126" s="1133">
        <v>192.9</v>
      </c>
      <c r="P126" s="1136">
        <v>104.4</v>
      </c>
      <c r="Q126" s="1135">
        <v>297.3</v>
      </c>
      <c r="R126" s="364"/>
      <c r="S126" s="1133">
        <v>315.89999999999998</v>
      </c>
      <c r="T126" s="1261">
        <v>6.2563067608476172E-2</v>
      </c>
    </row>
    <row r="127" spans="1:20">
      <c r="A127" s="1085"/>
      <c r="B127" s="1111"/>
      <c r="C127" s="1208"/>
      <c r="D127" s="1068"/>
      <c r="E127" s="1069"/>
      <c r="F127" s="1069"/>
      <c r="G127" s="1069"/>
      <c r="H127" s="1070"/>
      <c r="I127" s="1069"/>
      <c r="J127" s="1069"/>
      <c r="K127" s="1069"/>
      <c r="L127" s="1069"/>
      <c r="M127" s="1070"/>
      <c r="N127" s="308"/>
      <c r="O127" s="1256"/>
      <c r="P127" s="1257"/>
      <c r="Q127" s="1258"/>
      <c r="R127" s="308"/>
      <c r="S127" s="1256"/>
      <c r="T127" s="1258"/>
    </row>
    <row r="128" spans="1:20" ht="13.5" thickBot="1">
      <c r="A128" s="1085"/>
      <c r="B128" s="1119" t="s">
        <v>203</v>
      </c>
      <c r="C128" s="1199" t="s">
        <v>542</v>
      </c>
      <c r="D128" s="1121">
        <v>-6.369416693384224</v>
      </c>
      <c r="E128" s="1121">
        <v>-11.662098602409635</v>
      </c>
      <c r="F128" s="1121">
        <v>9.8745495078707393</v>
      </c>
      <c r="G128" s="1121">
        <v>10.326197243589739</v>
      </c>
      <c r="H128" s="1122">
        <v>11.582752663900401</v>
      </c>
      <c r="I128" s="1121">
        <v>11.534798536622972</v>
      </c>
      <c r="J128" s="1123">
        <v>10.05687923552123</v>
      </c>
      <c r="K128" s="1123">
        <v>10.353938336271192</v>
      </c>
      <c r="L128" s="1123">
        <v>10.372654105263152</v>
      </c>
      <c r="M128" s="1122">
        <v>10.748229883553421</v>
      </c>
      <c r="N128" s="364"/>
      <c r="O128" s="1120">
        <v>-8.1569657879231201</v>
      </c>
      <c r="P128" s="1123">
        <v>21.90894990749014</v>
      </c>
      <c r="Q128" s="1122">
        <v>13.75198411956702</v>
      </c>
      <c r="R128" s="364"/>
      <c r="S128" s="1120">
        <v>53.066500097231966</v>
      </c>
      <c r="T128" s="1124">
        <v>2.8588249983306961</v>
      </c>
    </row>
    <row r="129" spans="1:20">
      <c r="A129" s="1085"/>
      <c r="B129" s="1085"/>
      <c r="C129" s="1181"/>
      <c r="D129" s="1200"/>
      <c r="E129" s="1200"/>
      <c r="F129" s="1200"/>
      <c r="G129" s="1200"/>
      <c r="H129" s="1200"/>
      <c r="I129" s="1200"/>
      <c r="J129" s="1200"/>
      <c r="K129" s="1200"/>
      <c r="L129" s="1200"/>
      <c r="M129" s="1200"/>
      <c r="N129" s="1200"/>
      <c r="O129" s="1200"/>
      <c r="P129" s="1200"/>
      <c r="Q129" s="1200"/>
      <c r="R129" s="1200"/>
      <c r="S129" s="1200"/>
      <c r="T129" s="1200"/>
    </row>
    <row r="130" spans="1:20" ht="13.5" thickBot="1">
      <c r="A130" s="1085"/>
      <c r="B130" s="1085"/>
      <c r="C130" s="1181"/>
      <c r="D130" s="1200"/>
      <c r="E130" s="1200"/>
      <c r="F130" s="1200"/>
      <c r="G130" s="1200"/>
      <c r="H130" s="1200"/>
      <c r="I130" s="1200"/>
      <c r="J130" s="1200"/>
      <c r="K130" s="1200"/>
      <c r="L130" s="1200"/>
      <c r="M130" s="1200"/>
      <c r="N130" s="1200"/>
      <c r="O130" s="1200"/>
      <c r="P130" s="1200"/>
      <c r="Q130" s="1200"/>
      <c r="R130" s="1200"/>
      <c r="S130" s="1200"/>
      <c r="T130" s="1200"/>
    </row>
    <row r="131" spans="1:20">
      <c r="A131" s="1085"/>
      <c r="B131" s="1249"/>
      <c r="C131" s="1182"/>
      <c r="D131" s="1102" t="s">
        <v>645</v>
      </c>
      <c r="E131" s="1103"/>
      <c r="F131" s="1103"/>
      <c r="G131" s="1103"/>
      <c r="H131" s="1104"/>
      <c r="I131" s="1103" t="s">
        <v>646</v>
      </c>
      <c r="J131" s="1105"/>
      <c r="K131" s="1105"/>
      <c r="L131" s="1105"/>
      <c r="M131" s="1104"/>
      <c r="N131" s="308"/>
      <c r="O131" s="1062" t="s">
        <v>645</v>
      </c>
      <c r="P131" s="1063"/>
      <c r="Q131" s="1064"/>
      <c r="R131" s="308"/>
      <c r="S131" s="1062" t="s">
        <v>646</v>
      </c>
      <c r="T131" s="1064"/>
    </row>
    <row r="132" spans="1:20" ht="25.5">
      <c r="A132" s="1085"/>
      <c r="B132" s="1214"/>
      <c r="C132" s="1183" t="s">
        <v>559</v>
      </c>
      <c r="D132" s="1184" t="s">
        <v>560</v>
      </c>
      <c r="E132" s="1185" t="s">
        <v>561</v>
      </c>
      <c r="F132" s="1185" t="s">
        <v>557</v>
      </c>
      <c r="G132" s="1185" t="s">
        <v>562</v>
      </c>
      <c r="H132" s="1186" t="s">
        <v>563</v>
      </c>
      <c r="I132" s="1187" t="s">
        <v>647</v>
      </c>
      <c r="J132" s="1185" t="s">
        <v>666</v>
      </c>
      <c r="K132" s="1185" t="s">
        <v>667</v>
      </c>
      <c r="L132" s="1185" t="s">
        <v>668</v>
      </c>
      <c r="M132" s="1186" t="s">
        <v>669</v>
      </c>
      <c r="N132" s="308"/>
      <c r="O132" s="1065" t="s">
        <v>656</v>
      </c>
      <c r="P132" s="1066" t="s">
        <v>657</v>
      </c>
      <c r="Q132" s="1067" t="s">
        <v>809</v>
      </c>
      <c r="R132" s="308"/>
      <c r="S132" s="1065" t="s">
        <v>657</v>
      </c>
      <c r="T132" s="1067" t="s">
        <v>658</v>
      </c>
    </row>
    <row r="133" spans="1:20" ht="25.5">
      <c r="A133" s="1085"/>
      <c r="B133" s="1263" t="s">
        <v>204</v>
      </c>
      <c r="C133" s="1264" t="s">
        <v>542</v>
      </c>
      <c r="D133" s="1190">
        <v>5.0651517863320379</v>
      </c>
      <c r="E133" s="1191">
        <v>3.5707367555143676</v>
      </c>
      <c r="F133" s="1191">
        <v>9.8550149718733593</v>
      </c>
      <c r="G133" s="1191">
        <v>5.428514551282051</v>
      </c>
      <c r="H133" s="1192">
        <v>2.7223579087136933</v>
      </c>
      <c r="I133" s="1191">
        <v>2.7169039845797993</v>
      </c>
      <c r="J133" s="1193">
        <v>2.8976275969111978</v>
      </c>
      <c r="K133" s="1193">
        <v>3.2746187606779671</v>
      </c>
      <c r="L133" s="1193">
        <v>3.4563958105263151</v>
      </c>
      <c r="M133" s="1192">
        <v>3.72902424669868</v>
      </c>
      <c r="N133" s="1200"/>
      <c r="O133" s="1265">
        <v>18.490903513719765</v>
      </c>
      <c r="P133" s="1266">
        <v>8.1508724599957443</v>
      </c>
      <c r="Q133" s="1267">
        <v>26.641775973715507</v>
      </c>
      <c r="R133" s="308"/>
      <c r="S133" s="1265">
        <v>16.074570399393959</v>
      </c>
      <c r="T133" s="1268">
        <v>-0.3966404336087444</v>
      </c>
    </row>
    <row r="134" spans="1:20" ht="25.5">
      <c r="A134" s="1085"/>
      <c r="B134" s="1263" t="s">
        <v>41</v>
      </c>
      <c r="C134" s="1264" t="s">
        <v>542</v>
      </c>
      <c r="D134" s="1194">
        <v>1.2663658035193084</v>
      </c>
      <c r="E134" s="1195">
        <v>0.86799591696014833</v>
      </c>
      <c r="F134" s="1195">
        <v>7.2210064652169592</v>
      </c>
      <c r="G134" s="1195">
        <v>7.6496454700854688</v>
      </c>
      <c r="H134" s="1196">
        <v>13.578802589211616</v>
      </c>
      <c r="I134" s="1195">
        <v>14.75764698997687</v>
      </c>
      <c r="J134" s="1197">
        <v>13.347613598455599</v>
      </c>
      <c r="K134" s="1197">
        <v>13.725859389830509</v>
      </c>
      <c r="L134" s="1197">
        <v>14.008838578947369</v>
      </c>
      <c r="M134" s="1196">
        <v>14.481358279111644</v>
      </c>
      <c r="N134" s="1200"/>
      <c r="O134" s="1073">
        <v>9.3553681856964168</v>
      </c>
      <c r="P134" s="1074">
        <v>21.228448059297087</v>
      </c>
      <c r="Q134" s="1075">
        <v>30.583816244993503</v>
      </c>
      <c r="R134" s="308"/>
      <c r="S134" s="1073">
        <v>70.321316836321984</v>
      </c>
      <c r="T134" s="1076">
        <v>1.2992983044695547</v>
      </c>
    </row>
    <row r="135" spans="1:20" ht="25.5">
      <c r="A135" s="1085"/>
      <c r="B135" s="1263" t="s">
        <v>208</v>
      </c>
      <c r="C135" s="1264" t="s">
        <v>542</v>
      </c>
      <c r="D135" s="1194">
        <v>-9.3428323557476212E-4</v>
      </c>
      <c r="E135" s="1195">
        <v>0.19916872511584802</v>
      </c>
      <c r="F135" s="1195">
        <v>0.1985280707804401</v>
      </c>
      <c r="G135" s="1195">
        <v>0</v>
      </c>
      <c r="H135" s="1196">
        <v>0</v>
      </c>
      <c r="I135" s="1195">
        <v>0</v>
      </c>
      <c r="J135" s="1197">
        <v>0</v>
      </c>
      <c r="K135" s="1197">
        <v>0</v>
      </c>
      <c r="L135" s="1197">
        <v>0</v>
      </c>
      <c r="M135" s="1196">
        <v>0</v>
      </c>
      <c r="N135" s="1200"/>
      <c r="O135" s="1073">
        <v>0.39676251266071338</v>
      </c>
      <c r="P135" s="1074">
        <v>0</v>
      </c>
      <c r="Q135" s="1075">
        <v>0.39676251266071338</v>
      </c>
      <c r="R135" s="308"/>
      <c r="S135" s="1073">
        <v>0</v>
      </c>
      <c r="T135" s="1076">
        <v>-1</v>
      </c>
    </row>
    <row r="136" spans="1:20" ht="26.25" thickBot="1">
      <c r="A136" s="1085"/>
      <c r="B136" s="1269" t="s">
        <v>209</v>
      </c>
      <c r="C136" s="1270" t="s">
        <v>542</v>
      </c>
      <c r="D136" s="1271">
        <v>0</v>
      </c>
      <c r="E136" s="1272">
        <v>0</v>
      </c>
      <c r="F136" s="1272">
        <v>0</v>
      </c>
      <c r="G136" s="1272">
        <v>0</v>
      </c>
      <c r="H136" s="1273">
        <v>0</v>
      </c>
      <c r="I136" s="1272">
        <v>0</v>
      </c>
      <c r="J136" s="1274">
        <v>0</v>
      </c>
      <c r="K136" s="1274">
        <v>0</v>
      </c>
      <c r="L136" s="1274">
        <v>0</v>
      </c>
      <c r="M136" s="1273">
        <v>0</v>
      </c>
      <c r="N136" s="1200"/>
      <c r="O136" s="1077">
        <v>0</v>
      </c>
      <c r="P136" s="1078">
        <v>0</v>
      </c>
      <c r="Q136" s="1079">
        <v>0</v>
      </c>
      <c r="R136" s="308"/>
      <c r="S136" s="1077">
        <v>0</v>
      </c>
      <c r="T136" s="1080" t="s">
        <v>816</v>
      </c>
    </row>
    <row r="137" spans="1:20">
      <c r="A137" s="1275"/>
      <c r="B137" s="1275"/>
      <c r="C137" s="1276"/>
      <c r="D137" s="1115"/>
      <c r="E137" s="1115"/>
      <c r="F137" s="1115"/>
      <c r="G137" s="1115"/>
      <c r="H137" s="1115"/>
      <c r="I137" s="1115"/>
      <c r="J137" s="1115"/>
      <c r="K137" s="1115"/>
      <c r="L137" s="1115"/>
      <c r="M137" s="1115"/>
      <c r="N137" s="1115"/>
      <c r="O137" s="1200"/>
      <c r="P137" s="1200"/>
      <c r="Q137" s="1200"/>
      <c r="R137" s="1200"/>
      <c r="S137" s="1200"/>
      <c r="T137" s="1200"/>
    </row>
    <row r="138" spans="1:20">
      <c r="A138" s="1085"/>
      <c r="B138" s="1085"/>
      <c r="C138" s="1181"/>
      <c r="D138" s="1200"/>
      <c r="E138" s="1200"/>
      <c r="F138" s="1200"/>
      <c r="G138" s="1200"/>
      <c r="H138" s="1200"/>
      <c r="I138" s="1200"/>
      <c r="J138" s="1200"/>
      <c r="K138" s="1200"/>
      <c r="L138" s="1200"/>
      <c r="M138" s="1200"/>
      <c r="N138" s="1200"/>
      <c r="O138" s="1200"/>
      <c r="P138" s="1200"/>
      <c r="Q138" s="1200"/>
      <c r="R138" s="1200"/>
      <c r="S138" s="1200"/>
      <c r="T138" s="1200"/>
    </row>
    <row r="139" spans="1:20">
      <c r="A139" s="1085"/>
      <c r="B139" s="1085"/>
      <c r="C139" s="1181"/>
      <c r="D139" s="1200"/>
      <c r="E139" s="1200"/>
      <c r="F139" s="1200"/>
      <c r="G139" s="1200"/>
      <c r="H139" s="1200"/>
      <c r="I139" s="1200"/>
      <c r="J139" s="1200"/>
      <c r="K139" s="1200"/>
      <c r="L139" s="1200"/>
      <c r="M139" s="1200"/>
      <c r="N139" s="1200"/>
      <c r="O139" s="1200"/>
      <c r="P139" s="1200"/>
      <c r="Q139" s="1200"/>
      <c r="R139" s="1200"/>
      <c r="S139" s="1200"/>
      <c r="T139" s="1200"/>
    </row>
    <row r="140" spans="1:20">
      <c r="A140" s="1085"/>
      <c r="B140" s="1085"/>
      <c r="C140" s="1181"/>
      <c r="D140" s="1200"/>
      <c r="E140" s="1200"/>
      <c r="F140" s="1200"/>
      <c r="G140" s="1200"/>
      <c r="H140" s="1200"/>
      <c r="I140" s="1200"/>
      <c r="J140" s="1200"/>
      <c r="K140" s="1200"/>
      <c r="L140" s="1200"/>
      <c r="M140" s="1200"/>
      <c r="N140" s="1200"/>
      <c r="O140" s="1200"/>
      <c r="P140" s="1200"/>
      <c r="Q140" s="1200"/>
      <c r="R140" s="1200"/>
      <c r="S140" s="1200"/>
      <c r="T140" s="1200"/>
    </row>
    <row r="141" spans="1:20">
      <c r="A141" s="1085"/>
      <c r="B141" s="1085"/>
      <c r="C141" s="1181"/>
      <c r="D141" s="1200"/>
      <c r="E141" s="1200"/>
      <c r="F141" s="1200"/>
      <c r="G141" s="1200"/>
      <c r="H141" s="1200"/>
      <c r="I141" s="1200"/>
      <c r="J141" s="1200"/>
      <c r="K141" s="1200"/>
      <c r="L141" s="1200"/>
      <c r="M141" s="1200"/>
      <c r="N141" s="1200"/>
      <c r="O141" s="1200"/>
      <c r="P141" s="1200"/>
      <c r="Q141" s="1200"/>
      <c r="R141" s="1200"/>
      <c r="S141" s="1200"/>
      <c r="T141" s="1200"/>
    </row>
    <row r="142" spans="1:20">
      <c r="A142" s="1085"/>
      <c r="B142" s="1085"/>
      <c r="C142" s="1181"/>
      <c r="D142" s="1200"/>
      <c r="E142" s="1200"/>
      <c r="F142" s="1200"/>
      <c r="G142" s="1200"/>
      <c r="H142" s="1200"/>
      <c r="I142" s="1200"/>
      <c r="J142" s="1200"/>
      <c r="K142" s="1200"/>
      <c r="L142" s="1200"/>
      <c r="M142" s="1200"/>
      <c r="N142" s="1200"/>
      <c r="O142" s="1200"/>
      <c r="P142" s="1200"/>
      <c r="Q142" s="1200"/>
      <c r="R142" s="1200"/>
      <c r="S142" s="1200"/>
      <c r="T142" s="1200"/>
    </row>
    <row r="143" spans="1:20">
      <c r="A143" s="1085"/>
      <c r="B143" s="1085"/>
      <c r="C143" s="1181"/>
      <c r="D143" s="1200"/>
      <c r="E143" s="1200"/>
      <c r="F143" s="1200"/>
      <c r="G143" s="1200"/>
      <c r="H143" s="1200"/>
      <c r="I143" s="1200"/>
      <c r="J143" s="1200"/>
      <c r="K143" s="1200"/>
      <c r="L143" s="1200"/>
      <c r="M143" s="1200"/>
      <c r="N143" s="1200"/>
      <c r="O143" s="1200"/>
      <c r="P143" s="1200"/>
      <c r="Q143" s="1200"/>
      <c r="R143" s="1200"/>
      <c r="S143" s="1200"/>
      <c r="T143" s="1200"/>
    </row>
    <row r="144" spans="1:20">
      <c r="A144" s="1085"/>
      <c r="B144" s="1085"/>
      <c r="C144" s="1181"/>
      <c r="D144" s="1200"/>
      <c r="E144" s="1200"/>
      <c r="F144" s="1200"/>
      <c r="G144" s="1200"/>
      <c r="H144" s="1200"/>
      <c r="I144" s="1200"/>
      <c r="J144" s="1200"/>
      <c r="K144" s="1200"/>
      <c r="L144" s="1200"/>
      <c r="M144" s="1200"/>
      <c r="N144" s="1200"/>
      <c r="O144" s="1200"/>
      <c r="P144" s="1200"/>
      <c r="Q144" s="1200"/>
      <c r="R144" s="1200"/>
      <c r="S144" s="1200"/>
      <c r="T144" s="1200"/>
    </row>
  </sheetData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workbookViewId="0">
      <selection activeCell="G14" sqref="G14"/>
    </sheetView>
  </sheetViews>
  <sheetFormatPr defaultColWidth="8.85546875" defaultRowHeight="12.75"/>
  <cols>
    <col min="1" max="2" width="8.85546875" customWidth="1"/>
    <col min="3" max="3" width="17" customWidth="1"/>
  </cols>
  <sheetData>
    <row r="1" spans="1:26">
      <c r="A1" s="896" t="s">
        <v>498</v>
      </c>
      <c r="G1" s="891" t="s">
        <v>774</v>
      </c>
    </row>
    <row r="2" spans="1:26">
      <c r="A2" s="896"/>
    </row>
    <row r="3" spans="1:26">
      <c r="A3" s="896" t="s">
        <v>425</v>
      </c>
    </row>
    <row r="5" spans="1:26">
      <c r="A5" s="1085"/>
      <c r="B5" s="1084" t="s">
        <v>426</v>
      </c>
      <c r="C5" s="1084"/>
      <c r="D5" s="1085"/>
      <c r="E5" s="1085"/>
      <c r="F5" s="1085"/>
      <c r="G5" s="1085"/>
      <c r="H5" s="1085"/>
      <c r="I5" s="1085"/>
      <c r="J5" s="1085"/>
      <c r="K5" s="1085"/>
      <c r="L5" s="1085"/>
      <c r="M5" s="1085"/>
      <c r="N5" s="1085"/>
      <c r="O5" s="1085"/>
      <c r="P5" s="1085"/>
      <c r="Q5" s="1085"/>
      <c r="R5" s="1085"/>
      <c r="S5" s="1085"/>
      <c r="T5" s="1085"/>
      <c r="U5" s="1085"/>
      <c r="V5" s="1085"/>
      <c r="W5" s="1085"/>
      <c r="X5" s="1085"/>
      <c r="Y5" s="1085"/>
      <c r="Z5" s="1085"/>
    </row>
    <row r="6" spans="1:26" ht="13.5" thickBot="1">
      <c r="A6" s="1085"/>
      <c r="B6" s="1084"/>
      <c r="C6" s="1084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  <c r="T6" s="1085"/>
      <c r="U6" s="1085"/>
      <c r="V6" s="1085"/>
      <c r="W6" s="1085"/>
      <c r="X6" s="1085"/>
      <c r="Y6" s="1085"/>
      <c r="Z6" s="1085"/>
    </row>
    <row r="7" spans="1:26">
      <c r="A7" s="1085"/>
      <c r="B7" s="1084"/>
      <c r="C7" s="1125"/>
      <c r="D7" s="1102" t="s">
        <v>645</v>
      </c>
      <c r="E7" s="1103"/>
      <c r="F7" s="1103"/>
      <c r="G7" s="1103"/>
      <c r="H7" s="1104"/>
      <c r="I7" s="1103" t="s">
        <v>646</v>
      </c>
      <c r="J7" s="1105"/>
      <c r="K7" s="1105"/>
      <c r="L7" s="1105"/>
      <c r="M7" s="1104"/>
      <c r="N7" s="308"/>
      <c r="O7" s="1062" t="s">
        <v>645</v>
      </c>
      <c r="P7" s="1063"/>
      <c r="Q7" s="1064"/>
      <c r="R7" s="308"/>
      <c r="S7" s="1062" t="s">
        <v>646</v>
      </c>
      <c r="T7" s="1064"/>
      <c r="U7" s="1085"/>
      <c r="V7" s="1085"/>
      <c r="W7" s="1085"/>
      <c r="X7" s="1085"/>
      <c r="Y7" s="1085"/>
      <c r="Z7" s="1085"/>
    </row>
    <row r="8" spans="1:26" ht="25.5">
      <c r="A8" s="1085"/>
      <c r="B8" s="1085"/>
      <c r="C8" s="1126"/>
      <c r="D8" s="1065" t="s">
        <v>560</v>
      </c>
      <c r="E8" s="1066" t="s">
        <v>561</v>
      </c>
      <c r="F8" s="1066" t="s">
        <v>557</v>
      </c>
      <c r="G8" s="1066" t="s">
        <v>562</v>
      </c>
      <c r="H8" s="1067" t="s">
        <v>563</v>
      </c>
      <c r="I8" s="1127" t="s">
        <v>647</v>
      </c>
      <c r="J8" s="1066" t="s">
        <v>666</v>
      </c>
      <c r="K8" s="1066" t="s">
        <v>667</v>
      </c>
      <c r="L8" s="1066" t="s">
        <v>668</v>
      </c>
      <c r="M8" s="1067" t="s">
        <v>669</v>
      </c>
      <c r="N8" s="308"/>
      <c r="O8" s="1065" t="s">
        <v>656</v>
      </c>
      <c r="P8" s="1066" t="s">
        <v>657</v>
      </c>
      <c r="Q8" s="1067" t="s">
        <v>809</v>
      </c>
      <c r="R8" s="308"/>
      <c r="S8" s="1065" t="s">
        <v>657</v>
      </c>
      <c r="T8" s="1067" t="s">
        <v>658</v>
      </c>
      <c r="U8" s="1085"/>
      <c r="V8" s="1085"/>
      <c r="W8" s="1085"/>
      <c r="X8" s="1085"/>
      <c r="Y8" s="1085"/>
      <c r="Z8" s="1085"/>
    </row>
    <row r="9" spans="1:26">
      <c r="A9" s="1085"/>
      <c r="B9" s="1085"/>
      <c r="C9" s="1128"/>
      <c r="D9" s="1108" t="s">
        <v>419</v>
      </c>
      <c r="E9" s="1109" t="s">
        <v>419</v>
      </c>
      <c r="F9" s="1109" t="s">
        <v>419</v>
      </c>
      <c r="G9" s="1109" t="s">
        <v>419</v>
      </c>
      <c r="H9" s="1110" t="s">
        <v>419</v>
      </c>
      <c r="I9" s="1129" t="s">
        <v>419</v>
      </c>
      <c r="J9" s="1109" t="s">
        <v>419</v>
      </c>
      <c r="K9" s="1109" t="s">
        <v>419</v>
      </c>
      <c r="L9" s="1109" t="s">
        <v>419</v>
      </c>
      <c r="M9" s="1110" t="s">
        <v>419</v>
      </c>
      <c r="N9" s="370"/>
      <c r="O9" s="1108" t="s">
        <v>419</v>
      </c>
      <c r="P9" s="1109" t="s">
        <v>419</v>
      </c>
      <c r="Q9" s="1110" t="s">
        <v>419</v>
      </c>
      <c r="R9" s="370"/>
      <c r="S9" s="1108" t="s">
        <v>419</v>
      </c>
      <c r="T9" s="1110" t="s">
        <v>419</v>
      </c>
      <c r="U9" s="1085"/>
      <c r="V9" s="1085"/>
      <c r="W9" s="1085"/>
      <c r="X9" s="1085"/>
      <c r="Y9" s="1085"/>
      <c r="Z9" s="1085"/>
    </row>
    <row r="10" spans="1:26">
      <c r="A10" s="1085"/>
      <c r="B10" s="1085"/>
      <c r="C10" s="1130" t="s">
        <v>427</v>
      </c>
      <c r="D10" s="1112"/>
      <c r="E10" s="1113"/>
      <c r="F10" s="1113"/>
      <c r="G10" s="1113"/>
      <c r="H10" s="1114"/>
      <c r="I10" s="1113"/>
      <c r="J10" s="1113"/>
      <c r="K10" s="1113"/>
      <c r="L10" s="1113"/>
      <c r="M10" s="1114"/>
      <c r="N10" s="370"/>
      <c r="O10" s="1112"/>
      <c r="P10" s="1115"/>
      <c r="Q10" s="1116"/>
      <c r="R10" s="370"/>
      <c r="S10" s="1112"/>
      <c r="T10" s="1117"/>
      <c r="U10" s="1085"/>
      <c r="V10" s="1085"/>
      <c r="W10" s="1085"/>
      <c r="X10" s="1085"/>
      <c r="Y10" s="1085"/>
      <c r="Z10" s="1085"/>
    </row>
    <row r="11" spans="1:26">
      <c r="A11" s="1085"/>
      <c r="B11" s="1085"/>
      <c r="C11" s="1131" t="s">
        <v>487</v>
      </c>
      <c r="D11" s="358">
        <v>0.59787787022900762</v>
      </c>
      <c r="E11" s="359">
        <v>1.4930413323059681</v>
      </c>
      <c r="F11" s="359">
        <v>1.2960606768848384</v>
      </c>
      <c r="G11" s="359">
        <v>1.4501552777777778</v>
      </c>
      <c r="H11" s="360">
        <v>0.7776191627692487</v>
      </c>
      <c r="I11" s="359">
        <v>0.95352027484310475</v>
      </c>
      <c r="J11" s="361">
        <v>0.93103337152803067</v>
      </c>
      <c r="K11" s="361">
        <v>0.92934109523010278</v>
      </c>
      <c r="L11" s="361">
        <v>0.92885146116891715</v>
      </c>
      <c r="M11" s="360">
        <v>0.93731354680290524</v>
      </c>
      <c r="N11" s="384"/>
      <c r="O11" s="1073">
        <v>3.3869798794198145</v>
      </c>
      <c r="P11" s="1074">
        <v>2.2277744405470266</v>
      </c>
      <c r="Q11" s="1075">
        <v>5.6147543199668402</v>
      </c>
      <c r="R11" s="385"/>
      <c r="S11" s="1073">
        <v>4.6800597495730605</v>
      </c>
      <c r="T11" s="1076">
        <v>-0.16647114319318959</v>
      </c>
      <c r="U11" s="1085"/>
      <c r="V11" s="1085"/>
      <c r="W11" s="1085"/>
      <c r="X11" s="1085"/>
      <c r="Y11" s="1085"/>
      <c r="Z11" s="1085"/>
    </row>
    <row r="12" spans="1:26">
      <c r="A12" s="1085"/>
      <c r="B12" s="1085"/>
      <c r="C12" s="1131" t="s">
        <v>482</v>
      </c>
      <c r="D12" s="358">
        <v>4.1851450916030535</v>
      </c>
      <c r="E12" s="359">
        <v>5.2754127074810873</v>
      </c>
      <c r="F12" s="359">
        <v>3.8881820306545154</v>
      </c>
      <c r="G12" s="359">
        <v>3.2349617735042733</v>
      </c>
      <c r="H12" s="360">
        <v>3.6659189101978868</v>
      </c>
      <c r="I12" s="359">
        <v>4.3438145853963652</v>
      </c>
      <c r="J12" s="361">
        <v>4.2413742480721393</v>
      </c>
      <c r="K12" s="361">
        <v>4.2336649893815785</v>
      </c>
      <c r="L12" s="361">
        <v>4.2314344342139556</v>
      </c>
      <c r="M12" s="360">
        <v>4.269983935435457</v>
      </c>
      <c r="N12" s="384"/>
      <c r="O12" s="1073">
        <v>13.348739829738657</v>
      </c>
      <c r="P12" s="1074">
        <v>6.9008806837021606</v>
      </c>
      <c r="Q12" s="1075">
        <v>20.249620513440817</v>
      </c>
      <c r="R12" s="385"/>
      <c r="S12" s="1073">
        <v>21.320272192499495</v>
      </c>
      <c r="T12" s="1076">
        <v>5.2872678692819232E-2</v>
      </c>
      <c r="U12" s="1085"/>
      <c r="V12" s="1085"/>
      <c r="W12" s="1085"/>
      <c r="X12" s="1085"/>
      <c r="Y12" s="1085"/>
      <c r="Z12" s="1085"/>
    </row>
    <row r="13" spans="1:26">
      <c r="A13" s="1085"/>
      <c r="B13" s="1085"/>
      <c r="C13" s="1131" t="s">
        <v>483</v>
      </c>
      <c r="D13" s="358">
        <v>10.861447975826973</v>
      </c>
      <c r="E13" s="359">
        <v>6.6689179509666578</v>
      </c>
      <c r="F13" s="359">
        <v>3.1903032046396027</v>
      </c>
      <c r="G13" s="359">
        <v>0.22310081196581197</v>
      </c>
      <c r="H13" s="360">
        <v>3.4437420065495301</v>
      </c>
      <c r="I13" s="359">
        <v>18.328778616428572</v>
      </c>
      <c r="J13" s="361">
        <v>13.758604268136454</v>
      </c>
      <c r="K13" s="361">
        <v>15.07597776706611</v>
      </c>
      <c r="L13" s="361">
        <v>11.249423251934662</v>
      </c>
      <c r="M13" s="360">
        <v>12.289222058082537</v>
      </c>
      <c r="N13" s="384"/>
      <c r="O13" s="1073">
        <v>20.720669131433233</v>
      </c>
      <c r="P13" s="1074">
        <v>3.6668428185153421</v>
      </c>
      <c r="Q13" s="1075">
        <v>24.387511949948575</v>
      </c>
      <c r="R13" s="385"/>
      <c r="S13" s="1073">
        <v>70.702005961648325</v>
      </c>
      <c r="T13" s="1076">
        <v>1.8991069735507566</v>
      </c>
      <c r="U13" s="1085"/>
      <c r="V13" s="1085"/>
      <c r="W13" s="1085"/>
      <c r="X13" s="1085"/>
      <c r="Y13" s="1085"/>
      <c r="Z13" s="1085"/>
    </row>
    <row r="14" spans="1:26">
      <c r="A14" s="1085"/>
      <c r="B14" s="1085"/>
      <c r="C14" s="1131" t="s">
        <v>472</v>
      </c>
      <c r="D14" s="358">
        <v>9.0678143651399488</v>
      </c>
      <c r="E14" s="359">
        <v>12.242938924908939</v>
      </c>
      <c r="F14" s="359">
        <v>24.026971009942006</v>
      </c>
      <c r="G14" s="359">
        <v>14.724653589743589</v>
      </c>
      <c r="H14" s="360">
        <v>1.1108845182417841</v>
      </c>
      <c r="I14" s="359">
        <v>5.933015043468207</v>
      </c>
      <c r="J14" s="361">
        <v>16.241359925544533</v>
      </c>
      <c r="K14" s="361">
        <v>22.200926163830228</v>
      </c>
      <c r="L14" s="361">
        <v>25.491812323191386</v>
      </c>
      <c r="M14" s="360">
        <v>26.453071209770879</v>
      </c>
      <c r="N14" s="384"/>
      <c r="O14" s="1073">
        <v>45.337724299990896</v>
      </c>
      <c r="P14" s="1074">
        <v>15.835538107985373</v>
      </c>
      <c r="Q14" s="1075">
        <v>61.173262407976267</v>
      </c>
      <c r="R14" s="385"/>
      <c r="S14" s="1073">
        <v>96.320184665805229</v>
      </c>
      <c r="T14" s="1076">
        <v>0.57454712850570844</v>
      </c>
      <c r="U14" s="1085"/>
      <c r="V14" s="1085"/>
      <c r="W14" s="1085"/>
      <c r="X14" s="1085"/>
      <c r="Y14" s="1085"/>
      <c r="Z14" s="1085"/>
    </row>
    <row r="15" spans="1:26" ht="38.25">
      <c r="A15" s="1085"/>
      <c r="B15" s="1085"/>
      <c r="C15" s="1132" t="s">
        <v>315</v>
      </c>
      <c r="D15" s="362"/>
      <c r="E15" s="363"/>
      <c r="F15" s="363"/>
      <c r="G15" s="359">
        <v>0</v>
      </c>
      <c r="H15" s="360">
        <v>0</v>
      </c>
      <c r="I15" s="359">
        <v>0</v>
      </c>
      <c r="J15" s="361">
        <v>0</v>
      </c>
      <c r="K15" s="361">
        <v>0</v>
      </c>
      <c r="L15" s="361">
        <v>0</v>
      </c>
      <c r="M15" s="360">
        <v>0</v>
      </c>
      <c r="N15" s="385"/>
      <c r="O15" s="1073">
        <v>0</v>
      </c>
      <c r="P15" s="1074">
        <v>0</v>
      </c>
      <c r="Q15" s="1075">
        <v>0</v>
      </c>
      <c r="R15" s="385"/>
      <c r="S15" s="1073">
        <v>0</v>
      </c>
      <c r="T15" s="1076" t="s">
        <v>816</v>
      </c>
      <c r="U15" s="1085"/>
      <c r="V15" s="1085"/>
      <c r="W15" s="1085"/>
      <c r="X15" s="1085"/>
      <c r="Y15" s="1085"/>
      <c r="Z15" s="1085"/>
    </row>
    <row r="16" spans="1:26">
      <c r="A16" s="1085"/>
      <c r="B16" s="1085"/>
      <c r="C16" s="1132" t="s">
        <v>809</v>
      </c>
      <c r="D16" s="1133">
        <v>24.712285302798982</v>
      </c>
      <c r="E16" s="1134">
        <v>25.680310915662652</v>
      </c>
      <c r="F16" s="1134">
        <v>32.401516922120962</v>
      </c>
      <c r="G16" s="1134">
        <v>19.632871452991452</v>
      </c>
      <c r="H16" s="1135">
        <v>8.9981645977584499</v>
      </c>
      <c r="I16" s="1134">
        <v>29.559128520136248</v>
      </c>
      <c r="J16" s="1136">
        <v>35.17237181328116</v>
      </c>
      <c r="K16" s="1136">
        <v>42.439910015508019</v>
      </c>
      <c r="L16" s="1136">
        <v>41.901521470508925</v>
      </c>
      <c r="M16" s="1135">
        <v>43.949590750091772</v>
      </c>
      <c r="N16" s="386"/>
      <c r="O16" s="1133">
        <v>82.794113140582596</v>
      </c>
      <c r="P16" s="1136">
        <v>28.631036050749902</v>
      </c>
      <c r="Q16" s="1135">
        <v>111.42514919133249</v>
      </c>
      <c r="R16" s="386"/>
      <c r="S16" s="1133">
        <v>193.02252256952613</v>
      </c>
      <c r="T16" s="1137">
        <v>0.73230661094363525</v>
      </c>
      <c r="U16" s="1085"/>
      <c r="V16" s="1085"/>
      <c r="W16" s="1085"/>
      <c r="X16" s="1085"/>
      <c r="Y16" s="1085"/>
      <c r="Z16" s="1085"/>
    </row>
    <row r="17" spans="1:26">
      <c r="A17" s="1085"/>
      <c r="B17" s="1085"/>
      <c r="C17" s="1132"/>
      <c r="D17" s="1138"/>
      <c r="E17" s="1139"/>
      <c r="F17" s="1139"/>
      <c r="G17" s="1139"/>
      <c r="H17" s="1140"/>
      <c r="I17" s="1139"/>
      <c r="J17" s="1139"/>
      <c r="K17" s="1139"/>
      <c r="L17" s="1139"/>
      <c r="M17" s="1140"/>
      <c r="N17" s="384"/>
      <c r="O17" s="1138"/>
      <c r="P17" s="1141"/>
      <c r="Q17" s="1142"/>
      <c r="R17" s="384"/>
      <c r="S17" s="1138"/>
      <c r="T17" s="1143"/>
      <c r="U17" s="1085"/>
      <c r="V17" s="1085"/>
      <c r="W17" s="1085"/>
      <c r="X17" s="1085"/>
      <c r="Y17" s="1085"/>
      <c r="Z17" s="1085"/>
    </row>
    <row r="18" spans="1:26" ht="38.25">
      <c r="A18" s="1085"/>
      <c r="B18" s="1085"/>
      <c r="C18" s="1132" t="s">
        <v>435</v>
      </c>
      <c r="D18" s="362"/>
      <c r="E18" s="363"/>
      <c r="F18" s="363"/>
      <c r="G18" s="359">
        <v>0</v>
      </c>
      <c r="H18" s="360">
        <v>0</v>
      </c>
      <c r="I18" s="359">
        <v>0</v>
      </c>
      <c r="J18" s="361">
        <v>0</v>
      </c>
      <c r="K18" s="361">
        <v>0</v>
      </c>
      <c r="L18" s="361">
        <v>0</v>
      </c>
      <c r="M18" s="360">
        <v>0</v>
      </c>
      <c r="N18" s="385"/>
      <c r="O18" s="1073">
        <v>0</v>
      </c>
      <c r="P18" s="1074">
        <v>0</v>
      </c>
      <c r="Q18" s="1075">
        <v>0</v>
      </c>
      <c r="R18" s="385"/>
      <c r="S18" s="1073">
        <v>0</v>
      </c>
      <c r="T18" s="1076" t="s">
        <v>816</v>
      </c>
      <c r="U18" s="1085"/>
      <c r="V18" s="1085"/>
      <c r="W18" s="1085"/>
      <c r="X18" s="1085"/>
      <c r="Y18" s="1085"/>
      <c r="Z18" s="1085"/>
    </row>
    <row r="19" spans="1:26" ht="39" thickBot="1">
      <c r="A19" s="1085"/>
      <c r="B19" s="1085"/>
      <c r="C19" s="1144" t="s">
        <v>436</v>
      </c>
      <c r="D19" s="365"/>
      <c r="E19" s="366"/>
      <c r="F19" s="366"/>
      <c r="G19" s="367">
        <v>0</v>
      </c>
      <c r="H19" s="368">
        <v>0</v>
      </c>
      <c r="I19" s="367">
        <v>0</v>
      </c>
      <c r="J19" s="369">
        <v>0</v>
      </c>
      <c r="K19" s="369">
        <v>0</v>
      </c>
      <c r="L19" s="369">
        <v>0</v>
      </c>
      <c r="M19" s="368">
        <v>0</v>
      </c>
      <c r="N19" s="385"/>
      <c r="O19" s="1077">
        <v>0</v>
      </c>
      <c r="P19" s="1078">
        <v>0</v>
      </c>
      <c r="Q19" s="1079">
        <v>0</v>
      </c>
      <c r="R19" s="385"/>
      <c r="S19" s="1077">
        <v>0</v>
      </c>
      <c r="T19" s="1080" t="s">
        <v>816</v>
      </c>
      <c r="U19" s="1085"/>
      <c r="V19" s="1085"/>
      <c r="W19" s="1085"/>
      <c r="X19" s="1085"/>
      <c r="Y19" s="1085"/>
      <c r="Z19" s="1085"/>
    </row>
    <row r="20" spans="1:26">
      <c r="A20" s="1085"/>
      <c r="B20" s="1085"/>
      <c r="C20" s="1085"/>
      <c r="D20" s="1085"/>
      <c r="E20" s="1085"/>
      <c r="F20" s="1085"/>
      <c r="G20" s="1085"/>
      <c r="H20" s="1085"/>
      <c r="I20" s="1085"/>
      <c r="J20" s="1085"/>
      <c r="K20" s="1085"/>
      <c r="L20" s="1085"/>
      <c r="M20" s="1085"/>
      <c r="N20" s="1085"/>
      <c r="O20" s="1085"/>
      <c r="P20" s="1085"/>
      <c r="Q20" s="1085"/>
      <c r="R20" s="1085"/>
      <c r="S20" s="1085"/>
      <c r="T20" s="1085"/>
      <c r="U20" s="1085"/>
      <c r="V20" s="1085"/>
      <c r="W20" s="1085"/>
      <c r="X20" s="1085"/>
      <c r="Y20" s="1085"/>
      <c r="Z20" s="1085"/>
    </row>
    <row r="21" spans="1:26">
      <c r="A21" s="1085"/>
      <c r="B21" s="1085"/>
      <c r="C21" s="1085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5"/>
      <c r="S21" s="1085"/>
      <c r="T21" s="1085"/>
      <c r="U21" s="1085"/>
      <c r="V21" s="1085"/>
      <c r="W21" s="1085"/>
      <c r="X21" s="1085"/>
      <c r="Y21" s="1085"/>
      <c r="Z21" s="1085"/>
    </row>
    <row r="22" spans="1:26">
      <c r="A22" s="1085"/>
      <c r="B22" s="1084" t="s">
        <v>438</v>
      </c>
      <c r="C22" s="1085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5"/>
      <c r="O22" s="1085"/>
      <c r="P22" s="1085"/>
      <c r="Q22" s="1085"/>
      <c r="R22" s="1085"/>
      <c r="S22" s="1085"/>
      <c r="T22" s="1085"/>
      <c r="U22" s="1085"/>
      <c r="V22" s="1085"/>
      <c r="W22" s="1085"/>
      <c r="X22" s="1085"/>
      <c r="Y22" s="1085"/>
      <c r="Z22" s="1085"/>
    </row>
    <row r="23" spans="1:26" ht="13.5" thickBot="1">
      <c r="A23" s="1085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</row>
    <row r="24" spans="1:26">
      <c r="A24" s="1085"/>
      <c r="B24" s="1145"/>
      <c r="C24" s="1063" t="s">
        <v>439</v>
      </c>
      <c r="D24" s="1063"/>
      <c r="E24" s="1063"/>
      <c r="F24" s="1146"/>
      <c r="G24" s="1103"/>
      <c r="H24" s="1147"/>
      <c r="I24" s="1148"/>
      <c r="J24" s="1102" t="s">
        <v>645</v>
      </c>
      <c r="K24" s="1103"/>
      <c r="L24" s="1103"/>
      <c r="M24" s="1103"/>
      <c r="N24" s="1104"/>
      <c r="O24" s="1103" t="s">
        <v>646</v>
      </c>
      <c r="P24" s="1105"/>
      <c r="Q24" s="1105"/>
      <c r="R24" s="1105"/>
      <c r="S24" s="1104"/>
      <c r="T24" s="1149" t="s">
        <v>440</v>
      </c>
      <c r="U24" s="1150"/>
      <c r="V24" s="1150"/>
      <c r="W24" s="1150"/>
      <c r="X24" s="1150"/>
      <c r="Y24" s="1150"/>
      <c r="Z24" s="1151"/>
    </row>
    <row r="25" spans="1:26" s="407" customFormat="1" ht="101.25" customHeight="1">
      <c r="A25" s="400"/>
      <c r="B25" s="401"/>
      <c r="C25" s="402" t="s">
        <v>441</v>
      </c>
      <c r="D25" s="403" t="s">
        <v>696</v>
      </c>
      <c r="E25" s="402" t="s">
        <v>697</v>
      </c>
      <c r="F25" s="404" t="s">
        <v>448</v>
      </c>
      <c r="G25" s="404" t="s">
        <v>449</v>
      </c>
      <c r="H25" s="405" t="s">
        <v>450</v>
      </c>
      <c r="I25" s="406" t="s">
        <v>451</v>
      </c>
      <c r="J25" s="405" t="s">
        <v>560</v>
      </c>
      <c r="K25" s="402" t="s">
        <v>561</v>
      </c>
      <c r="L25" s="402" t="s">
        <v>557</v>
      </c>
      <c r="M25" s="402" t="s">
        <v>562</v>
      </c>
      <c r="N25" s="406" t="s">
        <v>563</v>
      </c>
      <c r="O25" s="405" t="s">
        <v>647</v>
      </c>
      <c r="P25" s="402" t="s">
        <v>666</v>
      </c>
      <c r="Q25" s="402" t="s">
        <v>667</v>
      </c>
      <c r="R25" s="402" t="s">
        <v>668</v>
      </c>
      <c r="S25" s="406" t="s">
        <v>669</v>
      </c>
      <c r="T25" s="1467" t="s">
        <v>602</v>
      </c>
      <c r="U25" s="1468"/>
      <c r="V25" s="1468"/>
      <c r="W25" s="1468"/>
      <c r="X25" s="1468"/>
      <c r="Y25" s="1468"/>
      <c r="Z25" s="1469"/>
    </row>
    <row r="26" spans="1:26">
      <c r="A26" s="1085"/>
      <c r="B26" s="1128"/>
      <c r="C26" s="1152" t="s">
        <v>603</v>
      </c>
      <c r="D26" s="1153" t="s">
        <v>604</v>
      </c>
      <c r="E26" s="1152" t="s">
        <v>605</v>
      </c>
      <c r="F26" s="1154" t="s">
        <v>606</v>
      </c>
      <c r="G26" s="1154" t="s">
        <v>607</v>
      </c>
      <c r="H26" s="1155" t="s">
        <v>419</v>
      </c>
      <c r="I26" s="1156" t="s">
        <v>419</v>
      </c>
      <c r="J26" s="1108" t="s">
        <v>419</v>
      </c>
      <c r="K26" s="1109" t="s">
        <v>419</v>
      </c>
      <c r="L26" s="1109" t="s">
        <v>419</v>
      </c>
      <c r="M26" s="1109" t="s">
        <v>419</v>
      </c>
      <c r="N26" s="1110" t="s">
        <v>419</v>
      </c>
      <c r="O26" s="1108" t="s">
        <v>419</v>
      </c>
      <c r="P26" s="1109" t="s">
        <v>419</v>
      </c>
      <c r="Q26" s="1109" t="s">
        <v>419</v>
      </c>
      <c r="R26" s="1109" t="s">
        <v>419</v>
      </c>
      <c r="S26" s="1110" t="s">
        <v>419</v>
      </c>
      <c r="T26" s="1470" t="s">
        <v>593</v>
      </c>
      <c r="U26" s="1471"/>
      <c r="V26" s="1471"/>
      <c r="W26" s="1471"/>
      <c r="X26" s="1471"/>
      <c r="Y26" s="1471"/>
      <c r="Z26" s="1472"/>
    </row>
    <row r="27" spans="1:26">
      <c r="A27" s="1157"/>
      <c r="B27" s="1158">
        <v>1</v>
      </c>
      <c r="C27" s="387" t="s">
        <v>817</v>
      </c>
      <c r="D27" s="387" t="s">
        <v>818</v>
      </c>
      <c r="E27" s="387" t="s">
        <v>819</v>
      </c>
      <c r="F27" s="388">
        <v>2011</v>
      </c>
      <c r="G27" s="388">
        <v>14</v>
      </c>
      <c r="H27" s="389">
        <v>2.0670827408423702</v>
      </c>
      <c r="I27" s="1159">
        <v>2.0670827408423702</v>
      </c>
      <c r="J27" s="389">
        <v>0</v>
      </c>
      <c r="K27" s="390">
        <v>0</v>
      </c>
      <c r="L27" s="390">
        <v>0</v>
      </c>
      <c r="M27" s="390">
        <v>0</v>
      </c>
      <c r="N27" s="391">
        <v>0</v>
      </c>
      <c r="O27" s="390">
        <v>0</v>
      </c>
      <c r="P27" s="392">
        <v>1.034481523920034</v>
      </c>
      <c r="Q27" s="392">
        <v>1.0326012169223362</v>
      </c>
      <c r="R27" s="392">
        <v>0</v>
      </c>
      <c r="S27" s="391">
        <v>0</v>
      </c>
      <c r="T27" s="1464" t="s">
        <v>820</v>
      </c>
      <c r="U27" s="1465" t="e">
        <v>#REF!</v>
      </c>
      <c r="V27" s="1465" t="e">
        <v>#REF!</v>
      </c>
      <c r="W27" s="1465" t="e">
        <v>#REF!</v>
      </c>
      <c r="X27" s="1465" t="e">
        <v>#REF!</v>
      </c>
      <c r="Y27" s="1465" t="e">
        <v>#REF!</v>
      </c>
      <c r="Z27" s="1466" t="e">
        <v>#REF!</v>
      </c>
    </row>
    <row r="28" spans="1:26">
      <c r="A28" s="1157"/>
      <c r="B28" s="1160">
        <v>2</v>
      </c>
      <c r="C28" s="387" t="s">
        <v>821</v>
      </c>
      <c r="D28" s="387" t="s">
        <v>806</v>
      </c>
      <c r="E28" s="387" t="s">
        <v>822</v>
      </c>
      <c r="F28" s="388">
        <v>2013</v>
      </c>
      <c r="G28" s="388">
        <v>80</v>
      </c>
      <c r="H28" s="389">
        <v>4.9811411799437408</v>
      </c>
      <c r="I28" s="1159">
        <v>4.9811411799437408</v>
      </c>
      <c r="J28" s="389">
        <v>0</v>
      </c>
      <c r="K28" s="390">
        <v>0</v>
      </c>
      <c r="L28" s="390">
        <v>0</v>
      </c>
      <c r="M28" s="390">
        <v>0</v>
      </c>
      <c r="N28" s="391">
        <v>0</v>
      </c>
      <c r="O28" s="390">
        <v>0</v>
      </c>
      <c r="P28" s="392">
        <v>0</v>
      </c>
      <c r="Q28" s="392">
        <v>0</v>
      </c>
      <c r="R28" s="392">
        <v>1.9609086402454914</v>
      </c>
      <c r="S28" s="391">
        <v>3.0202325396982497</v>
      </c>
      <c r="T28" s="1464" t="s">
        <v>823</v>
      </c>
      <c r="U28" s="1465" t="e">
        <v>#REF!</v>
      </c>
      <c r="V28" s="1465" t="e">
        <v>#REF!</v>
      </c>
      <c r="W28" s="1465" t="e">
        <v>#REF!</v>
      </c>
      <c r="X28" s="1465" t="e">
        <v>#REF!</v>
      </c>
      <c r="Y28" s="1465" t="e">
        <v>#REF!</v>
      </c>
      <c r="Z28" s="1466" t="e">
        <v>#REF!</v>
      </c>
    </row>
    <row r="29" spans="1:26">
      <c r="A29" s="1157"/>
      <c r="B29" s="1160">
        <v>3</v>
      </c>
      <c r="C29" s="387" t="s">
        <v>824</v>
      </c>
      <c r="D29" s="387" t="s">
        <v>806</v>
      </c>
      <c r="E29" s="387" t="s">
        <v>819</v>
      </c>
      <c r="F29" s="388">
        <v>2010</v>
      </c>
      <c r="G29" s="388">
        <v>39</v>
      </c>
      <c r="H29" s="389">
        <v>1.034481523920034</v>
      </c>
      <c r="I29" s="1159">
        <v>1.034481523920034</v>
      </c>
      <c r="J29" s="389">
        <v>0</v>
      </c>
      <c r="K29" s="390">
        <v>0</v>
      </c>
      <c r="L29" s="390">
        <v>0</v>
      </c>
      <c r="M29" s="390">
        <v>0</v>
      </c>
      <c r="N29" s="391">
        <v>0</v>
      </c>
      <c r="O29" s="390">
        <v>0</v>
      </c>
      <c r="P29" s="392">
        <v>1.034481523920034</v>
      </c>
      <c r="Q29" s="392">
        <v>0</v>
      </c>
      <c r="R29" s="392">
        <v>0</v>
      </c>
      <c r="S29" s="391">
        <v>0</v>
      </c>
      <c r="T29" s="1464" t="s">
        <v>825</v>
      </c>
      <c r="U29" s="1465" t="e">
        <v>#REF!</v>
      </c>
      <c r="V29" s="1465" t="e">
        <v>#REF!</v>
      </c>
      <c r="W29" s="1465" t="e">
        <v>#REF!</v>
      </c>
      <c r="X29" s="1465" t="e">
        <v>#REF!</v>
      </c>
      <c r="Y29" s="1465" t="e">
        <v>#REF!</v>
      </c>
      <c r="Z29" s="1466" t="e">
        <v>#REF!</v>
      </c>
    </row>
    <row r="30" spans="1:26">
      <c r="A30" s="1157"/>
      <c r="B30" s="1160">
        <v>4</v>
      </c>
      <c r="C30" s="387" t="s">
        <v>826</v>
      </c>
      <c r="D30" s="387" t="s">
        <v>818</v>
      </c>
      <c r="E30" s="387" t="s">
        <v>827</v>
      </c>
      <c r="F30" s="388">
        <v>2007</v>
      </c>
      <c r="G30" s="388">
        <v>12</v>
      </c>
      <c r="H30" s="389">
        <v>1.5892004580718411</v>
      </c>
      <c r="I30" s="1159">
        <v>1.5892004580718411</v>
      </c>
      <c r="J30" s="389">
        <v>0</v>
      </c>
      <c r="K30" s="390">
        <v>0</v>
      </c>
      <c r="L30" s="390">
        <v>0</v>
      </c>
      <c r="M30" s="390">
        <v>0</v>
      </c>
      <c r="N30" s="391">
        <v>0</v>
      </c>
      <c r="O30" s="390">
        <v>1.5892004580718411</v>
      </c>
      <c r="P30" s="392">
        <v>0</v>
      </c>
      <c r="Q30" s="392">
        <v>0</v>
      </c>
      <c r="R30" s="392">
        <v>0</v>
      </c>
      <c r="S30" s="391">
        <v>0</v>
      </c>
      <c r="T30" s="1464" t="s">
        <v>828</v>
      </c>
      <c r="U30" s="1465" t="e">
        <v>#REF!</v>
      </c>
      <c r="V30" s="1465" t="e">
        <v>#REF!</v>
      </c>
      <c r="W30" s="1465" t="e">
        <v>#REF!</v>
      </c>
      <c r="X30" s="1465" t="e">
        <v>#REF!</v>
      </c>
      <c r="Y30" s="1465" t="e">
        <v>#REF!</v>
      </c>
      <c r="Z30" s="1466" t="e">
        <v>#REF!</v>
      </c>
    </row>
    <row r="31" spans="1:26">
      <c r="A31" s="1157"/>
      <c r="B31" s="1160">
        <v>5</v>
      </c>
      <c r="C31" s="387" t="s">
        <v>829</v>
      </c>
      <c r="D31" s="387" t="s">
        <v>818</v>
      </c>
      <c r="E31" s="387" t="s">
        <v>822</v>
      </c>
      <c r="F31" s="388">
        <v>2007</v>
      </c>
      <c r="G31" s="388">
        <v>9.5</v>
      </c>
      <c r="H31" s="389">
        <v>0.83008376394881334</v>
      </c>
      <c r="I31" s="1159">
        <v>0.83008376394881334</v>
      </c>
      <c r="J31" s="389">
        <v>0</v>
      </c>
      <c r="K31" s="390">
        <v>0</v>
      </c>
      <c r="L31" s="390">
        <v>0</v>
      </c>
      <c r="M31" s="390">
        <v>0</v>
      </c>
      <c r="N31" s="391">
        <v>0</v>
      </c>
      <c r="O31" s="390">
        <v>0.10594669720478943</v>
      </c>
      <c r="P31" s="392">
        <v>0.72413706674402389</v>
      </c>
      <c r="Q31" s="392">
        <v>0</v>
      </c>
      <c r="R31" s="392">
        <v>0</v>
      </c>
      <c r="S31" s="391">
        <v>0</v>
      </c>
      <c r="T31" s="1464" t="s">
        <v>830</v>
      </c>
      <c r="U31" s="1465" t="e">
        <v>#REF!</v>
      </c>
      <c r="V31" s="1465" t="e">
        <v>#REF!</v>
      </c>
      <c r="W31" s="1465" t="e">
        <v>#REF!</v>
      </c>
      <c r="X31" s="1465" t="e">
        <v>#REF!</v>
      </c>
      <c r="Y31" s="1465" t="e">
        <v>#REF!</v>
      </c>
      <c r="Z31" s="1466" t="e">
        <v>#REF!</v>
      </c>
    </row>
    <row r="32" spans="1:26">
      <c r="A32" s="1157"/>
      <c r="B32" s="1160">
        <v>6</v>
      </c>
      <c r="C32" s="387" t="s">
        <v>831</v>
      </c>
      <c r="D32" s="387" t="s">
        <v>806</v>
      </c>
      <c r="E32" s="387" t="s">
        <v>827</v>
      </c>
      <c r="F32" s="388">
        <v>2013</v>
      </c>
      <c r="G32" s="388">
        <v>189</v>
      </c>
      <c r="H32" s="389">
        <v>0.41293167919978219</v>
      </c>
      <c r="I32" s="1159">
        <v>0.41293167919978219</v>
      </c>
      <c r="J32" s="389">
        <v>0</v>
      </c>
      <c r="K32" s="390">
        <v>0</v>
      </c>
      <c r="L32" s="390">
        <v>0</v>
      </c>
      <c r="M32" s="390">
        <v>0</v>
      </c>
      <c r="N32" s="391">
        <v>0</v>
      </c>
      <c r="O32" s="390">
        <v>0</v>
      </c>
      <c r="P32" s="392">
        <v>0</v>
      </c>
      <c r="Q32" s="392">
        <v>0.20652024338446728</v>
      </c>
      <c r="R32" s="392">
        <v>0.2064114358153149</v>
      </c>
      <c r="S32" s="391">
        <v>0</v>
      </c>
      <c r="T32" s="1464" t="s">
        <v>832</v>
      </c>
      <c r="U32" s="1465" t="e">
        <v>#REF!</v>
      </c>
      <c r="V32" s="1465" t="e">
        <v>#REF!</v>
      </c>
      <c r="W32" s="1465" t="e">
        <v>#REF!</v>
      </c>
      <c r="X32" s="1465" t="e">
        <v>#REF!</v>
      </c>
      <c r="Y32" s="1465" t="e">
        <v>#REF!</v>
      </c>
      <c r="Z32" s="1466" t="e">
        <v>#REF!</v>
      </c>
    </row>
    <row r="33" spans="1:26">
      <c r="A33" s="1157"/>
      <c r="B33" s="1160">
        <v>7</v>
      </c>
      <c r="C33" s="387" t="s">
        <v>833</v>
      </c>
      <c r="D33" s="387" t="s">
        <v>818</v>
      </c>
      <c r="E33" s="387" t="s">
        <v>822</v>
      </c>
      <c r="F33" s="388">
        <v>2011</v>
      </c>
      <c r="G33" s="388">
        <v>16</v>
      </c>
      <c r="H33" s="389">
        <v>2.580959004460079</v>
      </c>
      <c r="I33" s="1159">
        <v>2.580959004460079</v>
      </c>
      <c r="J33" s="389">
        <v>0</v>
      </c>
      <c r="K33" s="390">
        <v>0</v>
      </c>
      <c r="L33" s="390">
        <v>0</v>
      </c>
      <c r="M33" s="390">
        <v>0</v>
      </c>
      <c r="N33" s="391">
        <v>0</v>
      </c>
      <c r="O33" s="390">
        <v>0</v>
      </c>
      <c r="P33" s="392">
        <v>0</v>
      </c>
      <c r="Q33" s="392">
        <v>1.5489018253835045</v>
      </c>
      <c r="R33" s="392">
        <v>1.0320571790765745</v>
      </c>
      <c r="S33" s="391">
        <v>0</v>
      </c>
      <c r="T33" s="1464" t="s">
        <v>834</v>
      </c>
      <c r="U33" s="1465" t="e">
        <v>#REF!</v>
      </c>
      <c r="V33" s="1465" t="e">
        <v>#REF!</v>
      </c>
      <c r="W33" s="1465" t="e">
        <v>#REF!</v>
      </c>
      <c r="X33" s="1465" t="e">
        <v>#REF!</v>
      </c>
      <c r="Y33" s="1465" t="e">
        <v>#REF!</v>
      </c>
      <c r="Z33" s="1466" t="e">
        <v>#REF!</v>
      </c>
    </row>
    <row r="34" spans="1:26">
      <c r="A34" s="1157"/>
      <c r="B34" s="1160">
        <v>8</v>
      </c>
      <c r="C34" s="387" t="s">
        <v>835</v>
      </c>
      <c r="D34" s="387" t="s">
        <v>806</v>
      </c>
      <c r="E34" s="387" t="s">
        <v>822</v>
      </c>
      <c r="F34" s="388">
        <v>2012</v>
      </c>
      <c r="G34" s="388">
        <v>117</v>
      </c>
      <c r="H34" s="389">
        <v>1.5507821323812021</v>
      </c>
      <c r="I34" s="1159">
        <v>1.5507821323812021</v>
      </c>
      <c r="J34" s="389">
        <v>0</v>
      </c>
      <c r="K34" s="390">
        <v>0</v>
      </c>
      <c r="L34" s="390">
        <v>0</v>
      </c>
      <c r="M34" s="390">
        <v>0</v>
      </c>
      <c r="N34" s="391">
        <v>0</v>
      </c>
      <c r="O34" s="390">
        <v>0</v>
      </c>
      <c r="P34" s="392">
        <v>1.034481523920034</v>
      </c>
      <c r="Q34" s="392">
        <v>0.5163006084611681</v>
      </c>
      <c r="R34" s="392">
        <v>0</v>
      </c>
      <c r="S34" s="391">
        <v>0</v>
      </c>
      <c r="T34" s="1464" t="s">
        <v>836</v>
      </c>
      <c r="U34" s="1465" t="e">
        <v>#REF!</v>
      </c>
      <c r="V34" s="1465" t="e">
        <v>#REF!</v>
      </c>
      <c r="W34" s="1465" t="e">
        <v>#REF!</v>
      </c>
      <c r="X34" s="1465" t="e">
        <v>#REF!</v>
      </c>
      <c r="Y34" s="1465" t="e">
        <v>#REF!</v>
      </c>
      <c r="Z34" s="1466" t="e">
        <v>#REF!</v>
      </c>
    </row>
    <row r="35" spans="1:26">
      <c r="A35" s="1157"/>
      <c r="B35" s="1160">
        <v>9</v>
      </c>
      <c r="C35" s="387" t="s">
        <v>837</v>
      </c>
      <c r="D35" s="387" t="s">
        <v>818</v>
      </c>
      <c r="E35" s="387" t="s">
        <v>822</v>
      </c>
      <c r="F35" s="388">
        <v>2008</v>
      </c>
      <c r="G35" s="388">
        <v>40</v>
      </c>
      <c r="H35" s="389">
        <v>5.0111033592613996</v>
      </c>
      <c r="I35" s="1159">
        <v>5.0111033592613996</v>
      </c>
      <c r="J35" s="389">
        <v>0</v>
      </c>
      <c r="K35" s="390">
        <v>0</v>
      </c>
      <c r="L35" s="390">
        <v>0</v>
      </c>
      <c r="M35" s="390">
        <v>0</v>
      </c>
      <c r="N35" s="391">
        <v>0</v>
      </c>
      <c r="O35" s="390">
        <v>2.0129872468909991</v>
      </c>
      <c r="P35" s="392">
        <v>1.9655148954480646</v>
      </c>
      <c r="Q35" s="392">
        <v>1.0326012169223362</v>
      </c>
      <c r="R35" s="392">
        <v>0</v>
      </c>
      <c r="S35" s="391">
        <v>0</v>
      </c>
      <c r="T35" s="1464" t="s">
        <v>838</v>
      </c>
      <c r="U35" s="1465" t="e">
        <v>#REF!</v>
      </c>
      <c r="V35" s="1465" t="e">
        <v>#REF!</v>
      </c>
      <c r="W35" s="1465" t="e">
        <v>#REF!</v>
      </c>
      <c r="X35" s="1465" t="e">
        <v>#REF!</v>
      </c>
      <c r="Y35" s="1465" t="e">
        <v>#REF!</v>
      </c>
      <c r="Z35" s="1466" t="e">
        <v>#REF!</v>
      </c>
    </row>
    <row r="36" spans="1:26">
      <c r="A36" s="1157"/>
      <c r="B36" s="1160">
        <v>10</v>
      </c>
      <c r="C36" s="387" t="s">
        <v>839</v>
      </c>
      <c r="D36" s="387" t="s">
        <v>806</v>
      </c>
      <c r="E36" s="387" t="s">
        <v>822</v>
      </c>
      <c r="F36" s="388">
        <v>2010</v>
      </c>
      <c r="G36" s="388">
        <v>58.5</v>
      </c>
      <c r="H36" s="389">
        <v>2.0646583959989107</v>
      </c>
      <c r="I36" s="1159">
        <v>2.0646583959989107</v>
      </c>
      <c r="J36" s="389">
        <v>0</v>
      </c>
      <c r="K36" s="390">
        <v>0</v>
      </c>
      <c r="L36" s="390">
        <v>0</v>
      </c>
      <c r="M36" s="390">
        <v>0</v>
      </c>
      <c r="N36" s="391">
        <v>0</v>
      </c>
      <c r="O36" s="390">
        <v>0</v>
      </c>
      <c r="P36" s="392">
        <v>0</v>
      </c>
      <c r="Q36" s="392">
        <v>1.0326012169223362</v>
      </c>
      <c r="R36" s="392">
        <v>1.0320571790765745</v>
      </c>
      <c r="S36" s="391">
        <v>0</v>
      </c>
      <c r="T36" s="1464" t="s">
        <v>840</v>
      </c>
      <c r="U36" s="1465" t="e">
        <v>#REF!</v>
      </c>
      <c r="V36" s="1465" t="e">
        <v>#REF!</v>
      </c>
      <c r="W36" s="1465" t="e">
        <v>#REF!</v>
      </c>
      <c r="X36" s="1465" t="e">
        <v>#REF!</v>
      </c>
      <c r="Y36" s="1465" t="e">
        <v>#REF!</v>
      </c>
      <c r="Z36" s="1466" t="e">
        <v>#REF!</v>
      </c>
    </row>
    <row r="37" spans="1:26">
      <c r="A37" s="1157"/>
      <c r="B37" s="1160">
        <v>11</v>
      </c>
      <c r="C37" s="387" t="s">
        <v>841</v>
      </c>
      <c r="D37" s="387" t="s">
        <v>818</v>
      </c>
      <c r="E37" s="387" t="s">
        <v>822</v>
      </c>
      <c r="F37" s="388">
        <v>2012</v>
      </c>
      <c r="G37" s="388">
        <v>39</v>
      </c>
      <c r="H37" s="389">
        <v>4.9549081314745047</v>
      </c>
      <c r="I37" s="1159">
        <v>4.9549081314745047</v>
      </c>
      <c r="J37" s="389">
        <v>0</v>
      </c>
      <c r="K37" s="390">
        <v>0</v>
      </c>
      <c r="L37" s="390">
        <v>0</v>
      </c>
      <c r="M37" s="390">
        <v>0</v>
      </c>
      <c r="N37" s="391">
        <v>0</v>
      </c>
      <c r="O37" s="390">
        <v>0</v>
      </c>
      <c r="P37" s="392">
        <v>0</v>
      </c>
      <c r="Q37" s="392">
        <v>1.9619423121524389</v>
      </c>
      <c r="R37" s="392">
        <v>2.9929658193220656</v>
      </c>
      <c r="S37" s="391">
        <v>0</v>
      </c>
      <c r="T37" s="1464" t="s">
        <v>842</v>
      </c>
      <c r="U37" s="1465" t="e">
        <v>#REF!</v>
      </c>
      <c r="V37" s="1465" t="e">
        <v>#REF!</v>
      </c>
      <c r="W37" s="1465" t="e">
        <v>#REF!</v>
      </c>
      <c r="X37" s="1465" t="e">
        <v>#REF!</v>
      </c>
      <c r="Y37" s="1465" t="e">
        <v>#REF!</v>
      </c>
      <c r="Z37" s="1466" t="e">
        <v>#REF!</v>
      </c>
    </row>
    <row r="38" spans="1:26">
      <c r="A38" s="1157"/>
      <c r="B38" s="1160">
        <v>12</v>
      </c>
      <c r="C38" s="387" t="s">
        <v>843</v>
      </c>
      <c r="D38" s="387" t="s">
        <v>818</v>
      </c>
      <c r="E38" s="387" t="s">
        <v>822</v>
      </c>
      <c r="F38" s="388">
        <v>2012</v>
      </c>
      <c r="G38" s="388">
        <v>13.15</v>
      </c>
      <c r="H38" s="389">
        <v>0.20829189928953451</v>
      </c>
      <c r="I38" s="1159">
        <v>0.20829189928953451</v>
      </c>
      <c r="J38" s="389">
        <v>0</v>
      </c>
      <c r="K38" s="390">
        <v>0</v>
      </c>
      <c r="L38" s="390">
        <v>0</v>
      </c>
      <c r="M38" s="390">
        <v>0</v>
      </c>
      <c r="N38" s="391">
        <v>0</v>
      </c>
      <c r="O38" s="390">
        <v>0</v>
      </c>
      <c r="P38" s="392">
        <v>0</v>
      </c>
      <c r="Q38" s="392">
        <v>0</v>
      </c>
      <c r="R38" s="392">
        <v>0</v>
      </c>
      <c r="S38" s="391">
        <v>0.20829189928953451</v>
      </c>
      <c r="T38" s="1464" t="s">
        <v>844</v>
      </c>
      <c r="U38" s="1465" t="e">
        <v>#REF!</v>
      </c>
      <c r="V38" s="1465" t="e">
        <v>#REF!</v>
      </c>
      <c r="W38" s="1465" t="e">
        <v>#REF!</v>
      </c>
      <c r="X38" s="1465" t="e">
        <v>#REF!</v>
      </c>
      <c r="Y38" s="1465" t="e">
        <v>#REF!</v>
      </c>
      <c r="Z38" s="1466" t="e">
        <v>#REF!</v>
      </c>
    </row>
    <row r="39" spans="1:26">
      <c r="A39" s="1157"/>
      <c r="B39" s="1160">
        <v>13</v>
      </c>
      <c r="C39" s="387" t="s">
        <v>845</v>
      </c>
      <c r="D39" s="387" t="s">
        <v>818</v>
      </c>
      <c r="E39" s="387" t="s">
        <v>822</v>
      </c>
      <c r="F39" s="388">
        <v>2012</v>
      </c>
      <c r="G39" s="388">
        <v>24</v>
      </c>
      <c r="H39" s="389">
        <v>1.4454240885529659</v>
      </c>
      <c r="I39" s="1159">
        <v>1.4454240885529659</v>
      </c>
      <c r="J39" s="389">
        <v>0</v>
      </c>
      <c r="K39" s="390">
        <v>0</v>
      </c>
      <c r="L39" s="390">
        <v>0</v>
      </c>
      <c r="M39" s="390">
        <v>0</v>
      </c>
      <c r="N39" s="391">
        <v>0</v>
      </c>
      <c r="O39" s="390">
        <v>0</v>
      </c>
      <c r="P39" s="392">
        <v>0</v>
      </c>
      <c r="Q39" s="392">
        <v>1.0326012169223362</v>
      </c>
      <c r="R39" s="392">
        <v>0.41282287163062981</v>
      </c>
      <c r="S39" s="391">
        <v>0</v>
      </c>
      <c r="T39" s="1464" t="s">
        <v>846</v>
      </c>
      <c r="U39" s="1465" t="e">
        <v>#REF!</v>
      </c>
      <c r="V39" s="1465" t="e">
        <v>#REF!</v>
      </c>
      <c r="W39" s="1465" t="e">
        <v>#REF!</v>
      </c>
      <c r="X39" s="1465" t="e">
        <v>#REF!</v>
      </c>
      <c r="Y39" s="1465" t="e">
        <v>#REF!</v>
      </c>
      <c r="Z39" s="1466" t="e">
        <v>#REF!</v>
      </c>
    </row>
    <row r="40" spans="1:26">
      <c r="A40" s="1157"/>
      <c r="B40" s="1160">
        <v>14</v>
      </c>
      <c r="C40" s="387" t="s">
        <v>847</v>
      </c>
      <c r="D40" s="387" t="s">
        <v>818</v>
      </c>
      <c r="E40" s="387" t="s">
        <v>822</v>
      </c>
      <c r="F40" s="388">
        <v>2008</v>
      </c>
      <c r="G40" s="388">
        <v>25</v>
      </c>
      <c r="H40" s="389">
        <v>1.0594669720478942</v>
      </c>
      <c r="I40" s="1159">
        <v>1.0594669720478942</v>
      </c>
      <c r="J40" s="389">
        <v>0</v>
      </c>
      <c r="K40" s="390">
        <v>0</v>
      </c>
      <c r="L40" s="390">
        <v>0</v>
      </c>
      <c r="M40" s="390">
        <v>0</v>
      </c>
      <c r="N40" s="391">
        <v>0</v>
      </c>
      <c r="O40" s="390">
        <v>1.0594669720478942</v>
      </c>
      <c r="P40" s="392">
        <v>0</v>
      </c>
      <c r="Q40" s="392">
        <v>0</v>
      </c>
      <c r="R40" s="392">
        <v>0</v>
      </c>
      <c r="S40" s="391">
        <v>0</v>
      </c>
      <c r="T40" s="1464" t="s">
        <v>848</v>
      </c>
      <c r="U40" s="1465" t="e">
        <v>#REF!</v>
      </c>
      <c r="V40" s="1465" t="e">
        <v>#REF!</v>
      </c>
      <c r="W40" s="1465" t="e">
        <v>#REF!</v>
      </c>
      <c r="X40" s="1465" t="e">
        <v>#REF!</v>
      </c>
      <c r="Y40" s="1465" t="e">
        <v>#REF!</v>
      </c>
      <c r="Z40" s="1466" t="e">
        <v>#REF!</v>
      </c>
    </row>
    <row r="41" spans="1:26">
      <c r="A41" s="1157"/>
      <c r="B41" s="1160">
        <v>15</v>
      </c>
      <c r="C41" s="387" t="s">
        <v>849</v>
      </c>
      <c r="D41" s="387" t="s">
        <v>818</v>
      </c>
      <c r="E41" s="387" t="s">
        <v>822</v>
      </c>
      <c r="F41" s="388">
        <v>2010</v>
      </c>
      <c r="G41" s="388">
        <v>35.200000000000003</v>
      </c>
      <c r="H41" s="389">
        <v>2.0670827408423702</v>
      </c>
      <c r="I41" s="1159">
        <v>2.0670827408423702</v>
      </c>
      <c r="J41" s="389">
        <v>0</v>
      </c>
      <c r="K41" s="390">
        <v>0</v>
      </c>
      <c r="L41" s="390">
        <v>0</v>
      </c>
      <c r="M41" s="390">
        <v>0</v>
      </c>
      <c r="N41" s="391">
        <v>0</v>
      </c>
      <c r="O41" s="390">
        <v>0</v>
      </c>
      <c r="P41" s="392">
        <v>1.034481523920034</v>
      </c>
      <c r="Q41" s="392">
        <v>1.0326012169223362</v>
      </c>
      <c r="R41" s="392">
        <v>0</v>
      </c>
      <c r="S41" s="391">
        <v>0</v>
      </c>
      <c r="T41" s="1464" t="s">
        <v>850</v>
      </c>
      <c r="U41" s="1465" t="e">
        <v>#REF!</v>
      </c>
      <c r="V41" s="1465" t="e">
        <v>#REF!</v>
      </c>
      <c r="W41" s="1465" t="e">
        <v>#REF!</v>
      </c>
      <c r="X41" s="1465" t="e">
        <v>#REF!</v>
      </c>
      <c r="Y41" s="1465" t="e">
        <v>#REF!</v>
      </c>
      <c r="Z41" s="1466" t="e">
        <v>#REF!</v>
      </c>
    </row>
    <row r="42" spans="1:26">
      <c r="A42" s="1157"/>
      <c r="B42" s="1160">
        <v>16</v>
      </c>
      <c r="C42" s="387" t="s">
        <v>851</v>
      </c>
      <c r="D42" s="387" t="s">
        <v>818</v>
      </c>
      <c r="E42" s="387" t="s">
        <v>822</v>
      </c>
      <c r="F42" s="388">
        <v>2012</v>
      </c>
      <c r="G42" s="388">
        <v>16</v>
      </c>
      <c r="H42" s="389">
        <v>4.0434314392494883</v>
      </c>
      <c r="I42" s="1159">
        <v>4.0434314392494883</v>
      </c>
      <c r="J42" s="389">
        <v>0</v>
      </c>
      <c r="K42" s="390">
        <v>0</v>
      </c>
      <c r="L42" s="390">
        <v>0</v>
      </c>
      <c r="M42" s="390">
        <v>0</v>
      </c>
      <c r="N42" s="391">
        <v>0</v>
      </c>
      <c r="O42" s="390">
        <v>0</v>
      </c>
      <c r="P42" s="392">
        <v>0</v>
      </c>
      <c r="Q42" s="392">
        <v>1.0326012169223362</v>
      </c>
      <c r="R42" s="392">
        <v>1.0320571790765745</v>
      </c>
      <c r="S42" s="391">
        <v>1.9787730432505775</v>
      </c>
      <c r="T42" s="1464" t="s">
        <v>852</v>
      </c>
      <c r="U42" s="1465" t="e">
        <v>#REF!</v>
      </c>
      <c r="V42" s="1465" t="e">
        <v>#REF!</v>
      </c>
      <c r="W42" s="1465" t="e">
        <v>#REF!</v>
      </c>
      <c r="X42" s="1465" t="e">
        <v>#REF!</v>
      </c>
      <c r="Y42" s="1465" t="e">
        <v>#REF!</v>
      </c>
      <c r="Z42" s="1466" t="e">
        <v>#REF!</v>
      </c>
    </row>
    <row r="43" spans="1:26">
      <c r="A43" s="1157"/>
      <c r="B43" s="1160">
        <v>17</v>
      </c>
      <c r="C43" s="387" t="s">
        <v>853</v>
      </c>
      <c r="D43" s="387" t="s">
        <v>806</v>
      </c>
      <c r="E43" s="387" t="s">
        <v>827</v>
      </c>
      <c r="F43" s="388">
        <v>2012</v>
      </c>
      <c r="G43" s="388">
        <v>35</v>
      </c>
      <c r="H43" s="389">
        <v>3.9274572076005034</v>
      </c>
      <c r="I43" s="1159">
        <v>3.9274572076005034</v>
      </c>
      <c r="J43" s="389">
        <v>0</v>
      </c>
      <c r="K43" s="390">
        <v>0</v>
      </c>
      <c r="L43" s="390">
        <v>0</v>
      </c>
      <c r="M43" s="390">
        <v>0</v>
      </c>
      <c r="N43" s="391">
        <v>0</v>
      </c>
      <c r="O43" s="390">
        <v>0</v>
      </c>
      <c r="P43" s="392">
        <v>1.9655148954480646</v>
      </c>
      <c r="Q43" s="392">
        <v>1.9619423121524389</v>
      </c>
      <c r="R43" s="392">
        <v>0</v>
      </c>
      <c r="S43" s="391">
        <v>0</v>
      </c>
      <c r="T43" s="1464" t="s">
        <v>854</v>
      </c>
      <c r="U43" s="1465" t="e">
        <v>#REF!</v>
      </c>
      <c r="V43" s="1465" t="e">
        <v>#REF!</v>
      </c>
      <c r="W43" s="1465" t="e">
        <v>#REF!</v>
      </c>
      <c r="X43" s="1465" t="e">
        <v>#REF!</v>
      </c>
      <c r="Y43" s="1465" t="e">
        <v>#REF!</v>
      </c>
      <c r="Z43" s="1466" t="e">
        <v>#REF!</v>
      </c>
    </row>
    <row r="44" spans="1:26">
      <c r="A44" s="1157"/>
      <c r="B44" s="1160">
        <v>18</v>
      </c>
      <c r="C44" s="387" t="s">
        <v>855</v>
      </c>
      <c r="D44" s="387" t="s">
        <v>818</v>
      </c>
      <c r="E44" s="387" t="s">
        <v>822</v>
      </c>
      <c r="F44" s="388">
        <v>2010</v>
      </c>
      <c r="G44" s="388">
        <v>16</v>
      </c>
      <c r="H44" s="389">
        <v>1.5507821323812021</v>
      </c>
      <c r="I44" s="1159">
        <v>1.5507821323812021</v>
      </c>
      <c r="J44" s="389">
        <v>0</v>
      </c>
      <c r="K44" s="390">
        <v>0</v>
      </c>
      <c r="L44" s="390">
        <v>0</v>
      </c>
      <c r="M44" s="390">
        <v>0</v>
      </c>
      <c r="N44" s="391">
        <v>0</v>
      </c>
      <c r="O44" s="390">
        <v>0</v>
      </c>
      <c r="P44" s="392">
        <v>1.034481523920034</v>
      </c>
      <c r="Q44" s="392">
        <v>0.5163006084611681</v>
      </c>
      <c r="R44" s="392">
        <v>0</v>
      </c>
      <c r="S44" s="391">
        <v>0</v>
      </c>
      <c r="T44" s="1464" t="s">
        <v>856</v>
      </c>
      <c r="U44" s="1465" t="e">
        <v>#REF!</v>
      </c>
      <c r="V44" s="1465" t="e">
        <v>#REF!</v>
      </c>
      <c r="W44" s="1465" t="e">
        <v>#REF!</v>
      </c>
      <c r="X44" s="1465" t="e">
        <v>#REF!</v>
      </c>
      <c r="Y44" s="1465" t="e">
        <v>#REF!</v>
      </c>
      <c r="Z44" s="1466" t="e">
        <v>#REF!</v>
      </c>
    </row>
    <row r="45" spans="1:26">
      <c r="A45" s="1157"/>
      <c r="B45" s="1160">
        <v>19</v>
      </c>
      <c r="C45" s="387" t="s">
        <v>857</v>
      </c>
      <c r="D45" s="387" t="s">
        <v>818</v>
      </c>
      <c r="E45" s="387" t="s">
        <v>822</v>
      </c>
      <c r="F45" s="388">
        <v>2013</v>
      </c>
      <c r="G45" s="388">
        <v>18.600000000000001</v>
      </c>
      <c r="H45" s="389">
        <v>2.5942464237480829</v>
      </c>
      <c r="I45" s="1159">
        <v>2.5942464237480829</v>
      </c>
      <c r="J45" s="389">
        <v>0</v>
      </c>
      <c r="K45" s="390">
        <v>0</v>
      </c>
      <c r="L45" s="390">
        <v>0</v>
      </c>
      <c r="M45" s="390">
        <v>0</v>
      </c>
      <c r="N45" s="391">
        <v>0</v>
      </c>
      <c r="O45" s="390">
        <v>0</v>
      </c>
      <c r="P45" s="392">
        <v>0</v>
      </c>
      <c r="Q45" s="392">
        <v>0</v>
      </c>
      <c r="R45" s="392">
        <v>1.0320571790765745</v>
      </c>
      <c r="S45" s="391">
        <v>1.5621892446715087</v>
      </c>
      <c r="T45" s="1464" t="s">
        <v>858</v>
      </c>
      <c r="U45" s="1465" t="e">
        <v>#REF!</v>
      </c>
      <c r="V45" s="1465" t="e">
        <v>#REF!</v>
      </c>
      <c r="W45" s="1465" t="e">
        <v>#REF!</v>
      </c>
      <c r="X45" s="1465" t="e">
        <v>#REF!</v>
      </c>
      <c r="Y45" s="1465" t="e">
        <v>#REF!</v>
      </c>
      <c r="Z45" s="1466" t="e">
        <v>#REF!</v>
      </c>
    </row>
    <row r="46" spans="1:26">
      <c r="A46" s="1157"/>
      <c r="B46" s="1160">
        <v>20</v>
      </c>
      <c r="C46" s="393" t="s">
        <v>859</v>
      </c>
      <c r="D46" s="393" t="s">
        <v>818</v>
      </c>
      <c r="E46" s="393" t="s">
        <v>860</v>
      </c>
      <c r="F46" s="394">
        <v>2014</v>
      </c>
      <c r="G46" s="394">
        <v>24</v>
      </c>
      <c r="H46" s="395">
        <v>0</v>
      </c>
      <c r="I46" s="1161">
        <v>0</v>
      </c>
      <c r="J46" s="395">
        <v>0</v>
      </c>
      <c r="K46" s="396">
        <v>0</v>
      </c>
      <c r="L46" s="396">
        <v>0</v>
      </c>
      <c r="M46" s="396">
        <v>0</v>
      </c>
      <c r="N46" s="397">
        <v>0</v>
      </c>
      <c r="O46" s="396">
        <v>0</v>
      </c>
      <c r="P46" s="398">
        <v>0</v>
      </c>
      <c r="Q46" s="398">
        <v>0</v>
      </c>
      <c r="R46" s="398">
        <v>0</v>
      </c>
      <c r="S46" s="397">
        <v>0</v>
      </c>
      <c r="T46" s="1461" t="s">
        <v>861</v>
      </c>
      <c r="U46" s="1462" t="e">
        <v>#REF!</v>
      </c>
      <c r="V46" s="1462" t="e">
        <v>#REF!</v>
      </c>
      <c r="W46" s="1462" t="e">
        <v>#REF!</v>
      </c>
      <c r="X46" s="1462" t="e">
        <v>#REF!</v>
      </c>
      <c r="Y46" s="1462" t="e">
        <v>#REF!</v>
      </c>
      <c r="Z46" s="1463" t="e">
        <v>#REF!</v>
      </c>
    </row>
    <row r="47" spans="1:26">
      <c r="A47" s="1157"/>
      <c r="B47" s="1160">
        <v>21</v>
      </c>
      <c r="C47" s="393" t="s">
        <v>862</v>
      </c>
      <c r="D47" s="393" t="s">
        <v>818</v>
      </c>
      <c r="E47" s="393" t="s">
        <v>822</v>
      </c>
      <c r="F47" s="394">
        <v>2010</v>
      </c>
      <c r="G47" s="394">
        <v>15</v>
      </c>
      <c r="H47" s="395">
        <v>0.10344815239200342</v>
      </c>
      <c r="I47" s="1161">
        <v>0.10344815239200342</v>
      </c>
      <c r="J47" s="395">
        <v>0</v>
      </c>
      <c r="K47" s="396">
        <v>0</v>
      </c>
      <c r="L47" s="396">
        <v>0</v>
      </c>
      <c r="M47" s="396">
        <v>0</v>
      </c>
      <c r="N47" s="397">
        <v>0</v>
      </c>
      <c r="O47" s="396">
        <v>0</v>
      </c>
      <c r="P47" s="398">
        <v>0.10344815239200342</v>
      </c>
      <c r="Q47" s="398">
        <v>0</v>
      </c>
      <c r="R47" s="398">
        <v>0</v>
      </c>
      <c r="S47" s="397">
        <v>0</v>
      </c>
      <c r="T47" s="1461" t="s">
        <v>863</v>
      </c>
      <c r="U47" s="1462" t="e">
        <v>#REF!</v>
      </c>
      <c r="V47" s="1462" t="e">
        <v>#REF!</v>
      </c>
      <c r="W47" s="1462" t="e">
        <v>#REF!</v>
      </c>
      <c r="X47" s="1462" t="e">
        <v>#REF!</v>
      </c>
      <c r="Y47" s="1462" t="e">
        <v>#REF!</v>
      </c>
      <c r="Z47" s="1463" t="e">
        <v>#REF!</v>
      </c>
    </row>
    <row r="48" spans="1:26">
      <c r="B48" s="1160">
        <v>22</v>
      </c>
      <c r="C48" s="393" t="s">
        <v>864</v>
      </c>
      <c r="D48" s="393" t="s">
        <v>818</v>
      </c>
      <c r="E48" s="393" t="s">
        <v>822</v>
      </c>
      <c r="F48" s="394">
        <v>2014</v>
      </c>
      <c r="G48" s="394">
        <v>13.15</v>
      </c>
      <c r="H48" s="395">
        <v>0.52072974822383633</v>
      </c>
      <c r="I48" s="1161">
        <v>0.52072974822383633</v>
      </c>
      <c r="J48" s="395">
        <v>0</v>
      </c>
      <c r="K48" s="396">
        <v>0</v>
      </c>
      <c r="L48" s="396">
        <v>0</v>
      </c>
      <c r="M48" s="396">
        <v>0</v>
      </c>
      <c r="N48" s="397">
        <v>0</v>
      </c>
      <c r="O48" s="396">
        <v>0</v>
      </c>
      <c r="P48" s="398">
        <v>0</v>
      </c>
      <c r="Q48" s="398">
        <v>0</v>
      </c>
      <c r="R48" s="398">
        <v>0</v>
      </c>
      <c r="S48" s="397">
        <v>0.52072974822383633</v>
      </c>
      <c r="T48" s="1461" t="s">
        <v>865</v>
      </c>
      <c r="U48" s="1462" t="e">
        <v>#REF!</v>
      </c>
      <c r="V48" s="1462" t="e">
        <v>#REF!</v>
      </c>
      <c r="W48" s="1462" t="e">
        <v>#REF!</v>
      </c>
      <c r="X48" s="1462" t="e">
        <v>#REF!</v>
      </c>
      <c r="Y48" s="1462" t="e">
        <v>#REF!</v>
      </c>
      <c r="Z48" s="1463" t="e">
        <v>#REF!</v>
      </c>
    </row>
    <row r="49" spans="2:26">
      <c r="B49" s="1160">
        <v>23</v>
      </c>
      <c r="C49" s="393" t="s">
        <v>866</v>
      </c>
      <c r="D49" s="393" t="s">
        <v>818</v>
      </c>
      <c r="E49" s="393" t="s">
        <v>819</v>
      </c>
      <c r="F49" s="394">
        <v>2014</v>
      </c>
      <c r="G49" s="394">
        <v>27</v>
      </c>
      <c r="H49" s="395">
        <v>1.0414594964476727</v>
      </c>
      <c r="I49" s="1161">
        <v>1.0414594964476727</v>
      </c>
      <c r="J49" s="395">
        <v>0</v>
      </c>
      <c r="K49" s="396">
        <v>0</v>
      </c>
      <c r="L49" s="396">
        <v>0</v>
      </c>
      <c r="M49" s="396">
        <v>0</v>
      </c>
      <c r="N49" s="397">
        <v>0</v>
      </c>
      <c r="O49" s="396">
        <v>0</v>
      </c>
      <c r="P49" s="398">
        <v>0</v>
      </c>
      <c r="Q49" s="398">
        <v>0</v>
      </c>
      <c r="R49" s="398">
        <v>0</v>
      </c>
      <c r="S49" s="397">
        <v>1.0414594964476727</v>
      </c>
      <c r="T49" s="1461" t="s">
        <v>867</v>
      </c>
      <c r="U49" s="1462" t="e">
        <v>#REF!</v>
      </c>
      <c r="V49" s="1462" t="e">
        <v>#REF!</v>
      </c>
      <c r="W49" s="1462" t="e">
        <v>#REF!</v>
      </c>
      <c r="X49" s="1462" t="e">
        <v>#REF!</v>
      </c>
      <c r="Y49" s="1462" t="e">
        <v>#REF!</v>
      </c>
      <c r="Z49" s="1463" t="e">
        <v>#REF!</v>
      </c>
    </row>
    <row r="50" spans="2:26">
      <c r="B50" s="1160">
        <v>24</v>
      </c>
      <c r="C50" s="393" t="s">
        <v>868</v>
      </c>
      <c r="D50" s="393" t="s">
        <v>818</v>
      </c>
      <c r="E50" s="393" t="s">
        <v>822</v>
      </c>
      <c r="F50" s="394">
        <v>2010</v>
      </c>
      <c r="G50" s="394">
        <v>16</v>
      </c>
      <c r="H50" s="395">
        <v>1.5517222858800512</v>
      </c>
      <c r="I50" s="1161">
        <v>1.5517222858800512</v>
      </c>
      <c r="J50" s="395">
        <v>0</v>
      </c>
      <c r="K50" s="396">
        <v>0</v>
      </c>
      <c r="L50" s="396">
        <v>0</v>
      </c>
      <c r="M50" s="396">
        <v>0</v>
      </c>
      <c r="N50" s="397">
        <v>0</v>
      </c>
      <c r="O50" s="396">
        <v>0</v>
      </c>
      <c r="P50" s="398">
        <v>1.5517222858800512</v>
      </c>
      <c r="Q50" s="398">
        <v>0</v>
      </c>
      <c r="R50" s="398">
        <v>0</v>
      </c>
      <c r="S50" s="397">
        <v>0</v>
      </c>
      <c r="T50" s="1461" t="s">
        <v>869</v>
      </c>
      <c r="U50" s="1462" t="e">
        <v>#REF!</v>
      </c>
      <c r="V50" s="1462" t="e">
        <v>#REF!</v>
      </c>
      <c r="W50" s="1462" t="e">
        <v>#REF!</v>
      </c>
      <c r="X50" s="1462" t="e">
        <v>#REF!</v>
      </c>
      <c r="Y50" s="1462" t="e">
        <v>#REF!</v>
      </c>
      <c r="Z50" s="1463" t="e">
        <v>#REF!</v>
      </c>
    </row>
    <row r="51" spans="2:26">
      <c r="B51" s="1160">
        <v>25</v>
      </c>
      <c r="C51" s="393" t="s">
        <v>870</v>
      </c>
      <c r="D51" s="393" t="s">
        <v>806</v>
      </c>
      <c r="E51" s="393" t="s">
        <v>822</v>
      </c>
      <c r="F51" s="394">
        <v>2014</v>
      </c>
      <c r="G51" s="394">
        <v>90</v>
      </c>
      <c r="H51" s="395">
        <v>3.5409622879220861</v>
      </c>
      <c r="I51" s="1161">
        <v>3.5409622879220861</v>
      </c>
      <c r="J51" s="395">
        <v>0</v>
      </c>
      <c r="K51" s="396">
        <v>0</v>
      </c>
      <c r="L51" s="396">
        <v>0</v>
      </c>
      <c r="M51" s="396">
        <v>0</v>
      </c>
      <c r="N51" s="397">
        <v>0</v>
      </c>
      <c r="O51" s="396">
        <v>0</v>
      </c>
      <c r="P51" s="398">
        <v>0</v>
      </c>
      <c r="Q51" s="398">
        <v>0</v>
      </c>
      <c r="R51" s="398">
        <v>0</v>
      </c>
      <c r="S51" s="397">
        <v>3.5409622879220861</v>
      </c>
      <c r="T51" s="1461" t="s">
        <v>871</v>
      </c>
      <c r="U51" s="1462" t="e">
        <v>#REF!</v>
      </c>
      <c r="V51" s="1462" t="e">
        <v>#REF!</v>
      </c>
      <c r="W51" s="1462" t="e">
        <v>#REF!</v>
      </c>
      <c r="X51" s="1462" t="e">
        <v>#REF!</v>
      </c>
      <c r="Y51" s="1462" t="e">
        <v>#REF!</v>
      </c>
      <c r="Z51" s="1463" t="e">
        <v>#REF!</v>
      </c>
    </row>
    <row r="52" spans="2:26">
      <c r="B52" s="1160">
        <v>26</v>
      </c>
      <c r="C52" s="393" t="s">
        <v>872</v>
      </c>
      <c r="D52" s="393" t="s">
        <v>818</v>
      </c>
      <c r="E52" s="393" t="s">
        <v>822</v>
      </c>
      <c r="F52" s="394">
        <v>2008</v>
      </c>
      <c r="G52" s="394">
        <v>12</v>
      </c>
      <c r="H52" s="395">
        <v>1.5642150099439811</v>
      </c>
      <c r="I52" s="1161">
        <v>1.5642150099439811</v>
      </c>
      <c r="J52" s="395">
        <v>0</v>
      </c>
      <c r="K52" s="396">
        <v>0</v>
      </c>
      <c r="L52" s="396">
        <v>0</v>
      </c>
      <c r="M52" s="396">
        <v>0</v>
      </c>
      <c r="N52" s="397">
        <v>0</v>
      </c>
      <c r="O52" s="396">
        <v>0.5297334860239471</v>
      </c>
      <c r="P52" s="398">
        <v>1.034481523920034</v>
      </c>
      <c r="Q52" s="398">
        <v>0</v>
      </c>
      <c r="R52" s="398">
        <v>0</v>
      </c>
      <c r="S52" s="397">
        <v>0</v>
      </c>
      <c r="T52" s="1461" t="s">
        <v>873</v>
      </c>
      <c r="U52" s="1462" t="e">
        <v>#REF!</v>
      </c>
      <c r="V52" s="1462" t="e">
        <v>#REF!</v>
      </c>
      <c r="W52" s="1462" t="e">
        <v>#REF!</v>
      </c>
      <c r="X52" s="1462" t="e">
        <v>#REF!</v>
      </c>
      <c r="Y52" s="1462" t="e">
        <v>#REF!</v>
      </c>
      <c r="Z52" s="1463" t="e">
        <v>#REF!</v>
      </c>
    </row>
    <row r="53" spans="2:26">
      <c r="B53" s="1160">
        <v>27</v>
      </c>
      <c r="C53" s="393" t="s">
        <v>874</v>
      </c>
      <c r="D53" s="393" t="s">
        <v>806</v>
      </c>
      <c r="E53" s="393" t="s">
        <v>822</v>
      </c>
      <c r="F53" s="394">
        <v>2013</v>
      </c>
      <c r="G53" s="394">
        <v>39</v>
      </c>
      <c r="H53" s="395">
        <v>6.0131983590203149</v>
      </c>
      <c r="I53" s="1161">
        <v>6.0131983590203149</v>
      </c>
      <c r="J53" s="395">
        <v>0</v>
      </c>
      <c r="K53" s="396">
        <v>0</v>
      </c>
      <c r="L53" s="396">
        <v>0</v>
      </c>
      <c r="M53" s="396">
        <v>0</v>
      </c>
      <c r="N53" s="397">
        <v>0</v>
      </c>
      <c r="O53" s="396">
        <v>0</v>
      </c>
      <c r="P53" s="398">
        <v>0</v>
      </c>
      <c r="Q53" s="398">
        <v>0</v>
      </c>
      <c r="R53" s="398">
        <v>2.9929658193220656</v>
      </c>
      <c r="S53" s="397">
        <v>3.0202325396982497</v>
      </c>
      <c r="T53" s="1461" t="s">
        <v>875</v>
      </c>
      <c r="U53" s="1462" t="e">
        <v>#REF!</v>
      </c>
      <c r="V53" s="1462" t="e">
        <v>#REF!</v>
      </c>
      <c r="W53" s="1462" t="e">
        <v>#REF!</v>
      </c>
      <c r="X53" s="1462" t="e">
        <v>#REF!</v>
      </c>
      <c r="Y53" s="1462" t="e">
        <v>#REF!</v>
      </c>
      <c r="Z53" s="1463" t="e">
        <v>#REF!</v>
      </c>
    </row>
    <row r="54" spans="2:26">
      <c r="B54" s="1160">
        <v>28</v>
      </c>
      <c r="C54" s="393" t="s">
        <v>876</v>
      </c>
      <c r="D54" s="393" t="s">
        <v>818</v>
      </c>
      <c r="E54" s="393" t="s">
        <v>822</v>
      </c>
      <c r="F54" s="394">
        <v>2010</v>
      </c>
      <c r="G54" s="394">
        <v>24</v>
      </c>
      <c r="H54" s="395">
        <v>1.0469742479839641</v>
      </c>
      <c r="I54" s="1161">
        <v>1.0469742479839641</v>
      </c>
      <c r="J54" s="395">
        <v>0</v>
      </c>
      <c r="K54" s="396">
        <v>0</v>
      </c>
      <c r="L54" s="396">
        <v>0</v>
      </c>
      <c r="M54" s="396">
        <v>0</v>
      </c>
      <c r="N54" s="397">
        <v>0</v>
      </c>
      <c r="O54" s="396">
        <v>0.5297334860239471</v>
      </c>
      <c r="P54" s="398">
        <v>0.517240761960017</v>
      </c>
      <c r="Q54" s="398">
        <v>0</v>
      </c>
      <c r="R54" s="398">
        <v>0</v>
      </c>
      <c r="S54" s="397">
        <v>0</v>
      </c>
      <c r="T54" s="1461" t="s">
        <v>877</v>
      </c>
      <c r="U54" s="1462" t="e">
        <v>#REF!</v>
      </c>
      <c r="V54" s="1462" t="e">
        <v>#REF!</v>
      </c>
      <c r="W54" s="1462" t="e">
        <v>#REF!</v>
      </c>
      <c r="X54" s="1462" t="e">
        <v>#REF!</v>
      </c>
      <c r="Y54" s="1462" t="e">
        <v>#REF!</v>
      </c>
      <c r="Z54" s="1463" t="e">
        <v>#REF!</v>
      </c>
    </row>
    <row r="55" spans="2:26">
      <c r="B55" s="1160">
        <v>29</v>
      </c>
      <c r="C55" s="393" t="s">
        <v>878</v>
      </c>
      <c r="D55" s="393" t="s">
        <v>818</v>
      </c>
      <c r="E55" s="393" t="s">
        <v>822</v>
      </c>
      <c r="F55" s="394">
        <v>2008</v>
      </c>
      <c r="G55" s="394">
        <v>13.1</v>
      </c>
      <c r="H55" s="395">
        <v>1.0469742479839641</v>
      </c>
      <c r="I55" s="1161">
        <v>1.0469742479839641</v>
      </c>
      <c r="J55" s="395">
        <v>0</v>
      </c>
      <c r="K55" s="396">
        <v>0</v>
      </c>
      <c r="L55" s="396">
        <v>0</v>
      </c>
      <c r="M55" s="396">
        <v>0</v>
      </c>
      <c r="N55" s="397">
        <v>0</v>
      </c>
      <c r="O55" s="396">
        <v>0.5297334860239471</v>
      </c>
      <c r="P55" s="398">
        <v>0.517240761960017</v>
      </c>
      <c r="Q55" s="398">
        <v>0</v>
      </c>
      <c r="R55" s="398">
        <v>0</v>
      </c>
      <c r="S55" s="397">
        <v>0</v>
      </c>
      <c r="T55" s="1461" t="s">
        <v>879</v>
      </c>
      <c r="U55" s="1462" t="e">
        <v>#REF!</v>
      </c>
      <c r="V55" s="1462" t="e">
        <v>#REF!</v>
      </c>
      <c r="W55" s="1462" t="e">
        <v>#REF!</v>
      </c>
      <c r="X55" s="1462" t="e">
        <v>#REF!</v>
      </c>
      <c r="Y55" s="1462" t="e">
        <v>#REF!</v>
      </c>
      <c r="Z55" s="1463" t="e">
        <v>#REF!</v>
      </c>
    </row>
    <row r="56" spans="2:26">
      <c r="B56" s="1160">
        <v>30</v>
      </c>
      <c r="C56" s="393" t="s">
        <v>880</v>
      </c>
      <c r="D56" s="393" t="s">
        <v>818</v>
      </c>
      <c r="E56" s="393" t="s">
        <v>819</v>
      </c>
      <c r="F56" s="394">
        <v>2007</v>
      </c>
      <c r="G56" s="394">
        <v>40</v>
      </c>
      <c r="H56" s="395">
        <v>1.0326012169223362</v>
      </c>
      <c r="I56" s="1161">
        <v>1.0326012169223362</v>
      </c>
      <c r="J56" s="395">
        <v>0</v>
      </c>
      <c r="K56" s="396">
        <v>0</v>
      </c>
      <c r="L56" s="396">
        <v>0</v>
      </c>
      <c r="M56" s="396">
        <v>0</v>
      </c>
      <c r="N56" s="397">
        <v>0</v>
      </c>
      <c r="O56" s="396">
        <v>0</v>
      </c>
      <c r="P56" s="398">
        <v>0</v>
      </c>
      <c r="Q56" s="398">
        <v>1.0326012169223362</v>
      </c>
      <c r="R56" s="398">
        <v>0</v>
      </c>
      <c r="S56" s="397">
        <v>0</v>
      </c>
      <c r="T56" s="1461" t="s">
        <v>881</v>
      </c>
      <c r="U56" s="1462" t="e">
        <v>#REF!</v>
      </c>
      <c r="V56" s="1462" t="e">
        <v>#REF!</v>
      </c>
      <c r="W56" s="1462" t="e">
        <v>#REF!</v>
      </c>
      <c r="X56" s="1462" t="e">
        <v>#REF!</v>
      </c>
      <c r="Y56" s="1462" t="e">
        <v>#REF!</v>
      </c>
      <c r="Z56" s="1463" t="e">
        <v>#REF!</v>
      </c>
    </row>
    <row r="57" spans="2:26">
      <c r="B57" s="1160">
        <v>31</v>
      </c>
      <c r="C57" s="393" t="s">
        <v>882</v>
      </c>
      <c r="D57" s="393" t="s">
        <v>806</v>
      </c>
      <c r="E57" s="393" t="s">
        <v>822</v>
      </c>
      <c r="F57" s="394">
        <v>2007</v>
      </c>
      <c r="G57" s="394">
        <v>117</v>
      </c>
      <c r="H57" s="395">
        <v>0.74162688043352587</v>
      </c>
      <c r="I57" s="1161">
        <v>0.74162688043352587</v>
      </c>
      <c r="J57" s="395">
        <v>0</v>
      </c>
      <c r="K57" s="396">
        <v>0</v>
      </c>
      <c r="L57" s="396">
        <v>0</v>
      </c>
      <c r="M57" s="396">
        <v>0</v>
      </c>
      <c r="N57" s="397">
        <v>0</v>
      </c>
      <c r="O57" s="396">
        <v>0.74162688043352587</v>
      </c>
      <c r="P57" s="398">
        <v>0</v>
      </c>
      <c r="Q57" s="398">
        <v>0</v>
      </c>
      <c r="R57" s="398">
        <v>0</v>
      </c>
      <c r="S57" s="397">
        <v>0</v>
      </c>
      <c r="T57" s="1461" t="s">
        <v>883</v>
      </c>
      <c r="U57" s="1462" t="e">
        <v>#REF!</v>
      </c>
      <c r="V57" s="1462" t="e">
        <v>#REF!</v>
      </c>
      <c r="W57" s="1462" t="e">
        <v>#REF!</v>
      </c>
      <c r="X57" s="1462" t="e">
        <v>#REF!</v>
      </c>
      <c r="Y57" s="1462" t="e">
        <v>#REF!</v>
      </c>
      <c r="Z57" s="1463" t="e">
        <v>#REF!</v>
      </c>
    </row>
    <row r="58" spans="2:26">
      <c r="B58" s="1160">
        <v>32</v>
      </c>
      <c r="C58" s="393" t="s">
        <v>884</v>
      </c>
      <c r="D58" s="393" t="s">
        <v>806</v>
      </c>
      <c r="E58" s="393" t="s">
        <v>827</v>
      </c>
      <c r="F58" s="394">
        <v>2014</v>
      </c>
      <c r="G58" s="394">
        <v>117</v>
      </c>
      <c r="H58" s="395">
        <v>2.0735166755242469</v>
      </c>
      <c r="I58" s="1161">
        <v>2.0735166755242469</v>
      </c>
      <c r="J58" s="395">
        <v>0</v>
      </c>
      <c r="K58" s="396">
        <v>0</v>
      </c>
      <c r="L58" s="396">
        <v>0</v>
      </c>
      <c r="M58" s="396">
        <v>0</v>
      </c>
      <c r="N58" s="397">
        <v>0</v>
      </c>
      <c r="O58" s="396">
        <v>0</v>
      </c>
      <c r="P58" s="398">
        <v>0</v>
      </c>
      <c r="Q58" s="398">
        <v>0</v>
      </c>
      <c r="R58" s="398">
        <v>1.0320571790765745</v>
      </c>
      <c r="S58" s="397">
        <v>1.0414594964476727</v>
      </c>
      <c r="T58" s="1461" t="s">
        <v>885</v>
      </c>
      <c r="U58" s="1462" t="e">
        <v>#REF!</v>
      </c>
      <c r="V58" s="1462" t="e">
        <v>#REF!</v>
      </c>
      <c r="W58" s="1462" t="e">
        <v>#REF!</v>
      </c>
      <c r="X58" s="1462" t="e">
        <v>#REF!</v>
      </c>
      <c r="Y58" s="1462" t="e">
        <v>#REF!</v>
      </c>
      <c r="Z58" s="1463" t="e">
        <v>#REF!</v>
      </c>
    </row>
    <row r="59" spans="2:26">
      <c r="B59" s="1160">
        <v>33</v>
      </c>
      <c r="C59" s="393" t="s">
        <v>886</v>
      </c>
      <c r="D59" s="393" t="s">
        <v>818</v>
      </c>
      <c r="E59" s="393" t="s">
        <v>822</v>
      </c>
      <c r="F59" s="394">
        <v>2012</v>
      </c>
      <c r="G59" s="394">
        <v>24</v>
      </c>
      <c r="H59" s="395">
        <v>1.239012652737651</v>
      </c>
      <c r="I59" s="1161">
        <v>1.239012652737651</v>
      </c>
      <c r="J59" s="395">
        <v>0</v>
      </c>
      <c r="K59" s="396">
        <v>0</v>
      </c>
      <c r="L59" s="396">
        <v>0</v>
      </c>
      <c r="M59" s="396">
        <v>0</v>
      </c>
      <c r="N59" s="397">
        <v>0</v>
      </c>
      <c r="O59" s="396">
        <v>0</v>
      </c>
      <c r="P59" s="398">
        <v>0</v>
      </c>
      <c r="Q59" s="398">
        <v>1.0326012169223362</v>
      </c>
      <c r="R59" s="398">
        <v>0.2064114358153149</v>
      </c>
      <c r="S59" s="397">
        <v>0</v>
      </c>
      <c r="T59" s="1461" t="s">
        <v>887</v>
      </c>
      <c r="U59" s="1462" t="e">
        <v>#REF!</v>
      </c>
      <c r="V59" s="1462" t="e">
        <v>#REF!</v>
      </c>
      <c r="W59" s="1462" t="e">
        <v>#REF!</v>
      </c>
      <c r="X59" s="1462" t="e">
        <v>#REF!</v>
      </c>
      <c r="Y59" s="1462" t="e">
        <v>#REF!</v>
      </c>
      <c r="Z59" s="1463" t="e">
        <v>#REF!</v>
      </c>
    </row>
    <row r="60" spans="2:26">
      <c r="B60" s="1160">
        <v>34</v>
      </c>
      <c r="C60" s="393" t="s">
        <v>888</v>
      </c>
      <c r="D60" s="393" t="s">
        <v>818</v>
      </c>
      <c r="E60" s="393" t="s">
        <v>819</v>
      </c>
      <c r="F60" s="394">
        <v>2008</v>
      </c>
      <c r="G60" s="394">
        <v>16</v>
      </c>
      <c r="H60" s="395">
        <v>0.5297334860239471</v>
      </c>
      <c r="I60" s="1161">
        <v>0.5297334860239471</v>
      </c>
      <c r="J60" s="395">
        <v>0</v>
      </c>
      <c r="K60" s="396">
        <v>0</v>
      </c>
      <c r="L60" s="396">
        <v>0</v>
      </c>
      <c r="M60" s="396">
        <v>0</v>
      </c>
      <c r="N60" s="397">
        <v>0</v>
      </c>
      <c r="O60" s="396">
        <v>0.5297334860239471</v>
      </c>
      <c r="P60" s="398">
        <v>0</v>
      </c>
      <c r="Q60" s="398">
        <v>0</v>
      </c>
      <c r="R60" s="398">
        <v>0</v>
      </c>
      <c r="S60" s="397">
        <v>0</v>
      </c>
      <c r="T60" s="1461" t="s">
        <v>889</v>
      </c>
      <c r="U60" s="1462" t="e">
        <v>#REF!</v>
      </c>
      <c r="V60" s="1462" t="e">
        <v>#REF!</v>
      </c>
      <c r="W60" s="1462" t="e">
        <v>#REF!</v>
      </c>
      <c r="X60" s="1462" t="e">
        <v>#REF!</v>
      </c>
      <c r="Y60" s="1462" t="e">
        <v>#REF!</v>
      </c>
      <c r="Z60" s="1463" t="e">
        <v>#REF!</v>
      </c>
    </row>
    <row r="61" spans="2:26">
      <c r="B61" s="1160">
        <v>35</v>
      </c>
      <c r="C61" s="393" t="s">
        <v>890</v>
      </c>
      <c r="D61" s="393" t="s">
        <v>818</v>
      </c>
      <c r="E61" s="393" t="s">
        <v>822</v>
      </c>
      <c r="F61" s="394">
        <v>2008</v>
      </c>
      <c r="G61" s="394">
        <v>7.5</v>
      </c>
      <c r="H61" s="395">
        <v>0.84757357763831542</v>
      </c>
      <c r="I61" s="1161">
        <v>0.84757357763831542</v>
      </c>
      <c r="J61" s="395">
        <v>0</v>
      </c>
      <c r="K61" s="396">
        <v>0</v>
      </c>
      <c r="L61" s="396">
        <v>0</v>
      </c>
      <c r="M61" s="396">
        <v>0</v>
      </c>
      <c r="N61" s="397">
        <v>0</v>
      </c>
      <c r="O61" s="396">
        <v>0.84757357763831542</v>
      </c>
      <c r="P61" s="398">
        <v>0</v>
      </c>
      <c r="Q61" s="398">
        <v>0</v>
      </c>
      <c r="R61" s="398">
        <v>0</v>
      </c>
      <c r="S61" s="397">
        <v>0</v>
      </c>
      <c r="T61" s="1461" t="s">
        <v>891</v>
      </c>
      <c r="U61" s="1462" t="e">
        <v>#REF!</v>
      </c>
      <c r="V61" s="1462" t="e">
        <v>#REF!</v>
      </c>
      <c r="W61" s="1462" t="e">
        <v>#REF!</v>
      </c>
      <c r="X61" s="1462" t="e">
        <v>#REF!</v>
      </c>
      <c r="Y61" s="1462" t="e">
        <v>#REF!</v>
      </c>
      <c r="Z61" s="1463" t="e">
        <v>#REF!</v>
      </c>
    </row>
    <row r="62" spans="2:26">
      <c r="B62" s="1160">
        <v>36</v>
      </c>
      <c r="C62" s="393" t="s">
        <v>892</v>
      </c>
      <c r="D62" s="393" t="s">
        <v>806</v>
      </c>
      <c r="E62" s="393" t="s">
        <v>822</v>
      </c>
      <c r="F62" s="394">
        <v>2015</v>
      </c>
      <c r="G62" s="394">
        <v>117</v>
      </c>
      <c r="H62" s="395">
        <v>0.52072974822383633</v>
      </c>
      <c r="I62" s="1161">
        <v>0.52072974822383633</v>
      </c>
      <c r="J62" s="395">
        <v>0</v>
      </c>
      <c r="K62" s="396">
        <v>0</v>
      </c>
      <c r="L62" s="396">
        <v>0</v>
      </c>
      <c r="M62" s="396">
        <v>0</v>
      </c>
      <c r="N62" s="397">
        <v>0</v>
      </c>
      <c r="O62" s="396">
        <v>0</v>
      </c>
      <c r="P62" s="398">
        <v>0</v>
      </c>
      <c r="Q62" s="398">
        <v>0</v>
      </c>
      <c r="R62" s="398">
        <v>0</v>
      </c>
      <c r="S62" s="397">
        <v>0.52072974822383633</v>
      </c>
      <c r="T62" s="1461" t="s">
        <v>893</v>
      </c>
      <c r="U62" s="1462" t="e">
        <v>#REF!</v>
      </c>
      <c r="V62" s="1462" t="e">
        <v>#REF!</v>
      </c>
      <c r="W62" s="1462" t="e">
        <v>#REF!</v>
      </c>
      <c r="X62" s="1462" t="e">
        <v>#REF!</v>
      </c>
      <c r="Y62" s="1462" t="e">
        <v>#REF!</v>
      </c>
      <c r="Z62" s="1463" t="e">
        <v>#REF!</v>
      </c>
    </row>
    <row r="63" spans="2:26">
      <c r="B63" s="1160">
        <v>37</v>
      </c>
      <c r="C63" s="393" t="s">
        <v>894</v>
      </c>
      <c r="D63" s="393" t="s">
        <v>818</v>
      </c>
      <c r="E63" s="393" t="s">
        <v>819</v>
      </c>
      <c r="F63" s="394">
        <v>2011</v>
      </c>
      <c r="G63" s="394">
        <v>31</v>
      </c>
      <c r="H63" s="395">
        <v>0.5163006084611681</v>
      </c>
      <c r="I63" s="1161">
        <v>0.5163006084611681</v>
      </c>
      <c r="J63" s="395">
        <v>0</v>
      </c>
      <c r="K63" s="396">
        <v>0</v>
      </c>
      <c r="L63" s="396">
        <v>0</v>
      </c>
      <c r="M63" s="396">
        <v>0</v>
      </c>
      <c r="N63" s="397">
        <v>0</v>
      </c>
      <c r="O63" s="396">
        <v>0</v>
      </c>
      <c r="P63" s="398">
        <v>0</v>
      </c>
      <c r="Q63" s="398">
        <v>0.5163006084611681</v>
      </c>
      <c r="R63" s="398">
        <v>0</v>
      </c>
      <c r="S63" s="397">
        <v>0</v>
      </c>
      <c r="T63" s="1461" t="s">
        <v>895</v>
      </c>
      <c r="U63" s="1462" t="e">
        <v>#REF!</v>
      </c>
      <c r="V63" s="1462" t="e">
        <v>#REF!</v>
      </c>
      <c r="W63" s="1462" t="e">
        <v>#REF!</v>
      </c>
      <c r="X63" s="1462" t="e">
        <v>#REF!</v>
      </c>
      <c r="Y63" s="1462" t="e">
        <v>#REF!</v>
      </c>
      <c r="Z63" s="1463" t="e">
        <v>#REF!</v>
      </c>
    </row>
    <row r="64" spans="2:26">
      <c r="B64" s="1160">
        <v>38</v>
      </c>
      <c r="C64" s="393" t="s">
        <v>896</v>
      </c>
      <c r="D64" s="393" t="s">
        <v>818</v>
      </c>
      <c r="E64" s="393" t="s">
        <v>822</v>
      </c>
      <c r="F64" s="394">
        <v>2011</v>
      </c>
      <c r="G64" s="394">
        <v>16</v>
      </c>
      <c r="H64" s="395">
        <v>1.0335413704211851</v>
      </c>
      <c r="I64" s="1161">
        <v>1.0335413704211851</v>
      </c>
      <c r="J64" s="395">
        <v>0</v>
      </c>
      <c r="K64" s="396">
        <v>0</v>
      </c>
      <c r="L64" s="396">
        <v>0</v>
      </c>
      <c r="M64" s="396">
        <v>0</v>
      </c>
      <c r="N64" s="397">
        <v>0</v>
      </c>
      <c r="O64" s="396">
        <v>0</v>
      </c>
      <c r="P64" s="398">
        <v>0.517240761960017</v>
      </c>
      <c r="Q64" s="398">
        <v>0.5163006084611681</v>
      </c>
      <c r="R64" s="398">
        <v>0</v>
      </c>
      <c r="S64" s="397">
        <v>0</v>
      </c>
      <c r="T64" s="1461" t="s">
        <v>897</v>
      </c>
      <c r="U64" s="1462" t="e">
        <v>#REF!</v>
      </c>
      <c r="V64" s="1462" t="e">
        <v>#REF!</v>
      </c>
      <c r="W64" s="1462" t="e">
        <v>#REF!</v>
      </c>
      <c r="X64" s="1462" t="e">
        <v>#REF!</v>
      </c>
      <c r="Y64" s="1462" t="e">
        <v>#REF!</v>
      </c>
      <c r="Z64" s="1463" t="e">
        <v>#REF!</v>
      </c>
    </row>
    <row r="65" spans="2:26">
      <c r="B65" s="1160">
        <v>39</v>
      </c>
      <c r="C65" s="393" t="s">
        <v>898</v>
      </c>
      <c r="D65" s="393" t="s">
        <v>806</v>
      </c>
      <c r="E65" s="393" t="s">
        <v>827</v>
      </c>
      <c r="F65" s="394">
        <v>2014</v>
      </c>
      <c r="G65" s="394">
        <v>190</v>
      </c>
      <c r="H65" s="395">
        <v>15.134092320239922</v>
      </c>
      <c r="I65" s="1161">
        <v>15.134092320239922</v>
      </c>
      <c r="J65" s="395">
        <v>0</v>
      </c>
      <c r="K65" s="396">
        <v>0</v>
      </c>
      <c r="L65" s="396">
        <v>0</v>
      </c>
      <c r="M65" s="396">
        <v>0</v>
      </c>
      <c r="N65" s="397">
        <v>0</v>
      </c>
      <c r="O65" s="396">
        <v>0</v>
      </c>
      <c r="P65" s="398">
        <v>0</v>
      </c>
      <c r="Q65" s="398">
        <v>4.027144745997111</v>
      </c>
      <c r="R65" s="398">
        <v>4.0250229983986401</v>
      </c>
      <c r="S65" s="397">
        <v>7.0819245758441722</v>
      </c>
      <c r="T65" s="1461" t="s">
        <v>899</v>
      </c>
      <c r="U65" s="1462" t="e">
        <v>#REF!</v>
      </c>
      <c r="V65" s="1462" t="e">
        <v>#REF!</v>
      </c>
      <c r="W65" s="1462" t="e">
        <v>#REF!</v>
      </c>
      <c r="X65" s="1462" t="e">
        <v>#REF!</v>
      </c>
      <c r="Y65" s="1462" t="e">
        <v>#REF!</v>
      </c>
      <c r="Z65" s="1463" t="e">
        <v>#REF!</v>
      </c>
    </row>
    <row r="66" spans="2:26">
      <c r="B66" s="1160">
        <v>40</v>
      </c>
      <c r="C66" s="393" t="s">
        <v>900</v>
      </c>
      <c r="D66" s="393" t="s">
        <v>818</v>
      </c>
      <c r="E66" s="393" t="s">
        <v>819</v>
      </c>
      <c r="F66" s="394">
        <v>2008</v>
      </c>
      <c r="G66" s="394">
        <v>10</v>
      </c>
      <c r="H66" s="395">
        <v>0.20689630478400683</v>
      </c>
      <c r="I66" s="1161">
        <v>0.20689630478400683</v>
      </c>
      <c r="J66" s="395">
        <v>0</v>
      </c>
      <c r="K66" s="396">
        <v>0</v>
      </c>
      <c r="L66" s="396">
        <v>0</v>
      </c>
      <c r="M66" s="396">
        <v>0</v>
      </c>
      <c r="N66" s="397">
        <v>0</v>
      </c>
      <c r="O66" s="396">
        <v>0</v>
      </c>
      <c r="P66" s="398">
        <v>0.20689630478400683</v>
      </c>
      <c r="Q66" s="398">
        <v>0</v>
      </c>
      <c r="R66" s="398">
        <v>0</v>
      </c>
      <c r="S66" s="397">
        <v>0</v>
      </c>
      <c r="T66" s="1461" t="s">
        <v>901</v>
      </c>
      <c r="U66" s="1462" t="e">
        <v>#REF!</v>
      </c>
      <c r="V66" s="1462" t="e">
        <v>#REF!</v>
      </c>
      <c r="W66" s="1462" t="e">
        <v>#REF!</v>
      </c>
      <c r="X66" s="1462" t="e">
        <v>#REF!</v>
      </c>
      <c r="Y66" s="1462" t="e">
        <v>#REF!</v>
      </c>
      <c r="Z66" s="1463" t="e">
        <v>#REF!</v>
      </c>
    </row>
    <row r="67" spans="2:26">
      <c r="B67" s="1160">
        <v>41</v>
      </c>
      <c r="C67" s="393" t="s">
        <v>902</v>
      </c>
      <c r="D67" s="393" t="s">
        <v>806</v>
      </c>
      <c r="E67" s="393" t="s">
        <v>822</v>
      </c>
      <c r="F67" s="394">
        <v>2014</v>
      </c>
      <c r="G67" s="394">
        <v>40</v>
      </c>
      <c r="H67" s="395">
        <v>3.0202325396982497</v>
      </c>
      <c r="I67" s="1161">
        <v>3.0202325396982497</v>
      </c>
      <c r="J67" s="395">
        <v>0</v>
      </c>
      <c r="K67" s="396">
        <v>0</v>
      </c>
      <c r="L67" s="396">
        <v>0</v>
      </c>
      <c r="M67" s="396">
        <v>0</v>
      </c>
      <c r="N67" s="397">
        <v>0</v>
      </c>
      <c r="O67" s="396">
        <v>0</v>
      </c>
      <c r="P67" s="398">
        <v>0</v>
      </c>
      <c r="Q67" s="398">
        <v>0</v>
      </c>
      <c r="R67" s="398">
        <v>0</v>
      </c>
      <c r="S67" s="397">
        <v>3.0202325396982497</v>
      </c>
      <c r="T67" s="1461" t="s">
        <v>903</v>
      </c>
      <c r="U67" s="1462" t="e">
        <v>#REF!</v>
      </c>
      <c r="V67" s="1462" t="e">
        <v>#REF!</v>
      </c>
      <c r="W67" s="1462" t="e">
        <v>#REF!</v>
      </c>
      <c r="X67" s="1462" t="e">
        <v>#REF!</v>
      </c>
      <c r="Y67" s="1462" t="e">
        <v>#REF!</v>
      </c>
      <c r="Z67" s="1463" t="e">
        <v>#REF!</v>
      </c>
    </row>
    <row r="68" spans="2:26">
      <c r="B68" s="1160">
        <v>42</v>
      </c>
      <c r="C68" s="393" t="s">
        <v>904</v>
      </c>
      <c r="D68" s="393" t="s">
        <v>818</v>
      </c>
      <c r="E68" s="393" t="s">
        <v>819</v>
      </c>
      <c r="F68" s="394">
        <v>2010</v>
      </c>
      <c r="G68" s="394">
        <v>40</v>
      </c>
      <c r="H68" s="395">
        <v>1.2497513957372068</v>
      </c>
      <c r="I68" s="1161">
        <v>1.2497513957372068</v>
      </c>
      <c r="J68" s="395">
        <v>0</v>
      </c>
      <c r="K68" s="396">
        <v>0</v>
      </c>
      <c r="L68" s="396">
        <v>0</v>
      </c>
      <c r="M68" s="396">
        <v>0</v>
      </c>
      <c r="N68" s="397">
        <v>0</v>
      </c>
      <c r="O68" s="396">
        <v>0</v>
      </c>
      <c r="P68" s="398">
        <v>0</v>
      </c>
      <c r="Q68" s="398">
        <v>0</v>
      </c>
      <c r="R68" s="398">
        <v>0</v>
      </c>
      <c r="S68" s="397">
        <v>1.2497513957372068</v>
      </c>
      <c r="T68" s="1461" t="s">
        <v>905</v>
      </c>
      <c r="U68" s="1462" t="e">
        <v>#REF!</v>
      </c>
      <c r="V68" s="1462" t="e">
        <v>#REF!</v>
      </c>
      <c r="W68" s="1462" t="e">
        <v>#REF!</v>
      </c>
      <c r="X68" s="1462" t="e">
        <v>#REF!</v>
      </c>
      <c r="Y68" s="1462" t="e">
        <v>#REF!</v>
      </c>
      <c r="Z68" s="1463" t="e">
        <v>#REF!</v>
      </c>
    </row>
    <row r="69" spans="2:26">
      <c r="B69" s="1160">
        <v>43</v>
      </c>
      <c r="C69" s="393" t="s">
        <v>906</v>
      </c>
      <c r="D69" s="393" t="s">
        <v>818</v>
      </c>
      <c r="E69" s="393" t="s">
        <v>822</v>
      </c>
      <c r="F69" s="394">
        <v>2014</v>
      </c>
      <c r="G69" s="394">
        <v>9.5</v>
      </c>
      <c r="H69" s="395">
        <v>1.3538973453819743</v>
      </c>
      <c r="I69" s="1161">
        <v>1.3538973453819743</v>
      </c>
      <c r="J69" s="395">
        <v>0</v>
      </c>
      <c r="K69" s="396">
        <v>0</v>
      </c>
      <c r="L69" s="396">
        <v>0</v>
      </c>
      <c r="M69" s="396">
        <v>0</v>
      </c>
      <c r="N69" s="397">
        <v>0</v>
      </c>
      <c r="O69" s="396">
        <v>0</v>
      </c>
      <c r="P69" s="398">
        <v>0</v>
      </c>
      <c r="Q69" s="398">
        <v>0</v>
      </c>
      <c r="R69" s="398">
        <v>0</v>
      </c>
      <c r="S69" s="397">
        <v>1.3538973453819743</v>
      </c>
      <c r="T69" s="1461" t="s">
        <v>907</v>
      </c>
      <c r="U69" s="1462" t="e">
        <v>#REF!</v>
      </c>
      <c r="V69" s="1462" t="e">
        <v>#REF!</v>
      </c>
      <c r="W69" s="1462" t="e">
        <v>#REF!</v>
      </c>
      <c r="X69" s="1462" t="e">
        <v>#REF!</v>
      </c>
      <c r="Y69" s="1462" t="e">
        <v>#REF!</v>
      </c>
      <c r="Z69" s="1463" t="e">
        <v>#REF!</v>
      </c>
    </row>
    <row r="70" spans="2:26">
      <c r="B70" s="1160">
        <v>44</v>
      </c>
      <c r="C70" s="393" t="s">
        <v>908</v>
      </c>
      <c r="D70" s="393" t="s">
        <v>818</v>
      </c>
      <c r="E70" s="393" t="s">
        <v>827</v>
      </c>
      <c r="F70" s="394">
        <v>2008</v>
      </c>
      <c r="G70" s="394">
        <v>16</v>
      </c>
      <c r="H70" s="395">
        <v>1.5892004580718411</v>
      </c>
      <c r="I70" s="1161">
        <v>1.5892004580718411</v>
      </c>
      <c r="J70" s="395">
        <v>0</v>
      </c>
      <c r="K70" s="396">
        <v>0</v>
      </c>
      <c r="L70" s="396">
        <v>0</v>
      </c>
      <c r="M70" s="396">
        <v>0</v>
      </c>
      <c r="N70" s="397">
        <v>0</v>
      </c>
      <c r="O70" s="396">
        <v>1.5892004580718411</v>
      </c>
      <c r="P70" s="398">
        <v>0</v>
      </c>
      <c r="Q70" s="398">
        <v>0</v>
      </c>
      <c r="R70" s="398">
        <v>0</v>
      </c>
      <c r="S70" s="397">
        <v>0</v>
      </c>
      <c r="T70" s="1461" t="s">
        <v>909</v>
      </c>
      <c r="U70" s="1462" t="e">
        <v>#REF!</v>
      </c>
      <c r="V70" s="1462" t="e">
        <v>#REF!</v>
      </c>
      <c r="W70" s="1462" t="e">
        <v>#REF!</v>
      </c>
      <c r="X70" s="1462" t="e">
        <v>#REF!</v>
      </c>
      <c r="Y70" s="1462" t="e">
        <v>#REF!</v>
      </c>
      <c r="Z70" s="1463" t="e">
        <v>#REF!</v>
      </c>
    </row>
    <row r="71" spans="2:26">
      <c r="B71" s="1160">
        <v>45</v>
      </c>
      <c r="C71" s="393" t="s">
        <v>910</v>
      </c>
      <c r="D71" s="393" t="s">
        <v>818</v>
      </c>
      <c r="E71" s="393" t="s">
        <v>822</v>
      </c>
      <c r="F71" s="394">
        <v>2007</v>
      </c>
      <c r="G71" s="394">
        <v>40</v>
      </c>
      <c r="H71" s="395">
        <v>2.3308273385053671</v>
      </c>
      <c r="I71" s="1161">
        <v>2.3308273385053671</v>
      </c>
      <c r="J71" s="395">
        <v>0</v>
      </c>
      <c r="K71" s="396">
        <v>0</v>
      </c>
      <c r="L71" s="396">
        <v>0</v>
      </c>
      <c r="M71" s="396">
        <v>0</v>
      </c>
      <c r="N71" s="397">
        <v>0</v>
      </c>
      <c r="O71" s="396">
        <v>2.3308273385053671</v>
      </c>
      <c r="P71" s="398">
        <v>0</v>
      </c>
      <c r="Q71" s="398">
        <v>0</v>
      </c>
      <c r="R71" s="398">
        <v>0</v>
      </c>
      <c r="S71" s="397">
        <v>0</v>
      </c>
      <c r="T71" s="1461" t="s">
        <v>911</v>
      </c>
      <c r="U71" s="1462" t="e">
        <v>#REF!</v>
      </c>
      <c r="V71" s="1462" t="e">
        <v>#REF!</v>
      </c>
      <c r="W71" s="1462" t="e">
        <v>#REF!</v>
      </c>
      <c r="X71" s="1462" t="e">
        <v>#REF!</v>
      </c>
      <c r="Y71" s="1462" t="e">
        <v>#REF!</v>
      </c>
      <c r="Z71" s="1463" t="e">
        <v>#REF!</v>
      </c>
    </row>
    <row r="72" spans="2:26">
      <c r="B72" s="1160">
        <v>46</v>
      </c>
      <c r="C72" s="393" t="s">
        <v>912</v>
      </c>
      <c r="D72" s="393" t="s">
        <v>818</v>
      </c>
      <c r="E72" s="393" t="s">
        <v>822</v>
      </c>
      <c r="F72" s="394">
        <v>2011</v>
      </c>
      <c r="G72" s="394">
        <v>21.75</v>
      </c>
      <c r="H72" s="395">
        <v>2.4901004741033157</v>
      </c>
      <c r="I72" s="1161">
        <v>2.4901004741033157</v>
      </c>
      <c r="J72" s="395">
        <v>0</v>
      </c>
      <c r="K72" s="396">
        <v>0</v>
      </c>
      <c r="L72" s="396">
        <v>0</v>
      </c>
      <c r="M72" s="396">
        <v>0</v>
      </c>
      <c r="N72" s="397">
        <v>0</v>
      </c>
      <c r="O72" s="396">
        <v>0</v>
      </c>
      <c r="P72" s="398">
        <v>0</v>
      </c>
      <c r="Q72" s="398">
        <v>0</v>
      </c>
      <c r="R72" s="398">
        <v>1.0320571790765745</v>
      </c>
      <c r="S72" s="397">
        <v>1.4580432950267415</v>
      </c>
      <c r="T72" s="1461" t="s">
        <v>913</v>
      </c>
      <c r="U72" s="1462" t="e">
        <v>#REF!</v>
      </c>
      <c r="V72" s="1462" t="e">
        <v>#REF!</v>
      </c>
      <c r="W72" s="1462" t="e">
        <v>#REF!</v>
      </c>
      <c r="X72" s="1462" t="e">
        <v>#REF!</v>
      </c>
      <c r="Y72" s="1462" t="e">
        <v>#REF!</v>
      </c>
      <c r="Z72" s="1463" t="e">
        <v>#REF!</v>
      </c>
    </row>
    <row r="73" spans="2:26">
      <c r="B73" s="1160">
        <v>47</v>
      </c>
      <c r="C73" s="393" t="s">
        <v>914</v>
      </c>
      <c r="D73" s="393" t="s">
        <v>806</v>
      </c>
      <c r="E73" s="393" t="s">
        <v>827</v>
      </c>
      <c r="F73" s="394">
        <v>2008</v>
      </c>
      <c r="G73" s="394">
        <v>190</v>
      </c>
      <c r="H73" s="395">
        <v>4.1319211909867866</v>
      </c>
      <c r="I73" s="1161">
        <v>4.1319211909867866</v>
      </c>
      <c r="J73" s="395">
        <v>0</v>
      </c>
      <c r="K73" s="396">
        <v>0</v>
      </c>
      <c r="L73" s="396">
        <v>0</v>
      </c>
      <c r="M73" s="396">
        <v>0</v>
      </c>
      <c r="N73" s="397">
        <v>0</v>
      </c>
      <c r="O73" s="396">
        <v>4.1319211909867866</v>
      </c>
      <c r="P73" s="398">
        <v>0</v>
      </c>
      <c r="Q73" s="398">
        <v>0</v>
      </c>
      <c r="R73" s="398">
        <v>0</v>
      </c>
      <c r="S73" s="397">
        <v>0</v>
      </c>
      <c r="T73" s="1461" t="s">
        <v>915</v>
      </c>
      <c r="U73" s="1462" t="e">
        <v>#REF!</v>
      </c>
      <c r="V73" s="1462" t="e">
        <v>#REF!</v>
      </c>
      <c r="W73" s="1462" t="e">
        <v>#REF!</v>
      </c>
      <c r="X73" s="1462" t="e">
        <v>#REF!</v>
      </c>
      <c r="Y73" s="1462" t="e">
        <v>#REF!</v>
      </c>
      <c r="Z73" s="1463" t="e">
        <v>#REF!</v>
      </c>
    </row>
    <row r="74" spans="2:26">
      <c r="B74" s="1160">
        <v>48</v>
      </c>
      <c r="C74" s="393" t="s">
        <v>916</v>
      </c>
      <c r="D74" s="393" t="s">
        <v>806</v>
      </c>
      <c r="E74" s="393" t="s">
        <v>822</v>
      </c>
      <c r="F74" s="394">
        <v>2010</v>
      </c>
      <c r="G74" s="394">
        <v>117</v>
      </c>
      <c r="H74" s="395">
        <v>1.9655148954480646</v>
      </c>
      <c r="I74" s="1161">
        <v>1.9655148954480646</v>
      </c>
      <c r="J74" s="395">
        <v>0</v>
      </c>
      <c r="K74" s="396">
        <v>0</v>
      </c>
      <c r="L74" s="396">
        <v>0</v>
      </c>
      <c r="M74" s="396">
        <v>0</v>
      </c>
      <c r="N74" s="397">
        <v>0</v>
      </c>
      <c r="O74" s="396">
        <v>0</v>
      </c>
      <c r="P74" s="398">
        <v>1.9655148954480646</v>
      </c>
      <c r="Q74" s="398">
        <v>0</v>
      </c>
      <c r="R74" s="398">
        <v>0</v>
      </c>
      <c r="S74" s="397">
        <v>0</v>
      </c>
      <c r="T74" s="1461" t="s">
        <v>917</v>
      </c>
      <c r="U74" s="1462" t="e">
        <v>#REF!</v>
      </c>
      <c r="V74" s="1462" t="e">
        <v>#REF!</v>
      </c>
      <c r="W74" s="1462" t="e">
        <v>#REF!</v>
      </c>
      <c r="X74" s="1462" t="e">
        <v>#REF!</v>
      </c>
      <c r="Y74" s="1462" t="e">
        <v>#REF!</v>
      </c>
      <c r="Z74" s="1463" t="e">
        <v>#REF!</v>
      </c>
    </row>
    <row r="75" spans="2:26">
      <c r="B75" s="1160">
        <v>49</v>
      </c>
      <c r="C75" s="393" t="s">
        <v>918</v>
      </c>
      <c r="D75" s="393" t="s">
        <v>818</v>
      </c>
      <c r="E75" s="393" t="s">
        <v>822</v>
      </c>
      <c r="F75" s="394">
        <v>2008</v>
      </c>
      <c r="G75" s="394">
        <v>16</v>
      </c>
      <c r="H75" s="395">
        <v>2.3992958635183665</v>
      </c>
      <c r="I75" s="1161">
        <v>2.3992958635183665</v>
      </c>
      <c r="J75" s="395">
        <v>0</v>
      </c>
      <c r="K75" s="396">
        <v>0</v>
      </c>
      <c r="L75" s="396">
        <v>0</v>
      </c>
      <c r="M75" s="396">
        <v>0</v>
      </c>
      <c r="N75" s="397">
        <v>0</v>
      </c>
      <c r="O75" s="396">
        <v>0.84757357763831542</v>
      </c>
      <c r="P75" s="398">
        <v>1.5517222858800512</v>
      </c>
      <c r="Q75" s="398">
        <v>0</v>
      </c>
      <c r="R75" s="398">
        <v>0</v>
      </c>
      <c r="S75" s="397">
        <v>0</v>
      </c>
      <c r="T75" s="1461" t="s">
        <v>919</v>
      </c>
      <c r="U75" s="1462" t="e">
        <v>#REF!</v>
      </c>
      <c r="V75" s="1462" t="e">
        <v>#REF!</v>
      </c>
      <c r="W75" s="1462" t="e">
        <v>#REF!</v>
      </c>
      <c r="X75" s="1462" t="e">
        <v>#REF!</v>
      </c>
      <c r="Y75" s="1462" t="e">
        <v>#REF!</v>
      </c>
      <c r="Z75" s="1463" t="e">
        <v>#REF!</v>
      </c>
    </row>
    <row r="76" spans="2:26">
      <c r="B76" s="1160">
        <v>50</v>
      </c>
      <c r="C76" s="393" t="s">
        <v>920</v>
      </c>
      <c r="D76" s="393" t="s">
        <v>818</v>
      </c>
      <c r="E76" s="393" t="s">
        <v>822</v>
      </c>
      <c r="F76" s="394">
        <v>2013</v>
      </c>
      <c r="G76" s="394">
        <v>0</v>
      </c>
      <c r="H76" s="395">
        <v>0.20829189928953451</v>
      </c>
      <c r="I76" s="1161">
        <v>0.20829189928953451</v>
      </c>
      <c r="J76" s="395">
        <v>0</v>
      </c>
      <c r="K76" s="396">
        <v>0</v>
      </c>
      <c r="L76" s="396">
        <v>0</v>
      </c>
      <c r="M76" s="396">
        <v>0</v>
      </c>
      <c r="N76" s="397">
        <v>0</v>
      </c>
      <c r="O76" s="396">
        <v>0</v>
      </c>
      <c r="P76" s="398">
        <v>0</v>
      </c>
      <c r="Q76" s="398">
        <v>0</v>
      </c>
      <c r="R76" s="398">
        <v>0</v>
      </c>
      <c r="S76" s="397">
        <v>0.20829189928953451</v>
      </c>
      <c r="T76" s="1461" t="s">
        <v>921</v>
      </c>
      <c r="U76" s="1462" t="e">
        <v>#REF!</v>
      </c>
      <c r="V76" s="1462" t="e">
        <v>#REF!</v>
      </c>
      <c r="W76" s="1462" t="e">
        <v>#REF!</v>
      </c>
      <c r="X76" s="1462" t="e">
        <v>#REF!</v>
      </c>
      <c r="Y76" s="1462" t="e">
        <v>#REF!</v>
      </c>
      <c r="Z76" s="1463" t="e">
        <v>#REF!</v>
      </c>
    </row>
    <row r="77" spans="2:26">
      <c r="B77" s="1160">
        <v>51</v>
      </c>
      <c r="C77" s="393" t="s">
        <v>922</v>
      </c>
      <c r="D77" s="393" t="s">
        <v>806</v>
      </c>
      <c r="E77" s="393" t="s">
        <v>923</v>
      </c>
      <c r="F77" s="394">
        <v>2015</v>
      </c>
      <c r="G77" s="394">
        <v>99.8</v>
      </c>
      <c r="H77" s="395">
        <v>4.3543850186009188</v>
      </c>
      <c r="I77" s="1161">
        <v>4.3543850186009188</v>
      </c>
      <c r="J77" s="395">
        <v>0</v>
      </c>
      <c r="K77" s="396">
        <v>0</v>
      </c>
      <c r="L77" s="396">
        <v>0</v>
      </c>
      <c r="M77" s="396">
        <v>0</v>
      </c>
      <c r="N77" s="397">
        <v>0</v>
      </c>
      <c r="O77" s="396">
        <v>0</v>
      </c>
      <c r="P77" s="398">
        <v>0</v>
      </c>
      <c r="Q77" s="398">
        <v>0</v>
      </c>
      <c r="R77" s="398">
        <v>2.1673200760608062</v>
      </c>
      <c r="S77" s="397">
        <v>2.1870649425401121</v>
      </c>
      <c r="T77" s="1461" t="s">
        <v>924</v>
      </c>
      <c r="U77" s="1462" t="e">
        <v>#REF!</v>
      </c>
      <c r="V77" s="1462" t="e">
        <v>#REF!</v>
      </c>
      <c r="W77" s="1462" t="e">
        <v>#REF!</v>
      </c>
      <c r="X77" s="1462" t="e">
        <v>#REF!</v>
      </c>
      <c r="Y77" s="1462" t="e">
        <v>#REF!</v>
      </c>
      <c r="Z77" s="1463" t="e">
        <v>#REF!</v>
      </c>
    </row>
    <row r="78" spans="2:26">
      <c r="B78" s="1160">
        <v>52</v>
      </c>
      <c r="C78" s="393" t="s">
        <v>925</v>
      </c>
      <c r="D78" s="393" t="s">
        <v>818</v>
      </c>
      <c r="E78" s="393" t="s">
        <v>822</v>
      </c>
      <c r="F78" s="394">
        <v>2010</v>
      </c>
      <c r="G78" s="394">
        <v>24</v>
      </c>
      <c r="H78" s="395">
        <v>0.52072974822383633</v>
      </c>
      <c r="I78" s="1161">
        <v>0.52072974822383633</v>
      </c>
      <c r="J78" s="395">
        <v>0</v>
      </c>
      <c r="K78" s="396">
        <v>0</v>
      </c>
      <c r="L78" s="396">
        <v>0</v>
      </c>
      <c r="M78" s="396">
        <v>0</v>
      </c>
      <c r="N78" s="397">
        <v>0</v>
      </c>
      <c r="O78" s="396">
        <v>0</v>
      </c>
      <c r="P78" s="398">
        <v>0</v>
      </c>
      <c r="Q78" s="398">
        <v>0</v>
      </c>
      <c r="R78" s="398">
        <v>0</v>
      </c>
      <c r="S78" s="397">
        <v>0.52072974822383633</v>
      </c>
      <c r="T78" s="1461" t="s">
        <v>926</v>
      </c>
      <c r="U78" s="1462" t="e">
        <v>#REF!</v>
      </c>
      <c r="V78" s="1462" t="e">
        <v>#REF!</v>
      </c>
      <c r="W78" s="1462" t="e">
        <v>#REF!</v>
      </c>
      <c r="X78" s="1462" t="e">
        <v>#REF!</v>
      </c>
      <c r="Y78" s="1462" t="e">
        <v>#REF!</v>
      </c>
      <c r="Z78" s="1463" t="e">
        <v>#REF!</v>
      </c>
    </row>
    <row r="79" spans="2:26">
      <c r="B79" s="1160">
        <v>53</v>
      </c>
      <c r="C79" s="393" t="s">
        <v>927</v>
      </c>
      <c r="D79" s="393" t="s">
        <v>818</v>
      </c>
      <c r="E79" s="393" t="s">
        <v>822</v>
      </c>
      <c r="F79" s="394">
        <v>2010</v>
      </c>
      <c r="G79" s="394">
        <v>16</v>
      </c>
      <c r="H79" s="395">
        <v>1.0469742479839641</v>
      </c>
      <c r="I79" s="1161">
        <v>1.0469742479839641</v>
      </c>
      <c r="J79" s="395">
        <v>0</v>
      </c>
      <c r="K79" s="396">
        <v>0</v>
      </c>
      <c r="L79" s="396">
        <v>0</v>
      </c>
      <c r="M79" s="396">
        <v>0</v>
      </c>
      <c r="N79" s="397">
        <v>0</v>
      </c>
      <c r="O79" s="396">
        <v>0.5297334860239471</v>
      </c>
      <c r="P79" s="398">
        <v>0.517240761960017</v>
      </c>
      <c r="Q79" s="398">
        <v>0</v>
      </c>
      <c r="R79" s="398">
        <v>0</v>
      </c>
      <c r="S79" s="397">
        <v>0</v>
      </c>
      <c r="T79" s="1461" t="s">
        <v>928</v>
      </c>
      <c r="U79" s="1462" t="e">
        <v>#REF!</v>
      </c>
      <c r="V79" s="1462" t="e">
        <v>#REF!</v>
      </c>
      <c r="W79" s="1462" t="e">
        <v>#REF!</v>
      </c>
      <c r="X79" s="1462" t="e">
        <v>#REF!</v>
      </c>
      <c r="Y79" s="1462" t="e">
        <v>#REF!</v>
      </c>
      <c r="Z79" s="1463" t="e">
        <v>#REF!</v>
      </c>
    </row>
    <row r="80" spans="2:26">
      <c r="B80" s="1160">
        <v>54</v>
      </c>
      <c r="C80" s="393" t="s">
        <v>929</v>
      </c>
      <c r="D80" s="393" t="s">
        <v>806</v>
      </c>
      <c r="E80" s="393" t="s">
        <v>819</v>
      </c>
      <c r="F80" s="394">
        <v>2011</v>
      </c>
      <c r="G80" s="394">
        <v>117</v>
      </c>
      <c r="H80" s="395">
        <v>30.657600688092032</v>
      </c>
      <c r="I80" s="1161">
        <v>30.090100688092029</v>
      </c>
      <c r="J80" s="395">
        <v>0</v>
      </c>
      <c r="K80" s="396">
        <v>0</v>
      </c>
      <c r="L80" s="396">
        <v>0</v>
      </c>
      <c r="M80" s="396">
        <v>0</v>
      </c>
      <c r="N80" s="397">
        <v>0.5675</v>
      </c>
      <c r="O80" s="396">
        <v>1.0594669720478942</v>
      </c>
      <c r="P80" s="398">
        <v>10.03447078202433</v>
      </c>
      <c r="Q80" s="398">
        <v>11.978174116299099</v>
      </c>
      <c r="R80" s="398">
        <v>7.0179888177207062</v>
      </c>
      <c r="S80" s="397">
        <v>0</v>
      </c>
      <c r="T80" s="1461" t="s">
        <v>930</v>
      </c>
      <c r="U80" s="1462" t="e">
        <v>#REF!</v>
      </c>
      <c r="V80" s="1462" t="e">
        <v>#REF!</v>
      </c>
      <c r="W80" s="1462" t="e">
        <v>#REF!</v>
      </c>
      <c r="X80" s="1462" t="e">
        <v>#REF!</v>
      </c>
      <c r="Y80" s="1462" t="e">
        <v>#REF!</v>
      </c>
      <c r="Z80" s="1463" t="e">
        <v>#REF!</v>
      </c>
    </row>
    <row r="81" spans="2:26">
      <c r="B81" s="1160">
        <v>55</v>
      </c>
      <c r="C81" s="393" t="s">
        <v>931</v>
      </c>
      <c r="D81" s="393" t="s">
        <v>818</v>
      </c>
      <c r="E81" s="393" t="s">
        <v>819</v>
      </c>
      <c r="F81" s="394">
        <v>2013</v>
      </c>
      <c r="G81" s="394">
        <v>15</v>
      </c>
      <c r="H81" s="395">
        <v>0.72244002535360208</v>
      </c>
      <c r="I81" s="1161">
        <v>0.72244002535360208</v>
      </c>
      <c r="J81" s="395">
        <v>0</v>
      </c>
      <c r="K81" s="396">
        <v>0</v>
      </c>
      <c r="L81" s="396">
        <v>0</v>
      </c>
      <c r="M81" s="396">
        <v>0</v>
      </c>
      <c r="N81" s="397">
        <v>0</v>
      </c>
      <c r="O81" s="396">
        <v>0</v>
      </c>
      <c r="P81" s="398">
        <v>0</v>
      </c>
      <c r="Q81" s="398">
        <v>0</v>
      </c>
      <c r="R81" s="398">
        <v>0.72244002535360208</v>
      </c>
      <c r="S81" s="397">
        <v>0</v>
      </c>
      <c r="T81" s="1461" t="s">
        <v>932</v>
      </c>
      <c r="U81" s="1462" t="e">
        <v>#REF!</v>
      </c>
      <c r="V81" s="1462" t="e">
        <v>#REF!</v>
      </c>
      <c r="W81" s="1462" t="e">
        <v>#REF!</v>
      </c>
      <c r="X81" s="1462" t="e">
        <v>#REF!</v>
      </c>
      <c r="Y81" s="1462" t="e">
        <v>#REF!</v>
      </c>
      <c r="Z81" s="1463" t="e">
        <v>#REF!</v>
      </c>
    </row>
    <row r="82" spans="2:26">
      <c r="B82" s="1160">
        <v>56</v>
      </c>
      <c r="C82" s="393" t="s">
        <v>933</v>
      </c>
      <c r="D82" s="393" t="s">
        <v>818</v>
      </c>
      <c r="E82" s="393" t="s">
        <v>819</v>
      </c>
      <c r="F82" s="394">
        <v>2008</v>
      </c>
      <c r="G82" s="394">
        <v>24</v>
      </c>
      <c r="H82" s="395">
        <v>0.63568018322873654</v>
      </c>
      <c r="I82" s="1161">
        <v>0.63568018322873654</v>
      </c>
      <c r="J82" s="395">
        <v>0</v>
      </c>
      <c r="K82" s="396">
        <v>0</v>
      </c>
      <c r="L82" s="396">
        <v>0</v>
      </c>
      <c r="M82" s="396">
        <v>0</v>
      </c>
      <c r="N82" s="397">
        <v>0</v>
      </c>
      <c r="O82" s="396">
        <v>0.63568018322873654</v>
      </c>
      <c r="P82" s="398">
        <v>0</v>
      </c>
      <c r="Q82" s="398">
        <v>0</v>
      </c>
      <c r="R82" s="398">
        <v>0</v>
      </c>
      <c r="S82" s="397">
        <v>0</v>
      </c>
      <c r="T82" s="1461" t="s">
        <v>934</v>
      </c>
      <c r="U82" s="1462" t="e">
        <v>#REF!</v>
      </c>
      <c r="V82" s="1462" t="e">
        <v>#REF!</v>
      </c>
      <c r="W82" s="1462" t="e">
        <v>#REF!</v>
      </c>
      <c r="X82" s="1462" t="e">
        <v>#REF!</v>
      </c>
      <c r="Y82" s="1462" t="e">
        <v>#REF!</v>
      </c>
      <c r="Z82" s="1463" t="e">
        <v>#REF!</v>
      </c>
    </row>
    <row r="83" spans="2:26">
      <c r="B83" s="1160">
        <v>57</v>
      </c>
      <c r="C83" s="393" t="s">
        <v>935</v>
      </c>
      <c r="D83" s="393" t="s">
        <v>818</v>
      </c>
      <c r="E83" s="393" t="s">
        <v>936</v>
      </c>
      <c r="F83" s="394">
        <v>2012</v>
      </c>
      <c r="G83" s="394">
        <v>0</v>
      </c>
      <c r="H83" s="395">
        <v>1.239012652737651</v>
      </c>
      <c r="I83" s="1161">
        <v>1.239012652737651</v>
      </c>
      <c r="J83" s="395">
        <v>0</v>
      </c>
      <c r="K83" s="396">
        <v>0</v>
      </c>
      <c r="L83" s="396">
        <v>0</v>
      </c>
      <c r="M83" s="396">
        <v>0</v>
      </c>
      <c r="N83" s="397">
        <v>0</v>
      </c>
      <c r="O83" s="396">
        <v>0</v>
      </c>
      <c r="P83" s="398">
        <v>0</v>
      </c>
      <c r="Q83" s="398">
        <v>1.0326012169223362</v>
      </c>
      <c r="R83" s="398">
        <v>0.2064114358153149</v>
      </c>
      <c r="S83" s="397">
        <v>0</v>
      </c>
      <c r="T83" s="1461" t="s">
        <v>937</v>
      </c>
      <c r="U83" s="1462" t="e">
        <v>#REF!</v>
      </c>
      <c r="V83" s="1462" t="e">
        <v>#REF!</v>
      </c>
      <c r="W83" s="1462" t="e">
        <v>#REF!</v>
      </c>
      <c r="X83" s="1462" t="e">
        <v>#REF!</v>
      </c>
      <c r="Y83" s="1462" t="e">
        <v>#REF!</v>
      </c>
      <c r="Z83" s="1463" t="e">
        <v>#REF!</v>
      </c>
    </row>
    <row r="84" spans="2:26">
      <c r="B84" s="1160">
        <v>58</v>
      </c>
      <c r="C84" s="393" t="s">
        <v>938</v>
      </c>
      <c r="D84" s="393" t="s">
        <v>818</v>
      </c>
      <c r="E84" s="393" t="s">
        <v>822</v>
      </c>
      <c r="F84" s="394">
        <v>2010</v>
      </c>
      <c r="G84" s="394">
        <v>24</v>
      </c>
      <c r="H84" s="395">
        <v>1.4473339799891987</v>
      </c>
      <c r="I84" s="1161">
        <v>1.4473339799891987</v>
      </c>
      <c r="J84" s="395">
        <v>0</v>
      </c>
      <c r="K84" s="396">
        <v>0</v>
      </c>
      <c r="L84" s="396">
        <v>0</v>
      </c>
      <c r="M84" s="396">
        <v>0</v>
      </c>
      <c r="N84" s="397">
        <v>0</v>
      </c>
      <c r="O84" s="396">
        <v>0</v>
      </c>
      <c r="P84" s="398">
        <v>0.93103337152803067</v>
      </c>
      <c r="Q84" s="398">
        <v>0.5163006084611681</v>
      </c>
      <c r="R84" s="398">
        <v>0</v>
      </c>
      <c r="S84" s="397">
        <v>0</v>
      </c>
      <c r="T84" s="1461" t="s">
        <v>939</v>
      </c>
      <c r="U84" s="1462" t="e">
        <v>#REF!</v>
      </c>
      <c r="V84" s="1462" t="e">
        <v>#REF!</v>
      </c>
      <c r="W84" s="1462" t="e">
        <v>#REF!</v>
      </c>
      <c r="X84" s="1462" t="e">
        <v>#REF!</v>
      </c>
      <c r="Y84" s="1462" t="e">
        <v>#REF!</v>
      </c>
      <c r="Z84" s="1463" t="e">
        <v>#REF!</v>
      </c>
    </row>
    <row r="85" spans="2:26">
      <c r="B85" s="1160">
        <v>59</v>
      </c>
      <c r="C85" s="393" t="s">
        <v>940</v>
      </c>
      <c r="D85" s="393" t="s">
        <v>806</v>
      </c>
      <c r="E85" s="393" t="s">
        <v>827</v>
      </c>
      <c r="F85" s="394">
        <v>2010</v>
      </c>
      <c r="G85" s="394">
        <v>40</v>
      </c>
      <c r="H85" s="395">
        <v>0.20689630478400683</v>
      </c>
      <c r="I85" s="1161">
        <v>0.20689630478400683</v>
      </c>
      <c r="J85" s="395">
        <v>0</v>
      </c>
      <c r="K85" s="396">
        <v>0</v>
      </c>
      <c r="L85" s="396">
        <v>0</v>
      </c>
      <c r="M85" s="396">
        <v>0</v>
      </c>
      <c r="N85" s="397">
        <v>0</v>
      </c>
      <c r="O85" s="396">
        <v>0</v>
      </c>
      <c r="P85" s="398">
        <v>0.20689630478400683</v>
      </c>
      <c r="Q85" s="398">
        <v>0</v>
      </c>
      <c r="R85" s="398">
        <v>0</v>
      </c>
      <c r="S85" s="397">
        <v>0</v>
      </c>
      <c r="T85" s="1461" t="s">
        <v>941</v>
      </c>
      <c r="U85" s="1462" t="e">
        <v>#REF!</v>
      </c>
      <c r="V85" s="1462" t="e">
        <v>#REF!</v>
      </c>
      <c r="W85" s="1462" t="e">
        <v>#REF!</v>
      </c>
      <c r="X85" s="1462" t="e">
        <v>#REF!</v>
      </c>
      <c r="Y85" s="1462" t="e">
        <v>#REF!</v>
      </c>
      <c r="Z85" s="1463" t="e">
        <v>#REF!</v>
      </c>
    </row>
    <row r="86" spans="2:26">
      <c r="B86" s="1160">
        <v>60</v>
      </c>
      <c r="C86" s="393" t="s">
        <v>942</v>
      </c>
      <c r="D86" s="393" t="s">
        <v>818</v>
      </c>
      <c r="E86" s="393" t="s">
        <v>943</v>
      </c>
      <c r="F86" s="394">
        <v>2009</v>
      </c>
      <c r="G86" s="394">
        <v>10</v>
      </c>
      <c r="H86" s="395">
        <v>0.5297334860239471</v>
      </c>
      <c r="I86" s="1161">
        <v>0.5297334860239471</v>
      </c>
      <c r="J86" s="395">
        <v>0</v>
      </c>
      <c r="K86" s="396">
        <v>0</v>
      </c>
      <c r="L86" s="396">
        <v>0</v>
      </c>
      <c r="M86" s="396">
        <v>0</v>
      </c>
      <c r="N86" s="397">
        <v>0</v>
      </c>
      <c r="O86" s="396">
        <v>0.5297334860239471</v>
      </c>
      <c r="P86" s="398">
        <v>0</v>
      </c>
      <c r="Q86" s="398">
        <v>0</v>
      </c>
      <c r="R86" s="398">
        <v>0</v>
      </c>
      <c r="S86" s="397">
        <v>0</v>
      </c>
      <c r="T86" s="1461" t="s">
        <v>944</v>
      </c>
      <c r="U86" s="1462" t="e">
        <v>#REF!</v>
      </c>
      <c r="V86" s="1462" t="e">
        <v>#REF!</v>
      </c>
      <c r="W86" s="1462" t="e">
        <v>#REF!</v>
      </c>
      <c r="X86" s="1462" t="e">
        <v>#REF!</v>
      </c>
      <c r="Y86" s="1462" t="e">
        <v>#REF!</v>
      </c>
      <c r="Z86" s="1463" t="e">
        <v>#REF!</v>
      </c>
    </row>
    <row r="87" spans="2:26">
      <c r="B87" s="1160">
        <v>61</v>
      </c>
      <c r="C87" s="393" t="s">
        <v>945</v>
      </c>
      <c r="D87" s="393" t="s">
        <v>818</v>
      </c>
      <c r="E87" s="393" t="s">
        <v>819</v>
      </c>
      <c r="F87" s="394">
        <v>2014</v>
      </c>
      <c r="G87" s="394">
        <v>4</v>
      </c>
      <c r="H87" s="395">
        <v>0.20829189928953451</v>
      </c>
      <c r="I87" s="1161">
        <v>0.20829189928953451</v>
      </c>
      <c r="J87" s="395">
        <v>0</v>
      </c>
      <c r="K87" s="396">
        <v>0</v>
      </c>
      <c r="L87" s="396">
        <v>0</v>
      </c>
      <c r="M87" s="396">
        <v>0</v>
      </c>
      <c r="N87" s="397">
        <v>0</v>
      </c>
      <c r="O87" s="396">
        <v>0</v>
      </c>
      <c r="P87" s="398">
        <v>0</v>
      </c>
      <c r="Q87" s="398">
        <v>0</v>
      </c>
      <c r="R87" s="398">
        <v>0</v>
      </c>
      <c r="S87" s="397">
        <v>0.20829189928953451</v>
      </c>
      <c r="T87" s="1461" t="s">
        <v>946</v>
      </c>
      <c r="U87" s="1462" t="e">
        <v>#REF!</v>
      </c>
      <c r="V87" s="1462" t="e">
        <v>#REF!</v>
      </c>
      <c r="W87" s="1462" t="e">
        <v>#REF!</v>
      </c>
      <c r="X87" s="1462" t="e">
        <v>#REF!</v>
      </c>
      <c r="Y87" s="1462" t="e">
        <v>#REF!</v>
      </c>
      <c r="Z87" s="1463" t="e">
        <v>#REF!</v>
      </c>
    </row>
    <row r="88" spans="2:26">
      <c r="B88" s="1160">
        <v>62</v>
      </c>
      <c r="C88" s="393" t="s">
        <v>947</v>
      </c>
      <c r="D88" s="393" t="s">
        <v>818</v>
      </c>
      <c r="E88" s="393" t="s">
        <v>822</v>
      </c>
      <c r="F88" s="394">
        <v>2007</v>
      </c>
      <c r="G88" s="394">
        <v>40</v>
      </c>
      <c r="H88" s="395">
        <v>4.207454218938893</v>
      </c>
      <c r="I88" s="1161">
        <v>3.0724542189388933</v>
      </c>
      <c r="J88" s="395">
        <v>0</v>
      </c>
      <c r="K88" s="396">
        <v>0</v>
      </c>
      <c r="L88" s="396">
        <v>0</v>
      </c>
      <c r="M88" s="396">
        <v>0</v>
      </c>
      <c r="N88" s="397">
        <v>1.135</v>
      </c>
      <c r="O88" s="396">
        <v>3.0724542189388933</v>
      </c>
      <c r="P88" s="398">
        <v>0</v>
      </c>
      <c r="Q88" s="398">
        <v>0</v>
      </c>
      <c r="R88" s="398">
        <v>0</v>
      </c>
      <c r="S88" s="397">
        <v>0</v>
      </c>
      <c r="T88" s="1461" t="s">
        <v>948</v>
      </c>
      <c r="U88" s="1462" t="e">
        <v>#REF!</v>
      </c>
      <c r="V88" s="1462" t="e">
        <v>#REF!</v>
      </c>
      <c r="W88" s="1462" t="e">
        <v>#REF!</v>
      </c>
      <c r="X88" s="1462" t="e">
        <v>#REF!</v>
      </c>
      <c r="Y88" s="1462" t="e">
        <v>#REF!</v>
      </c>
      <c r="Z88" s="1463" t="e">
        <v>#REF!</v>
      </c>
    </row>
    <row r="89" spans="2:26">
      <c r="B89" s="1160">
        <v>63</v>
      </c>
      <c r="C89" s="393" t="s">
        <v>949</v>
      </c>
      <c r="D89" s="393" t="s">
        <v>818</v>
      </c>
      <c r="E89" s="393" t="s">
        <v>819</v>
      </c>
      <c r="F89" s="394">
        <v>2014</v>
      </c>
      <c r="G89" s="394">
        <v>24</v>
      </c>
      <c r="H89" s="395">
        <v>1.9787730432505775</v>
      </c>
      <c r="I89" s="1161">
        <v>1.9787730432505775</v>
      </c>
      <c r="J89" s="395">
        <v>0</v>
      </c>
      <c r="K89" s="396">
        <v>0</v>
      </c>
      <c r="L89" s="396">
        <v>0</v>
      </c>
      <c r="M89" s="396">
        <v>0</v>
      </c>
      <c r="N89" s="397">
        <v>0</v>
      </c>
      <c r="O89" s="396">
        <v>0</v>
      </c>
      <c r="P89" s="398">
        <v>0</v>
      </c>
      <c r="Q89" s="398">
        <v>0</v>
      </c>
      <c r="R89" s="398">
        <v>0</v>
      </c>
      <c r="S89" s="397">
        <v>1.9787730432505775</v>
      </c>
      <c r="T89" s="1461" t="s">
        <v>950</v>
      </c>
      <c r="U89" s="1462" t="e">
        <v>#REF!</v>
      </c>
      <c r="V89" s="1462" t="e">
        <v>#REF!</v>
      </c>
      <c r="W89" s="1462" t="e">
        <v>#REF!</v>
      </c>
      <c r="X89" s="1462" t="e">
        <v>#REF!</v>
      </c>
      <c r="Y89" s="1462" t="e">
        <v>#REF!</v>
      </c>
      <c r="Z89" s="1463" t="e">
        <v>#REF!</v>
      </c>
    </row>
    <row r="90" spans="2:26">
      <c r="B90" s="1160">
        <v>64</v>
      </c>
      <c r="C90" s="393" t="s">
        <v>951</v>
      </c>
      <c r="D90" s="393" t="s">
        <v>806</v>
      </c>
      <c r="E90" s="393" t="s">
        <v>819</v>
      </c>
      <c r="F90" s="394">
        <v>2012</v>
      </c>
      <c r="G90" s="394">
        <v>75</v>
      </c>
      <c r="H90" s="395">
        <v>6.0131983590203149</v>
      </c>
      <c r="I90" s="1161">
        <v>6.0131983590203149</v>
      </c>
      <c r="J90" s="395">
        <v>0</v>
      </c>
      <c r="K90" s="396">
        <v>0</v>
      </c>
      <c r="L90" s="396">
        <v>0</v>
      </c>
      <c r="M90" s="396">
        <v>0</v>
      </c>
      <c r="N90" s="397">
        <v>0</v>
      </c>
      <c r="O90" s="396">
        <v>0</v>
      </c>
      <c r="P90" s="398">
        <v>0</v>
      </c>
      <c r="Q90" s="398">
        <v>0</v>
      </c>
      <c r="R90" s="398">
        <v>2.9929658193220656</v>
      </c>
      <c r="S90" s="397">
        <v>3.0202325396982497</v>
      </c>
      <c r="T90" s="1461" t="s">
        <v>952</v>
      </c>
      <c r="U90" s="1462" t="e">
        <v>#REF!</v>
      </c>
      <c r="V90" s="1462" t="e">
        <v>#REF!</v>
      </c>
      <c r="W90" s="1462" t="e">
        <v>#REF!</v>
      </c>
      <c r="X90" s="1462" t="e">
        <v>#REF!</v>
      </c>
      <c r="Y90" s="1462" t="e">
        <v>#REF!</v>
      </c>
      <c r="Z90" s="1463" t="e">
        <v>#REF!</v>
      </c>
    </row>
    <row r="91" spans="2:26">
      <c r="B91" s="1160">
        <v>65</v>
      </c>
      <c r="C91" s="393" t="s">
        <v>953</v>
      </c>
      <c r="D91" s="393" t="s">
        <v>806</v>
      </c>
      <c r="E91" s="393" t="s">
        <v>827</v>
      </c>
      <c r="F91" s="394">
        <v>2013</v>
      </c>
      <c r="G91" s="394">
        <v>240</v>
      </c>
      <c r="H91" s="395">
        <v>1.0320571790765745</v>
      </c>
      <c r="I91" s="1161">
        <v>1.0320571790765745</v>
      </c>
      <c r="J91" s="395">
        <v>0</v>
      </c>
      <c r="K91" s="396">
        <v>0</v>
      </c>
      <c r="L91" s="396">
        <v>0</v>
      </c>
      <c r="M91" s="396">
        <v>0</v>
      </c>
      <c r="N91" s="397">
        <v>0</v>
      </c>
      <c r="O91" s="396">
        <v>0</v>
      </c>
      <c r="P91" s="398">
        <v>0</v>
      </c>
      <c r="Q91" s="398">
        <v>0</v>
      </c>
      <c r="R91" s="398">
        <v>1.0320571790765745</v>
      </c>
      <c r="S91" s="397">
        <v>0</v>
      </c>
      <c r="T91" s="1461" t="s">
        <v>954</v>
      </c>
      <c r="U91" s="1462" t="e">
        <v>#REF!</v>
      </c>
      <c r="V91" s="1462" t="e">
        <v>#REF!</v>
      </c>
      <c r="W91" s="1462" t="e">
        <v>#REF!</v>
      </c>
      <c r="X91" s="1462" t="e">
        <v>#REF!</v>
      </c>
      <c r="Y91" s="1462" t="e">
        <v>#REF!</v>
      </c>
      <c r="Z91" s="1463" t="e">
        <v>#REF!</v>
      </c>
    </row>
    <row r="92" spans="2:26">
      <c r="B92" s="1160">
        <v>66</v>
      </c>
      <c r="C92" s="393" t="s">
        <v>955</v>
      </c>
      <c r="D92" s="393" t="s">
        <v>818</v>
      </c>
      <c r="E92" s="393" t="s">
        <v>822</v>
      </c>
      <c r="F92" s="394">
        <v>2013</v>
      </c>
      <c r="G92" s="394">
        <v>24</v>
      </c>
      <c r="H92" s="395">
        <v>3.6127441646137721</v>
      </c>
      <c r="I92" s="1161">
        <v>3.6127441646137721</v>
      </c>
      <c r="J92" s="395">
        <v>0</v>
      </c>
      <c r="K92" s="396">
        <v>0</v>
      </c>
      <c r="L92" s="396">
        <v>0</v>
      </c>
      <c r="M92" s="396">
        <v>0</v>
      </c>
      <c r="N92" s="397">
        <v>0</v>
      </c>
      <c r="O92" s="396">
        <v>0</v>
      </c>
      <c r="P92" s="398">
        <v>0</v>
      </c>
      <c r="Q92" s="398">
        <v>1.0326012169223362</v>
      </c>
      <c r="R92" s="398">
        <v>2.5801429476914359</v>
      </c>
      <c r="S92" s="397">
        <v>0</v>
      </c>
      <c r="T92" s="1461" t="s">
        <v>956</v>
      </c>
      <c r="U92" s="1462" t="e">
        <v>#REF!</v>
      </c>
      <c r="V92" s="1462" t="e">
        <v>#REF!</v>
      </c>
      <c r="W92" s="1462" t="e">
        <v>#REF!</v>
      </c>
      <c r="X92" s="1462" t="e">
        <v>#REF!</v>
      </c>
      <c r="Y92" s="1462" t="e">
        <v>#REF!</v>
      </c>
      <c r="Z92" s="1463" t="e">
        <v>#REF!</v>
      </c>
    </row>
    <row r="93" spans="2:26">
      <c r="B93" s="1160">
        <v>67</v>
      </c>
      <c r="C93" s="393" t="s">
        <v>957</v>
      </c>
      <c r="D93" s="393" t="s">
        <v>818</v>
      </c>
      <c r="E93" s="393" t="s">
        <v>822</v>
      </c>
      <c r="F93" s="394">
        <v>2008</v>
      </c>
      <c r="G93" s="394">
        <v>32</v>
      </c>
      <c r="H93" s="395">
        <v>1.5767077340079112</v>
      </c>
      <c r="I93" s="1161">
        <v>1.5767077340079112</v>
      </c>
      <c r="J93" s="395">
        <v>0</v>
      </c>
      <c r="K93" s="396">
        <v>0</v>
      </c>
      <c r="L93" s="396">
        <v>0</v>
      </c>
      <c r="M93" s="396">
        <v>0</v>
      </c>
      <c r="N93" s="397">
        <v>0</v>
      </c>
      <c r="O93" s="396">
        <v>1.0594669720478942</v>
      </c>
      <c r="P93" s="398">
        <v>0.517240761960017</v>
      </c>
      <c r="Q93" s="398">
        <v>0</v>
      </c>
      <c r="R93" s="398">
        <v>0</v>
      </c>
      <c r="S93" s="397">
        <v>0</v>
      </c>
      <c r="T93" s="1461" t="s">
        <v>958</v>
      </c>
      <c r="U93" s="1462" t="e">
        <v>#REF!</v>
      </c>
      <c r="V93" s="1462" t="e">
        <v>#REF!</v>
      </c>
      <c r="W93" s="1462" t="e">
        <v>#REF!</v>
      </c>
      <c r="X93" s="1462" t="e">
        <v>#REF!</v>
      </c>
      <c r="Y93" s="1462" t="e">
        <v>#REF!</v>
      </c>
      <c r="Z93" s="1463" t="e">
        <v>#REF!</v>
      </c>
    </row>
    <row r="94" spans="2:26">
      <c r="B94" s="1160">
        <v>68</v>
      </c>
      <c r="C94" s="393" t="s">
        <v>959</v>
      </c>
      <c r="D94" s="393" t="s">
        <v>806</v>
      </c>
      <c r="E94" s="393" t="s">
        <v>827</v>
      </c>
      <c r="F94" s="394">
        <v>2010</v>
      </c>
      <c r="G94" s="394">
        <v>181</v>
      </c>
      <c r="H94" s="395">
        <v>3.5103000996901814</v>
      </c>
      <c r="I94" s="1161">
        <v>3.5103000996901814</v>
      </c>
      <c r="J94" s="395">
        <v>0</v>
      </c>
      <c r="K94" s="396">
        <v>0</v>
      </c>
      <c r="L94" s="396">
        <v>0</v>
      </c>
      <c r="M94" s="396">
        <v>0</v>
      </c>
      <c r="N94" s="397">
        <v>0</v>
      </c>
      <c r="O94" s="396">
        <v>0</v>
      </c>
      <c r="P94" s="398">
        <v>0</v>
      </c>
      <c r="Q94" s="398">
        <v>2.478242920613607</v>
      </c>
      <c r="R94" s="398">
        <v>1.0320571790765745</v>
      </c>
      <c r="S94" s="397">
        <v>0</v>
      </c>
      <c r="T94" s="1461" t="s">
        <v>960</v>
      </c>
      <c r="U94" s="1462" t="e">
        <v>#REF!</v>
      </c>
      <c r="V94" s="1462" t="e">
        <v>#REF!</v>
      </c>
      <c r="W94" s="1462" t="e">
        <v>#REF!</v>
      </c>
      <c r="X94" s="1462" t="e">
        <v>#REF!</v>
      </c>
      <c r="Y94" s="1462" t="e">
        <v>#REF!</v>
      </c>
      <c r="Z94" s="1463" t="e">
        <v>#REF!</v>
      </c>
    </row>
    <row r="95" spans="2:26">
      <c r="B95" s="1160">
        <v>69</v>
      </c>
      <c r="C95" s="393" t="s">
        <v>961</v>
      </c>
      <c r="D95" s="393" t="s">
        <v>818</v>
      </c>
      <c r="E95" s="393" t="s">
        <v>819</v>
      </c>
      <c r="F95" s="394">
        <v>2011</v>
      </c>
      <c r="G95" s="394">
        <v>27</v>
      </c>
      <c r="H95" s="395">
        <v>0.20652024338446728</v>
      </c>
      <c r="I95" s="1161">
        <v>0.20652024338446728</v>
      </c>
      <c r="J95" s="395">
        <v>0</v>
      </c>
      <c r="K95" s="396">
        <v>0</v>
      </c>
      <c r="L95" s="396">
        <v>0</v>
      </c>
      <c r="M95" s="396">
        <v>0</v>
      </c>
      <c r="N95" s="397">
        <v>0</v>
      </c>
      <c r="O95" s="396">
        <v>0</v>
      </c>
      <c r="P95" s="398">
        <v>0</v>
      </c>
      <c r="Q95" s="398">
        <v>0.20652024338446728</v>
      </c>
      <c r="R95" s="398">
        <v>0</v>
      </c>
      <c r="S95" s="397">
        <v>0</v>
      </c>
      <c r="T95" s="1461" t="s">
        <v>962</v>
      </c>
      <c r="U95" s="1462" t="e">
        <v>#REF!</v>
      </c>
      <c r="V95" s="1462" t="e">
        <v>#REF!</v>
      </c>
      <c r="W95" s="1462" t="e">
        <v>#REF!</v>
      </c>
      <c r="X95" s="1462" t="e">
        <v>#REF!</v>
      </c>
      <c r="Y95" s="1462" t="e">
        <v>#REF!</v>
      </c>
      <c r="Z95" s="1463" t="e">
        <v>#REF!</v>
      </c>
    </row>
    <row r="96" spans="2:26">
      <c r="B96" s="1160">
        <v>70</v>
      </c>
      <c r="C96" s="393">
        <v>0</v>
      </c>
      <c r="D96" s="393">
        <v>0</v>
      </c>
      <c r="E96" s="393">
        <v>0</v>
      </c>
      <c r="F96" s="394">
        <v>0</v>
      </c>
      <c r="G96" s="394">
        <v>0</v>
      </c>
      <c r="H96" s="395">
        <v>0</v>
      </c>
      <c r="I96" s="1161">
        <v>0</v>
      </c>
      <c r="J96" s="395">
        <v>0</v>
      </c>
      <c r="K96" s="396">
        <v>0</v>
      </c>
      <c r="L96" s="396">
        <v>0</v>
      </c>
      <c r="M96" s="396">
        <v>0</v>
      </c>
      <c r="N96" s="397">
        <v>0</v>
      </c>
      <c r="O96" s="396">
        <v>0</v>
      </c>
      <c r="P96" s="398">
        <v>0</v>
      </c>
      <c r="Q96" s="398">
        <v>0</v>
      </c>
      <c r="R96" s="398">
        <v>0</v>
      </c>
      <c r="S96" s="397">
        <v>0</v>
      </c>
      <c r="T96" s="1461">
        <v>0</v>
      </c>
      <c r="U96" s="1462" t="e">
        <v>#REF!</v>
      </c>
      <c r="V96" s="1462" t="e">
        <v>#REF!</v>
      </c>
      <c r="W96" s="1462" t="e">
        <v>#REF!</v>
      </c>
      <c r="X96" s="1462" t="e">
        <v>#REF!</v>
      </c>
      <c r="Y96" s="1462" t="e">
        <v>#REF!</v>
      </c>
      <c r="Z96" s="1463" t="e">
        <v>#REF!</v>
      </c>
    </row>
    <row r="97" spans="2:26">
      <c r="B97" s="1162"/>
      <c r="C97" s="1163"/>
      <c r="D97" s="393"/>
      <c r="E97" s="393"/>
      <c r="F97" s="394"/>
      <c r="G97" s="1163"/>
      <c r="H97" s="1164"/>
      <c r="I97" s="1165"/>
      <c r="J97" s="396"/>
      <c r="K97" s="396"/>
      <c r="L97" s="396"/>
      <c r="M97" s="396"/>
      <c r="N97" s="1166"/>
      <c r="O97" s="1167"/>
      <c r="P97" s="398"/>
      <c r="Q97" s="398"/>
      <c r="R97" s="398"/>
      <c r="S97" s="1166"/>
      <c r="T97" s="886"/>
      <c r="U97" s="887"/>
      <c r="V97" s="887"/>
      <c r="W97" s="887"/>
      <c r="X97" s="887"/>
      <c r="Y97" s="887"/>
      <c r="Z97" s="888"/>
    </row>
    <row r="98" spans="2:26" ht="13.5" thickBot="1">
      <c r="B98" s="1168"/>
      <c r="C98" s="1169" t="s">
        <v>809</v>
      </c>
      <c r="D98" s="1170"/>
      <c r="E98" s="1170"/>
      <c r="F98" s="1170"/>
      <c r="G98" s="1171">
        <v>3262.75</v>
      </c>
      <c r="H98" s="1172">
        <v>168.72469062745364</v>
      </c>
      <c r="I98" s="1173">
        <v>167.0221906274536</v>
      </c>
      <c r="J98" s="1174">
        <v>0</v>
      </c>
      <c r="K98" s="1174">
        <v>0</v>
      </c>
      <c r="L98" s="1174">
        <v>0</v>
      </c>
      <c r="M98" s="1174">
        <v>0</v>
      </c>
      <c r="N98" s="1175">
        <v>1.7025000000000001</v>
      </c>
      <c r="O98" s="1176">
        <v>24.261793659896771</v>
      </c>
      <c r="P98" s="1174">
        <v>29.999964193680984</v>
      </c>
      <c r="Q98" s="399">
        <v>37.276903930896339</v>
      </c>
      <c r="R98" s="399">
        <v>36.741235575126048</v>
      </c>
      <c r="S98" s="1177">
        <v>38.742293267853412</v>
      </c>
      <c r="T98" s="1178"/>
      <c r="U98" s="1179"/>
      <c r="V98" s="1179"/>
      <c r="W98" s="1179"/>
      <c r="X98" s="1179"/>
      <c r="Y98" s="1179"/>
      <c r="Z98" s="1180"/>
    </row>
  </sheetData>
  <mergeCells count="72">
    <mergeCell ref="T36:Z36"/>
    <mergeCell ref="T25:Z25"/>
    <mergeCell ref="T26:Z26"/>
    <mergeCell ref="T27:Z27"/>
    <mergeCell ref="T28:Z28"/>
    <mergeCell ref="T29:Z29"/>
    <mergeCell ref="T30:Z30"/>
    <mergeCell ref="T31:Z31"/>
    <mergeCell ref="T32:Z32"/>
    <mergeCell ref="T33:Z33"/>
    <mergeCell ref="T34:Z34"/>
    <mergeCell ref="T35:Z35"/>
    <mergeCell ref="T52:Z52"/>
    <mergeCell ref="T37:Z37"/>
    <mergeCell ref="T38:Z38"/>
    <mergeCell ref="T39:Z39"/>
    <mergeCell ref="T40:Z40"/>
    <mergeCell ref="T45:Z45"/>
    <mergeCell ref="T46:Z46"/>
    <mergeCell ref="T41:Z41"/>
    <mergeCell ref="T42:Z42"/>
    <mergeCell ref="T43:Z43"/>
    <mergeCell ref="T44:Z44"/>
    <mergeCell ref="T47:Z47"/>
    <mergeCell ref="T48:Z48"/>
    <mergeCell ref="T49:Z49"/>
    <mergeCell ref="T50:Z50"/>
    <mergeCell ref="T51:Z51"/>
    <mergeCell ref="T64:Z64"/>
    <mergeCell ref="T53:Z53"/>
    <mergeCell ref="T54:Z54"/>
    <mergeCell ref="T55:Z55"/>
    <mergeCell ref="T56:Z56"/>
    <mergeCell ref="T57:Z57"/>
    <mergeCell ref="T58:Z58"/>
    <mergeCell ref="T59:Z59"/>
    <mergeCell ref="T60:Z60"/>
    <mergeCell ref="T61:Z61"/>
    <mergeCell ref="T62:Z62"/>
    <mergeCell ref="T63:Z63"/>
    <mergeCell ref="T76:Z76"/>
    <mergeCell ref="T65:Z65"/>
    <mergeCell ref="T66:Z66"/>
    <mergeCell ref="T67:Z67"/>
    <mergeCell ref="T68:Z68"/>
    <mergeCell ref="T69:Z69"/>
    <mergeCell ref="T70:Z70"/>
    <mergeCell ref="T71:Z71"/>
    <mergeCell ref="T72:Z72"/>
    <mergeCell ref="T73:Z73"/>
    <mergeCell ref="T74:Z74"/>
    <mergeCell ref="T75:Z75"/>
    <mergeCell ref="T88:Z88"/>
    <mergeCell ref="T77:Z77"/>
    <mergeCell ref="T78:Z78"/>
    <mergeCell ref="T79:Z79"/>
    <mergeCell ref="T80:Z80"/>
    <mergeCell ref="T81:Z81"/>
    <mergeCell ref="T82:Z82"/>
    <mergeCell ref="T83:Z83"/>
    <mergeCell ref="T84:Z84"/>
    <mergeCell ref="T85:Z85"/>
    <mergeCell ref="T86:Z86"/>
    <mergeCell ref="T87:Z87"/>
    <mergeCell ref="T95:Z95"/>
    <mergeCell ref="T96:Z96"/>
    <mergeCell ref="T89:Z89"/>
    <mergeCell ref="T90:Z90"/>
    <mergeCell ref="T91:Z91"/>
    <mergeCell ref="T92:Z92"/>
    <mergeCell ref="T93:Z93"/>
    <mergeCell ref="T94:Z94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D19" sqref="D19"/>
    </sheetView>
  </sheetViews>
  <sheetFormatPr defaultColWidth="8.85546875" defaultRowHeight="12.75"/>
  <cols>
    <col min="1" max="1" width="8.85546875" customWidth="1"/>
    <col min="2" max="2" width="10.42578125" customWidth="1"/>
    <col min="3" max="3" width="14.140625" customWidth="1"/>
  </cols>
  <sheetData>
    <row r="1" spans="1:19">
      <c r="A1" s="896" t="s">
        <v>498</v>
      </c>
      <c r="F1" s="891" t="s">
        <v>774</v>
      </c>
    </row>
    <row r="2" spans="1:19">
      <c r="A2" s="896"/>
    </row>
    <row r="3" spans="1:19">
      <c r="A3" s="896" t="s">
        <v>205</v>
      </c>
    </row>
    <row r="6" spans="1:19">
      <c r="B6" s="1084" t="s">
        <v>206</v>
      </c>
      <c r="C6" s="1085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</row>
    <row r="7" spans="1:19" ht="13.5" thickBot="1">
      <c r="B7" s="1085"/>
      <c r="C7" s="1085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1085"/>
      <c r="S7" s="1085"/>
    </row>
    <row r="8" spans="1:19">
      <c r="B8" s="1086"/>
      <c r="C8" s="1087"/>
      <c r="D8" s="1088" t="s">
        <v>207</v>
      </c>
      <c r="E8" s="1089"/>
      <c r="F8" s="1090"/>
      <c r="G8" s="1088" t="s">
        <v>186</v>
      </c>
      <c r="H8" s="1089"/>
      <c r="I8" s="1090"/>
      <c r="J8" s="1085"/>
      <c r="K8" s="1085"/>
      <c r="L8" s="1085"/>
      <c r="M8" s="1085"/>
      <c r="N8" s="1085"/>
      <c r="O8" s="1085"/>
      <c r="P8" s="1085"/>
      <c r="Q8" s="1085"/>
      <c r="R8" s="1085"/>
      <c r="S8" s="1085"/>
    </row>
    <row r="9" spans="1:19">
      <c r="B9" s="1091"/>
      <c r="C9" s="1092"/>
      <c r="D9" s="1093" t="s">
        <v>806</v>
      </c>
      <c r="E9" s="1094" t="s">
        <v>808</v>
      </c>
      <c r="F9" s="1095" t="s">
        <v>802</v>
      </c>
      <c r="G9" s="1093" t="s">
        <v>806</v>
      </c>
      <c r="H9" s="1094" t="s">
        <v>808</v>
      </c>
      <c r="I9" s="1095" t="s">
        <v>802</v>
      </c>
      <c r="J9" s="1085"/>
      <c r="K9" s="1085"/>
      <c r="L9" s="1085"/>
      <c r="M9" s="1085"/>
      <c r="N9" s="1085"/>
      <c r="O9" s="1085"/>
      <c r="P9" s="1085"/>
      <c r="Q9" s="1085"/>
      <c r="R9" s="1085"/>
      <c r="S9" s="1085"/>
    </row>
    <row r="10" spans="1:19">
      <c r="B10" s="1096" t="s">
        <v>410</v>
      </c>
      <c r="C10" s="1097"/>
      <c r="D10" s="408">
        <v>50</v>
      </c>
      <c r="E10" s="409">
        <v>175</v>
      </c>
      <c r="F10" s="410">
        <v>411</v>
      </c>
      <c r="G10" s="408">
        <v>51</v>
      </c>
      <c r="H10" s="409">
        <v>177</v>
      </c>
      <c r="I10" s="410">
        <v>420</v>
      </c>
      <c r="J10" s="1085"/>
      <c r="K10" s="1085"/>
      <c r="L10" s="1085"/>
      <c r="M10" s="1085"/>
      <c r="N10" s="1085"/>
      <c r="O10" s="1085"/>
      <c r="P10" s="1085"/>
      <c r="Q10" s="1085"/>
      <c r="R10" s="1085"/>
      <c r="S10" s="1085"/>
    </row>
    <row r="11" spans="1:19">
      <c r="B11" s="1096" t="s">
        <v>172</v>
      </c>
      <c r="C11" s="1097"/>
      <c r="D11" s="411">
        <v>5</v>
      </c>
      <c r="E11" s="412">
        <v>12</v>
      </c>
      <c r="F11" s="413">
        <v>32</v>
      </c>
      <c r="G11" s="411">
        <v>5</v>
      </c>
      <c r="H11" s="412">
        <v>10</v>
      </c>
      <c r="I11" s="413">
        <v>30</v>
      </c>
      <c r="J11" s="1085"/>
      <c r="K11" s="1085"/>
      <c r="L11" s="1085"/>
      <c r="M11" s="1085"/>
      <c r="N11" s="1085"/>
      <c r="O11" s="1085"/>
      <c r="P11" s="1085"/>
      <c r="Q11" s="1085"/>
      <c r="R11" s="1085"/>
      <c r="S11" s="1085"/>
    </row>
    <row r="12" spans="1:19" ht="13.5" thickBot="1">
      <c r="B12" s="1098" t="s">
        <v>295</v>
      </c>
      <c r="C12" s="1099"/>
      <c r="D12" s="414">
        <v>5</v>
      </c>
      <c r="E12" s="415">
        <v>12</v>
      </c>
      <c r="F12" s="416">
        <v>32</v>
      </c>
      <c r="G12" s="414">
        <v>5</v>
      </c>
      <c r="H12" s="415">
        <v>10</v>
      </c>
      <c r="I12" s="416">
        <v>30</v>
      </c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</row>
    <row r="13" spans="1:19">
      <c r="B13" s="1085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</row>
    <row r="14" spans="1:19">
      <c r="B14" s="1084" t="s">
        <v>296</v>
      </c>
      <c r="C14" s="1085"/>
      <c r="D14" s="1085"/>
      <c r="E14" s="1085"/>
      <c r="F14" s="1085"/>
      <c r="G14" s="1085"/>
      <c r="H14" s="1085"/>
      <c r="I14" s="1085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</row>
    <row r="15" spans="1:19" ht="13.5" thickBot="1">
      <c r="B15" s="1085"/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5"/>
      <c r="Q15" s="1085"/>
      <c r="R15" s="1085"/>
      <c r="S15" s="1085"/>
    </row>
    <row r="16" spans="1:19">
      <c r="B16" s="1086" t="s">
        <v>199</v>
      </c>
      <c r="C16" s="1087"/>
      <c r="D16" s="1088" t="s">
        <v>645</v>
      </c>
      <c r="E16" s="1089"/>
      <c r="F16" s="1090"/>
      <c r="G16" s="1088" t="s">
        <v>646</v>
      </c>
      <c r="H16" s="1089"/>
      <c r="I16" s="1090"/>
      <c r="J16" s="1085"/>
      <c r="K16" s="1085"/>
      <c r="L16" s="1085"/>
      <c r="M16" s="1085"/>
      <c r="N16" s="1085"/>
      <c r="O16" s="1085"/>
      <c r="P16" s="1085"/>
      <c r="Q16" s="1085"/>
      <c r="R16" s="1085"/>
      <c r="S16" s="1085"/>
    </row>
    <row r="17" spans="2:19">
      <c r="B17" s="1091"/>
      <c r="C17" s="1092"/>
      <c r="D17" s="1093" t="s">
        <v>806</v>
      </c>
      <c r="E17" s="1094" t="s">
        <v>808</v>
      </c>
      <c r="F17" s="1095" t="s">
        <v>802</v>
      </c>
      <c r="G17" s="1093" t="s">
        <v>806</v>
      </c>
      <c r="H17" s="1094" t="s">
        <v>808</v>
      </c>
      <c r="I17" s="1095" t="s">
        <v>802</v>
      </c>
      <c r="J17" s="1085"/>
      <c r="K17" s="1085"/>
      <c r="L17" s="1085"/>
      <c r="M17" s="1085"/>
      <c r="N17" s="1085"/>
      <c r="O17" s="1085"/>
      <c r="P17" s="1085"/>
      <c r="Q17" s="1085"/>
      <c r="R17" s="1085"/>
      <c r="S17" s="1085"/>
    </row>
    <row r="18" spans="2:19">
      <c r="B18" s="1096" t="s">
        <v>200</v>
      </c>
      <c r="C18" s="1100"/>
      <c r="D18" s="411">
        <v>0</v>
      </c>
      <c r="E18" s="412">
        <v>0</v>
      </c>
      <c r="F18" s="417">
        <v>0</v>
      </c>
      <c r="G18" s="411">
        <v>1</v>
      </c>
      <c r="H18" s="412">
        <v>3</v>
      </c>
      <c r="I18" s="417">
        <v>3</v>
      </c>
      <c r="J18" s="1085"/>
      <c r="K18" s="1085"/>
      <c r="L18" s="1085"/>
      <c r="M18" s="1085"/>
      <c r="N18" s="1085"/>
      <c r="O18" s="1085"/>
      <c r="P18" s="1085"/>
      <c r="Q18" s="1085"/>
      <c r="R18" s="1085"/>
      <c r="S18" s="1085"/>
    </row>
    <row r="19" spans="2:19">
      <c r="B19" s="1096" t="s">
        <v>333</v>
      </c>
      <c r="C19" s="1100"/>
      <c r="D19" s="411">
        <v>0</v>
      </c>
      <c r="E19" s="412">
        <v>0</v>
      </c>
      <c r="F19" s="417">
        <v>0</v>
      </c>
      <c r="G19" s="411">
        <v>0</v>
      </c>
      <c r="H19" s="412">
        <v>0</v>
      </c>
      <c r="I19" s="417">
        <v>0</v>
      </c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</row>
    <row r="20" spans="2:19" ht="13.5" thickBot="1">
      <c r="B20" s="1098" t="s">
        <v>334</v>
      </c>
      <c r="C20" s="1099"/>
      <c r="D20" s="414">
        <v>0</v>
      </c>
      <c r="E20" s="418">
        <v>0</v>
      </c>
      <c r="F20" s="416">
        <v>0</v>
      </c>
      <c r="G20" s="414">
        <v>0</v>
      </c>
      <c r="H20" s="418">
        <v>0</v>
      </c>
      <c r="I20" s="416">
        <v>0</v>
      </c>
      <c r="J20" s="1085"/>
      <c r="K20" s="1085"/>
      <c r="L20" s="1085"/>
      <c r="M20" s="1085"/>
      <c r="N20" s="1085"/>
      <c r="O20" s="1085"/>
      <c r="P20" s="1085"/>
      <c r="Q20" s="1085"/>
      <c r="R20" s="1085"/>
      <c r="S20" s="1085"/>
    </row>
    <row r="21" spans="2:19">
      <c r="B21" s="1085"/>
      <c r="C21" s="1085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5"/>
      <c r="S21" s="1085"/>
    </row>
    <row r="22" spans="2:19">
      <c r="B22" s="1084" t="s">
        <v>335</v>
      </c>
      <c r="C22" s="1085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5"/>
      <c r="O22" s="1085"/>
      <c r="P22" s="1085"/>
      <c r="Q22" s="1085"/>
      <c r="R22" s="1085"/>
      <c r="S22" s="1085"/>
    </row>
    <row r="23" spans="2:19" ht="13.5" thickBot="1">
      <c r="B23" s="1084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</row>
    <row r="24" spans="2:19">
      <c r="B24" s="1101"/>
      <c r="C24" s="1102" t="s">
        <v>645</v>
      </c>
      <c r="D24" s="1103"/>
      <c r="E24" s="1103"/>
      <c r="F24" s="1103"/>
      <c r="G24" s="1104"/>
      <c r="H24" s="1102" t="s">
        <v>646</v>
      </c>
      <c r="I24" s="1105"/>
      <c r="J24" s="1105"/>
      <c r="K24" s="1105"/>
      <c r="L24" s="1104"/>
      <c r="M24" s="419"/>
      <c r="N24" s="1062" t="s">
        <v>645</v>
      </c>
      <c r="O24" s="1063"/>
      <c r="P24" s="1064"/>
      <c r="Q24" s="419"/>
      <c r="R24" s="1062" t="s">
        <v>646</v>
      </c>
      <c r="S24" s="1064"/>
    </row>
    <row r="25" spans="2:19" ht="25.5">
      <c r="B25" s="1106"/>
      <c r="C25" s="1065" t="s">
        <v>560</v>
      </c>
      <c r="D25" s="1066" t="s">
        <v>561</v>
      </c>
      <c r="E25" s="1066" t="s">
        <v>557</v>
      </c>
      <c r="F25" s="1066" t="s">
        <v>562</v>
      </c>
      <c r="G25" s="1067" t="s">
        <v>563</v>
      </c>
      <c r="H25" s="1065" t="s">
        <v>647</v>
      </c>
      <c r="I25" s="1066" t="s">
        <v>666</v>
      </c>
      <c r="J25" s="1066" t="s">
        <v>667</v>
      </c>
      <c r="K25" s="1066" t="s">
        <v>668</v>
      </c>
      <c r="L25" s="1067" t="s">
        <v>669</v>
      </c>
      <c r="M25" s="419"/>
      <c r="N25" s="1065" t="s">
        <v>656</v>
      </c>
      <c r="O25" s="1066" t="s">
        <v>657</v>
      </c>
      <c r="P25" s="1067" t="s">
        <v>809</v>
      </c>
      <c r="Q25" s="419"/>
      <c r="R25" s="1065" t="s">
        <v>657</v>
      </c>
      <c r="S25" s="1067" t="s">
        <v>658</v>
      </c>
    </row>
    <row r="26" spans="2:19">
      <c r="B26" s="1107"/>
      <c r="C26" s="1108" t="s">
        <v>419</v>
      </c>
      <c r="D26" s="1109" t="s">
        <v>419</v>
      </c>
      <c r="E26" s="1109" t="s">
        <v>419</v>
      </c>
      <c r="F26" s="1109" t="s">
        <v>419</v>
      </c>
      <c r="G26" s="1110" t="s">
        <v>419</v>
      </c>
      <c r="H26" s="1108" t="s">
        <v>419</v>
      </c>
      <c r="I26" s="1109" t="s">
        <v>419</v>
      </c>
      <c r="J26" s="1109" t="s">
        <v>419</v>
      </c>
      <c r="K26" s="1109" t="s">
        <v>419</v>
      </c>
      <c r="L26" s="1110" t="s">
        <v>419</v>
      </c>
      <c r="M26" s="420"/>
      <c r="N26" s="1108" t="s">
        <v>419</v>
      </c>
      <c r="O26" s="1109" t="s">
        <v>419</v>
      </c>
      <c r="P26" s="1110" t="s">
        <v>419</v>
      </c>
      <c r="Q26" s="420"/>
      <c r="R26" s="1108" t="s">
        <v>419</v>
      </c>
      <c r="S26" s="1110" t="s">
        <v>419</v>
      </c>
    </row>
    <row r="27" spans="2:19">
      <c r="B27" s="1111" t="s">
        <v>420</v>
      </c>
      <c r="C27" s="1112"/>
      <c r="D27" s="1113"/>
      <c r="E27" s="1113"/>
      <c r="F27" s="1113"/>
      <c r="G27" s="1114"/>
      <c r="H27" s="1112"/>
      <c r="I27" s="1113"/>
      <c r="J27" s="1113"/>
      <c r="K27" s="1113"/>
      <c r="L27" s="1114"/>
      <c r="M27" s="420"/>
      <c r="N27" s="1112"/>
      <c r="O27" s="1115"/>
      <c r="P27" s="1116"/>
      <c r="Q27" s="420"/>
      <c r="R27" s="1112"/>
      <c r="S27" s="1117"/>
    </row>
    <row r="28" spans="2:19">
      <c r="B28" s="1118" t="s">
        <v>421</v>
      </c>
      <c r="C28" s="358">
        <v>0</v>
      </c>
      <c r="D28" s="359">
        <v>0</v>
      </c>
      <c r="E28" s="359">
        <v>0</v>
      </c>
      <c r="F28" s="359">
        <v>0</v>
      </c>
      <c r="G28" s="360">
        <v>0</v>
      </c>
      <c r="H28" s="358">
        <v>0</v>
      </c>
      <c r="I28" s="361">
        <v>0</v>
      </c>
      <c r="J28" s="361">
        <v>0</v>
      </c>
      <c r="K28" s="361">
        <v>0</v>
      </c>
      <c r="L28" s="360">
        <v>0</v>
      </c>
      <c r="M28" s="419"/>
      <c r="N28" s="1073">
        <v>0</v>
      </c>
      <c r="O28" s="1074">
        <v>0</v>
      </c>
      <c r="P28" s="1075">
        <v>0</v>
      </c>
      <c r="Q28" s="419"/>
      <c r="R28" s="1073">
        <v>0</v>
      </c>
      <c r="S28" s="1076" t="s">
        <v>816</v>
      </c>
    </row>
    <row r="29" spans="2:19">
      <c r="B29" s="1118" t="s">
        <v>802</v>
      </c>
      <c r="C29" s="358">
        <v>0</v>
      </c>
      <c r="D29" s="359">
        <v>0</v>
      </c>
      <c r="E29" s="359">
        <v>0.79757580115990068</v>
      </c>
      <c r="F29" s="359">
        <v>0</v>
      </c>
      <c r="G29" s="360">
        <v>0</v>
      </c>
      <c r="H29" s="358">
        <v>0.5297334860239471</v>
      </c>
      <c r="I29" s="361">
        <v>0</v>
      </c>
      <c r="J29" s="361">
        <v>0</v>
      </c>
      <c r="K29" s="361">
        <v>0.72244002535360208</v>
      </c>
      <c r="L29" s="360">
        <v>0</v>
      </c>
      <c r="M29" s="419"/>
      <c r="N29" s="1073">
        <v>0.79757580115990068</v>
      </c>
      <c r="O29" s="1074">
        <v>0</v>
      </c>
      <c r="P29" s="1075">
        <v>0.79757580115990068</v>
      </c>
      <c r="Q29" s="419"/>
      <c r="R29" s="1073">
        <v>1.2521735113775492</v>
      </c>
      <c r="S29" s="1076">
        <v>0.56997430157301021</v>
      </c>
    </row>
    <row r="30" spans="2:19">
      <c r="B30" s="1118" t="s">
        <v>422</v>
      </c>
      <c r="C30" s="358">
        <v>0</v>
      </c>
      <c r="D30" s="359">
        <v>0</v>
      </c>
      <c r="E30" s="359">
        <v>0.79757580115990068</v>
      </c>
      <c r="F30" s="359">
        <v>2.454108931623932</v>
      </c>
      <c r="G30" s="360">
        <v>0.66653071094507021</v>
      </c>
      <c r="H30" s="358">
        <v>3.6021877049628404</v>
      </c>
      <c r="I30" s="361">
        <v>0.72413706674402389</v>
      </c>
      <c r="J30" s="361">
        <v>1.0326012169223362</v>
      </c>
      <c r="K30" s="361">
        <v>1.6512914865225192</v>
      </c>
      <c r="L30" s="360">
        <v>0</v>
      </c>
      <c r="M30" s="419"/>
      <c r="N30" s="1073">
        <v>0.79757580115990068</v>
      </c>
      <c r="O30" s="1074">
        <v>3.1206396425690022</v>
      </c>
      <c r="P30" s="1075">
        <v>3.918215443728903</v>
      </c>
      <c r="Q30" s="419"/>
      <c r="R30" s="1073">
        <v>7.0102174751517197</v>
      </c>
      <c r="S30" s="1076">
        <v>0.78913527748239587</v>
      </c>
    </row>
    <row r="31" spans="2:19">
      <c r="B31" s="1118" t="s">
        <v>423</v>
      </c>
      <c r="C31" s="358">
        <v>0</v>
      </c>
      <c r="D31" s="359">
        <v>0</v>
      </c>
      <c r="E31" s="359">
        <v>2.093636478044739</v>
      </c>
      <c r="F31" s="359">
        <v>2.7887601495726493</v>
      </c>
      <c r="G31" s="360">
        <v>4.2213611693187794</v>
      </c>
      <c r="H31" s="358">
        <v>0</v>
      </c>
      <c r="I31" s="361">
        <v>0.517240761960017</v>
      </c>
      <c r="J31" s="361">
        <v>0.5163006084611681</v>
      </c>
      <c r="K31" s="361">
        <v>0</v>
      </c>
      <c r="L31" s="360">
        <v>0</v>
      </c>
      <c r="M31" s="419"/>
      <c r="N31" s="1073">
        <v>2.093636478044739</v>
      </c>
      <c r="O31" s="1074">
        <v>7.0101213188914286</v>
      </c>
      <c r="P31" s="1075">
        <v>9.1037577969361685</v>
      </c>
      <c r="Q31" s="419"/>
      <c r="R31" s="1073">
        <v>1.0335413704211851</v>
      </c>
      <c r="S31" s="1076">
        <v>-0.8864709064679841</v>
      </c>
    </row>
    <row r="32" spans="2:19" ht="13.5" thickBot="1">
      <c r="B32" s="1119" t="s">
        <v>424</v>
      </c>
      <c r="C32" s="1120">
        <v>0</v>
      </c>
      <c r="D32" s="1121">
        <v>0</v>
      </c>
      <c r="E32" s="1121">
        <v>3.6887880803645405</v>
      </c>
      <c r="F32" s="1121">
        <v>5.2428690811965808</v>
      </c>
      <c r="G32" s="1122">
        <v>4.8878918802638491</v>
      </c>
      <c r="H32" s="1120">
        <v>4.1319211909867875</v>
      </c>
      <c r="I32" s="1123">
        <v>1.2413778287040409</v>
      </c>
      <c r="J32" s="1123">
        <v>1.5489018253835043</v>
      </c>
      <c r="K32" s="1123">
        <v>2.3737315118761213</v>
      </c>
      <c r="L32" s="1122">
        <v>0</v>
      </c>
      <c r="M32" s="421"/>
      <c r="N32" s="1120">
        <v>3.6887880803645405</v>
      </c>
      <c r="O32" s="1123">
        <v>10.13076096146043</v>
      </c>
      <c r="P32" s="1122">
        <v>13.81954904182497</v>
      </c>
      <c r="Q32" s="421"/>
      <c r="R32" s="1120">
        <v>9.2959323569504537</v>
      </c>
      <c r="S32" s="1124">
        <v>-0.32733460919627377</v>
      </c>
    </row>
    <row r="33" spans="2:19"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308"/>
      <c r="N33" s="1085"/>
      <c r="O33" s="1085"/>
      <c r="P33" s="1085"/>
      <c r="Q33" s="308"/>
      <c r="R33" s="1085"/>
      <c r="S33" s="1085"/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zoomScale="80" workbookViewId="0">
      <selection activeCell="G23" sqref="G23"/>
    </sheetView>
  </sheetViews>
  <sheetFormatPr defaultColWidth="8.85546875" defaultRowHeight="12.75"/>
  <cols>
    <col min="1" max="1" width="8.85546875" customWidth="1"/>
    <col min="2" max="2" width="16.42578125" customWidth="1"/>
    <col min="3" max="3" width="20.42578125" customWidth="1"/>
  </cols>
  <sheetData>
    <row r="1" spans="1:20">
      <c r="A1" s="896" t="s">
        <v>498</v>
      </c>
      <c r="F1" s="891" t="s">
        <v>774</v>
      </c>
      <c r="G1" t="s">
        <v>499</v>
      </c>
    </row>
    <row r="2" spans="1:20">
      <c r="A2" s="896"/>
    </row>
    <row r="3" spans="1:20">
      <c r="A3" s="896" t="s">
        <v>500</v>
      </c>
    </row>
    <row r="5" spans="1:20" ht="19.5">
      <c r="B5" s="422" t="s">
        <v>641</v>
      </c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308"/>
      <c r="P5" s="308"/>
      <c r="Q5" s="308"/>
      <c r="R5" s="308"/>
      <c r="S5" s="308"/>
      <c r="T5" s="308"/>
    </row>
    <row r="6" spans="1:20" ht="15" thickBot="1"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308"/>
      <c r="O6" s="425"/>
      <c r="P6" s="425"/>
      <c r="Q6" s="425"/>
      <c r="R6" s="308"/>
      <c r="S6" s="425"/>
      <c r="T6" s="425"/>
    </row>
    <row r="7" spans="1:20" ht="15">
      <c r="B7" s="426" t="s">
        <v>642</v>
      </c>
      <c r="C7" s="427"/>
      <c r="D7" s="428" t="s">
        <v>643</v>
      </c>
      <c r="E7" s="429"/>
      <c r="F7" s="429"/>
      <c r="G7" s="429"/>
      <c r="H7" s="430"/>
      <c r="I7" s="428" t="s">
        <v>644</v>
      </c>
      <c r="J7" s="429"/>
      <c r="K7" s="429"/>
      <c r="L7" s="429"/>
      <c r="M7" s="430"/>
      <c r="N7" s="308"/>
      <c r="O7" s="1062" t="s">
        <v>645</v>
      </c>
      <c r="P7" s="1063"/>
      <c r="Q7" s="1064"/>
      <c r="R7" s="308"/>
      <c r="S7" s="1062" t="s">
        <v>646</v>
      </c>
      <c r="T7" s="1064"/>
    </row>
    <row r="8" spans="1:20" ht="25.5">
      <c r="B8" s="431"/>
      <c r="C8" s="432"/>
      <c r="D8" s="433" t="s">
        <v>560</v>
      </c>
      <c r="E8" s="434" t="s">
        <v>561</v>
      </c>
      <c r="F8" s="434" t="s">
        <v>557</v>
      </c>
      <c r="G8" s="434" t="s">
        <v>562</v>
      </c>
      <c r="H8" s="435" t="s">
        <v>563</v>
      </c>
      <c r="I8" s="433" t="s">
        <v>647</v>
      </c>
      <c r="J8" s="434" t="s">
        <v>666</v>
      </c>
      <c r="K8" s="434" t="s">
        <v>667</v>
      </c>
      <c r="L8" s="434" t="s">
        <v>668</v>
      </c>
      <c r="M8" s="435" t="s">
        <v>669</v>
      </c>
      <c r="N8" s="308"/>
      <c r="O8" s="1065" t="s">
        <v>656</v>
      </c>
      <c r="P8" s="1066" t="s">
        <v>657</v>
      </c>
      <c r="Q8" s="1067" t="s">
        <v>809</v>
      </c>
      <c r="R8" s="308"/>
      <c r="S8" s="1065" t="s">
        <v>657</v>
      </c>
      <c r="T8" s="1067" t="s">
        <v>658</v>
      </c>
    </row>
    <row r="9" spans="1:20" ht="18">
      <c r="B9" s="436"/>
      <c r="C9" s="437"/>
      <c r="D9" s="433" t="s">
        <v>542</v>
      </c>
      <c r="E9" s="434" t="s">
        <v>542</v>
      </c>
      <c r="F9" s="434" t="s">
        <v>542</v>
      </c>
      <c r="G9" s="434" t="s">
        <v>542</v>
      </c>
      <c r="H9" s="435" t="s">
        <v>542</v>
      </c>
      <c r="I9" s="438" t="s">
        <v>542</v>
      </c>
      <c r="J9" s="434" t="s">
        <v>542</v>
      </c>
      <c r="K9" s="434" t="s">
        <v>542</v>
      </c>
      <c r="L9" s="434" t="s">
        <v>542</v>
      </c>
      <c r="M9" s="435" t="s">
        <v>542</v>
      </c>
      <c r="N9" s="424"/>
      <c r="O9" s="1068"/>
      <c r="P9" s="1069"/>
      <c r="Q9" s="1070"/>
      <c r="R9" s="308"/>
      <c r="S9" s="1071"/>
      <c r="T9" s="1072"/>
    </row>
    <row r="10" spans="1:20" ht="14.25" customHeight="1">
      <c r="B10" s="1475" t="s">
        <v>632</v>
      </c>
      <c r="C10" s="439" t="s">
        <v>633</v>
      </c>
      <c r="D10" s="440">
        <v>0.29920762142543345</v>
      </c>
      <c r="E10" s="441">
        <v>0.29907656419407114</v>
      </c>
      <c r="F10" s="441">
        <v>1.0976789316002178</v>
      </c>
      <c r="G10" s="441">
        <v>4.0210204957240183</v>
      </c>
      <c r="H10" s="442">
        <v>2.3369847146460714</v>
      </c>
      <c r="I10" s="440">
        <v>1.9103522168597962</v>
      </c>
      <c r="J10" s="441">
        <v>1.8661899290299955</v>
      </c>
      <c r="K10" s="441">
        <v>1.8629502247538514</v>
      </c>
      <c r="L10" s="441">
        <v>1.9658635063471863</v>
      </c>
      <c r="M10" s="442">
        <v>1.983307357938886</v>
      </c>
      <c r="N10" s="424"/>
      <c r="O10" s="1073">
        <v>1.6959631172197223</v>
      </c>
      <c r="P10" s="1074">
        <v>6.3580052103700897</v>
      </c>
      <c r="Q10" s="1075">
        <v>8.0539683275898124</v>
      </c>
      <c r="R10" s="308"/>
      <c r="S10" s="1073">
        <v>9.5886632349297152</v>
      </c>
      <c r="T10" s="1076">
        <v>0.19055139589792344</v>
      </c>
    </row>
    <row r="11" spans="1:20" ht="14.25" customHeight="1">
      <c r="B11" s="1476"/>
      <c r="C11" s="443" t="s">
        <v>634</v>
      </c>
      <c r="D11" s="444">
        <v>1.6955098547441227</v>
      </c>
      <c r="E11" s="445">
        <v>2.3926125135525695</v>
      </c>
      <c r="F11" s="445">
        <v>3.5924037761461669</v>
      </c>
      <c r="G11" s="445">
        <v>0.33508504131033484</v>
      </c>
      <c r="H11" s="446">
        <v>0.77899490488202372</v>
      </c>
      <c r="I11" s="444">
        <v>1.2735681445731974</v>
      </c>
      <c r="J11" s="445">
        <v>1.3478038376327743</v>
      </c>
      <c r="K11" s="445">
        <v>1.4489612859196621</v>
      </c>
      <c r="L11" s="445">
        <v>1.6554640053449992</v>
      </c>
      <c r="M11" s="446">
        <v>1.7745381623663716</v>
      </c>
      <c r="N11" s="424"/>
      <c r="O11" s="1073">
        <v>7.680526144442859</v>
      </c>
      <c r="P11" s="1074">
        <v>1.1140799461923585</v>
      </c>
      <c r="Q11" s="1075">
        <v>8.7946060906352184</v>
      </c>
      <c r="R11" s="308"/>
      <c r="S11" s="1073">
        <v>7.5003354358370045</v>
      </c>
      <c r="T11" s="1076">
        <v>-0.14716641558015831</v>
      </c>
    </row>
    <row r="12" spans="1:20" ht="14.25" customHeight="1">
      <c r="B12" s="1476" t="s">
        <v>635</v>
      </c>
      <c r="C12" s="443" t="s">
        <v>633</v>
      </c>
      <c r="D12" s="444">
        <v>0</v>
      </c>
      <c r="E12" s="445">
        <v>0</v>
      </c>
      <c r="F12" s="445">
        <v>0</v>
      </c>
      <c r="G12" s="445">
        <v>0</v>
      </c>
      <c r="H12" s="446">
        <v>0</v>
      </c>
      <c r="I12" s="444">
        <v>0</v>
      </c>
      <c r="J12" s="445">
        <v>0</v>
      </c>
      <c r="K12" s="445">
        <v>0</v>
      </c>
      <c r="L12" s="445">
        <v>0</v>
      </c>
      <c r="M12" s="446">
        <v>0</v>
      </c>
      <c r="N12" s="424"/>
      <c r="O12" s="1073">
        <v>0</v>
      </c>
      <c r="P12" s="1074">
        <v>0</v>
      </c>
      <c r="Q12" s="1075">
        <v>0</v>
      </c>
      <c r="R12" s="308"/>
      <c r="S12" s="1073">
        <v>0</v>
      </c>
      <c r="T12" s="1076" t="s">
        <v>816</v>
      </c>
    </row>
    <row r="13" spans="1:20" ht="14.25" customHeight="1">
      <c r="B13" s="1476"/>
      <c r="C13" s="443" t="s">
        <v>634</v>
      </c>
      <c r="D13" s="444">
        <v>0</v>
      </c>
      <c r="E13" s="445">
        <v>0</v>
      </c>
      <c r="F13" s="445">
        <v>0</v>
      </c>
      <c r="G13" s="445">
        <v>0</v>
      </c>
      <c r="H13" s="446">
        <v>0</v>
      </c>
      <c r="I13" s="444">
        <v>0</v>
      </c>
      <c r="J13" s="445">
        <v>0</v>
      </c>
      <c r="K13" s="445">
        <v>0</v>
      </c>
      <c r="L13" s="445">
        <v>0</v>
      </c>
      <c r="M13" s="446">
        <v>0</v>
      </c>
      <c r="N13" s="424"/>
      <c r="O13" s="1073">
        <v>0</v>
      </c>
      <c r="P13" s="1074">
        <v>0</v>
      </c>
      <c r="Q13" s="1075">
        <v>0</v>
      </c>
      <c r="R13" s="308"/>
      <c r="S13" s="1073">
        <v>0</v>
      </c>
      <c r="T13" s="1076" t="s">
        <v>816</v>
      </c>
    </row>
    <row r="14" spans="1:20" ht="14.25" customHeight="1">
      <c r="B14" s="1477" t="s">
        <v>487</v>
      </c>
      <c r="C14" s="443" t="s">
        <v>659</v>
      </c>
      <c r="D14" s="444">
        <v>0.39894349523391126</v>
      </c>
      <c r="E14" s="445">
        <v>0.49846094032345195</v>
      </c>
      <c r="F14" s="445">
        <v>0.69852295647286589</v>
      </c>
      <c r="G14" s="445">
        <v>4.9145806058849111</v>
      </c>
      <c r="H14" s="446">
        <v>4.7852544157038608</v>
      </c>
      <c r="I14" s="444">
        <v>1.2735681445731974</v>
      </c>
      <c r="J14" s="445">
        <v>1.2441266193533302</v>
      </c>
      <c r="K14" s="445">
        <v>1.3454640512111147</v>
      </c>
      <c r="L14" s="445">
        <v>1.3450645043428118</v>
      </c>
      <c r="M14" s="446">
        <v>1.3569997712213433</v>
      </c>
      <c r="N14" s="424"/>
      <c r="O14" s="1073">
        <v>1.595927392030229</v>
      </c>
      <c r="P14" s="1074">
        <v>9.6998350215887719</v>
      </c>
      <c r="Q14" s="1075">
        <v>11.295762413619002</v>
      </c>
      <c r="R14" s="308"/>
      <c r="S14" s="1073">
        <v>6.5652230907017977</v>
      </c>
      <c r="T14" s="1076">
        <v>-0.41878884750742618</v>
      </c>
    </row>
    <row r="15" spans="1:20" ht="14.25" customHeight="1">
      <c r="B15" s="1477"/>
      <c r="C15" s="443" t="s">
        <v>660</v>
      </c>
      <c r="D15" s="444">
        <v>1.3963022333186894</v>
      </c>
      <c r="E15" s="445">
        <v>2.4923047016172597</v>
      </c>
      <c r="F15" s="445">
        <v>3.9915597512735186</v>
      </c>
      <c r="G15" s="445">
        <v>0.33508504131033484</v>
      </c>
      <c r="H15" s="446">
        <v>0.77899490488202372</v>
      </c>
      <c r="I15" s="444">
        <v>0.84904542971546504</v>
      </c>
      <c r="J15" s="445">
        <v>0.82941774623555353</v>
      </c>
      <c r="K15" s="445">
        <v>1.2419668165025675</v>
      </c>
      <c r="L15" s="445">
        <v>1.5519975050109367</v>
      </c>
      <c r="M15" s="446">
        <v>1.7745381623663721</v>
      </c>
      <c r="N15" s="424"/>
      <c r="O15" s="1073">
        <v>7.8801666862094679</v>
      </c>
      <c r="P15" s="1074">
        <v>1.1140799461923585</v>
      </c>
      <c r="Q15" s="1075">
        <v>8.9942466324018273</v>
      </c>
      <c r="R15" s="308"/>
      <c r="S15" s="1073">
        <v>6.2469656598308951</v>
      </c>
      <c r="T15" s="1076">
        <v>-0.30544870347159886</v>
      </c>
    </row>
    <row r="16" spans="1:20" ht="14.25" customHeight="1">
      <c r="B16" s="1477"/>
      <c r="C16" s="447" t="s">
        <v>787</v>
      </c>
      <c r="D16" s="444">
        <v>0.59841524285086689</v>
      </c>
      <c r="E16" s="445">
        <v>0.89722969258221341</v>
      </c>
      <c r="F16" s="445">
        <v>1.1974679253820557</v>
      </c>
      <c r="G16" s="445">
        <v>0.55847506885055809</v>
      </c>
      <c r="H16" s="446">
        <v>1.1128498641171767</v>
      </c>
      <c r="I16" s="444">
        <v>0.84904542971546504</v>
      </c>
      <c r="J16" s="445">
        <v>0.93309496451499774</v>
      </c>
      <c r="K16" s="445">
        <v>1.034972347085473</v>
      </c>
      <c r="L16" s="445">
        <v>1.1381315036746869</v>
      </c>
      <c r="M16" s="446">
        <v>1.2526151734350861</v>
      </c>
      <c r="N16" s="424"/>
      <c r="O16" s="1073">
        <v>2.6931128608151358</v>
      </c>
      <c r="P16" s="1074">
        <v>1.6713249329677349</v>
      </c>
      <c r="Q16" s="1075">
        <v>4.3644377937828711</v>
      </c>
      <c r="R16" s="308"/>
      <c r="S16" s="1073">
        <v>5.2078594184257083</v>
      </c>
      <c r="T16" s="1076">
        <v>0.1932486300627973</v>
      </c>
    </row>
    <row r="17" spans="2:20" ht="14.25" customHeight="1">
      <c r="B17" s="1477" t="s">
        <v>802</v>
      </c>
      <c r="C17" s="443" t="s">
        <v>788</v>
      </c>
      <c r="D17" s="444">
        <v>2.7926044666373793</v>
      </c>
      <c r="E17" s="445">
        <v>2.7913812658113311</v>
      </c>
      <c r="F17" s="445">
        <v>2.7940918258914631</v>
      </c>
      <c r="G17" s="445">
        <v>11.727976445861719</v>
      </c>
      <c r="H17" s="446">
        <v>10.238218749878026</v>
      </c>
      <c r="I17" s="444">
        <v>6.4739714015804211</v>
      </c>
      <c r="J17" s="445">
        <v>5.9096014419283192</v>
      </c>
      <c r="K17" s="445">
        <v>5.588850674261554</v>
      </c>
      <c r="L17" s="445">
        <v>5.276791517037184</v>
      </c>
      <c r="M17" s="446">
        <v>5.2192298893128584</v>
      </c>
      <c r="N17" s="424"/>
      <c r="O17" s="1073">
        <v>8.3780775583401734</v>
      </c>
      <c r="P17" s="1074">
        <v>21.966195195739743</v>
      </c>
      <c r="Q17" s="1075">
        <v>30.34427275407992</v>
      </c>
      <c r="R17" s="308"/>
      <c r="S17" s="1073">
        <v>28.468444924120334</v>
      </c>
      <c r="T17" s="1076">
        <v>-6.1818183785847143E-2</v>
      </c>
    </row>
    <row r="18" spans="2:20" ht="14.25" customHeight="1">
      <c r="B18" s="1477"/>
      <c r="C18" s="443" t="s">
        <v>519</v>
      </c>
      <c r="D18" s="444">
        <v>1.4960381071271673</v>
      </c>
      <c r="E18" s="445">
        <v>1.9938437612938078</v>
      </c>
      <c r="F18" s="445">
        <v>3.0934588072369773</v>
      </c>
      <c r="G18" s="445">
        <v>0.55847506885055809</v>
      </c>
      <c r="H18" s="446">
        <v>1.0015648777054591</v>
      </c>
      <c r="I18" s="444">
        <v>1.0613067871443311</v>
      </c>
      <c r="J18" s="445">
        <v>1.1404494010738859</v>
      </c>
      <c r="K18" s="445">
        <v>1.2419668165025675</v>
      </c>
      <c r="L18" s="445">
        <v>1.2415980040087493</v>
      </c>
      <c r="M18" s="446">
        <v>1.4613843690076003</v>
      </c>
      <c r="N18" s="424"/>
      <c r="O18" s="1073">
        <v>6.5833406756579524</v>
      </c>
      <c r="P18" s="1074">
        <v>1.5600399465560173</v>
      </c>
      <c r="Q18" s="1075">
        <v>8.1433806222139697</v>
      </c>
      <c r="R18" s="308"/>
      <c r="S18" s="1073">
        <v>6.1467053777371339</v>
      </c>
      <c r="T18" s="1076">
        <v>-0.2451899692653679</v>
      </c>
    </row>
    <row r="19" spans="2:20" ht="14.25" customHeight="1">
      <c r="B19" s="1477"/>
      <c r="C19" s="447" t="s">
        <v>649</v>
      </c>
      <c r="D19" s="444">
        <v>0</v>
      </c>
      <c r="E19" s="445">
        <v>0</v>
      </c>
      <c r="F19" s="445">
        <v>0</v>
      </c>
      <c r="G19" s="445">
        <v>0</v>
      </c>
      <c r="H19" s="446">
        <v>0</v>
      </c>
      <c r="I19" s="444">
        <v>0</v>
      </c>
      <c r="J19" s="445">
        <v>0</v>
      </c>
      <c r="K19" s="445">
        <v>0</v>
      </c>
      <c r="L19" s="445">
        <v>0</v>
      </c>
      <c r="M19" s="446">
        <v>0</v>
      </c>
      <c r="N19" s="424"/>
      <c r="O19" s="1073">
        <v>0</v>
      </c>
      <c r="P19" s="1074">
        <v>0</v>
      </c>
      <c r="Q19" s="1075">
        <v>0</v>
      </c>
      <c r="R19" s="308"/>
      <c r="S19" s="1073">
        <v>0</v>
      </c>
      <c r="T19" s="1076" t="s">
        <v>816</v>
      </c>
    </row>
    <row r="20" spans="2:20" ht="14.25" customHeight="1">
      <c r="B20" s="1477"/>
      <c r="C20" s="447" t="s">
        <v>787</v>
      </c>
      <c r="D20" s="444">
        <v>3.8896990785306347</v>
      </c>
      <c r="E20" s="445">
        <v>6.4799922242048753</v>
      </c>
      <c r="F20" s="445">
        <v>6.5860735896013063</v>
      </c>
      <c r="G20" s="445">
        <v>4.3561055370343524</v>
      </c>
      <c r="H20" s="446">
        <v>6.0093892662327537</v>
      </c>
      <c r="I20" s="444">
        <v>6.8984941164381528</v>
      </c>
      <c r="J20" s="445">
        <v>7.6721141526788701</v>
      </c>
      <c r="K20" s="445">
        <v>8.1762815419752375</v>
      </c>
      <c r="L20" s="445">
        <v>9.105052029397493</v>
      </c>
      <c r="M20" s="446">
        <v>8.350767822900572</v>
      </c>
      <c r="N20" s="424"/>
      <c r="O20" s="1073">
        <v>16.955764892336816</v>
      </c>
      <c r="P20" s="1074">
        <v>10.365494803267106</v>
      </c>
      <c r="Q20" s="1075">
        <v>27.321259695603921</v>
      </c>
      <c r="R20" s="308"/>
      <c r="S20" s="1073">
        <v>40.202709663390323</v>
      </c>
      <c r="T20" s="1076">
        <v>0.47148082157643229</v>
      </c>
    </row>
    <row r="21" spans="2:20" ht="14.25" customHeight="1">
      <c r="B21" s="1477"/>
      <c r="C21" s="443" t="s">
        <v>508</v>
      </c>
      <c r="D21" s="444">
        <v>0</v>
      </c>
      <c r="E21" s="445">
        <v>0.89722969258221352</v>
      </c>
      <c r="F21" s="445">
        <v>1.1974679253820557</v>
      </c>
      <c r="G21" s="445">
        <v>0.67017008262066957</v>
      </c>
      <c r="H21" s="446">
        <v>1.7805597825874828</v>
      </c>
      <c r="I21" s="444">
        <v>1.1674374658587645</v>
      </c>
      <c r="J21" s="445">
        <v>1.2441266193533302</v>
      </c>
      <c r="K21" s="445">
        <v>1.3454640512111147</v>
      </c>
      <c r="L21" s="445">
        <v>1.6554640053449992</v>
      </c>
      <c r="M21" s="446">
        <v>1.878922760152629</v>
      </c>
      <c r="N21" s="424"/>
      <c r="O21" s="1073">
        <v>2.0946976179642691</v>
      </c>
      <c r="P21" s="1074">
        <v>2.4507298652081522</v>
      </c>
      <c r="Q21" s="1075">
        <v>4.5454274831724213</v>
      </c>
      <c r="R21" s="308"/>
      <c r="S21" s="1073">
        <v>7.2914149019208372</v>
      </c>
      <c r="T21" s="1076">
        <v>0.60412082888007934</v>
      </c>
    </row>
    <row r="22" spans="2:20" ht="14.25" customHeight="1">
      <c r="B22" s="1477"/>
      <c r="C22" s="443" t="s">
        <v>509</v>
      </c>
      <c r="D22" s="444">
        <v>0.89762286427630034</v>
      </c>
      <c r="E22" s="445">
        <v>2.3926125135525695</v>
      </c>
      <c r="F22" s="445">
        <v>2.2951468569822735</v>
      </c>
      <c r="G22" s="445">
        <v>1.5637301927815628</v>
      </c>
      <c r="H22" s="446">
        <v>2.559554687469507</v>
      </c>
      <c r="I22" s="444">
        <v>1.2735681445731974</v>
      </c>
      <c r="J22" s="445">
        <v>1.2441266193533302</v>
      </c>
      <c r="K22" s="445">
        <v>1.2419668165025675</v>
      </c>
      <c r="L22" s="445">
        <v>1.2415980040087495</v>
      </c>
      <c r="M22" s="446">
        <v>1.2526151734350859</v>
      </c>
      <c r="N22" s="424"/>
      <c r="O22" s="1073">
        <v>5.5853822348111439</v>
      </c>
      <c r="P22" s="1074">
        <v>4.1232848802510702</v>
      </c>
      <c r="Q22" s="1075">
        <v>9.7086671150622141</v>
      </c>
      <c r="R22" s="308"/>
      <c r="S22" s="1073">
        <v>6.2538747578729303</v>
      </c>
      <c r="T22" s="1076">
        <v>-0.35584620589467447</v>
      </c>
    </row>
    <row r="23" spans="2:20" ht="14.25" customHeight="1">
      <c r="B23" s="1477" t="s">
        <v>808</v>
      </c>
      <c r="C23" s="443" t="s">
        <v>788</v>
      </c>
      <c r="D23" s="444">
        <v>9.9735873808477815E-2</v>
      </c>
      <c r="E23" s="445">
        <v>0.49846094032345195</v>
      </c>
      <c r="F23" s="445">
        <v>0.99788993781837976</v>
      </c>
      <c r="G23" s="445">
        <v>3.4625454268734597</v>
      </c>
      <c r="H23" s="446">
        <v>0.89027989129374141</v>
      </c>
      <c r="I23" s="444">
        <v>2.0164828955742293</v>
      </c>
      <c r="J23" s="445">
        <v>6.4279875333255392</v>
      </c>
      <c r="K23" s="445">
        <v>2.3804363982965873</v>
      </c>
      <c r="L23" s="445">
        <v>12.209047039419369</v>
      </c>
      <c r="M23" s="446">
        <v>7.4113064428242588</v>
      </c>
      <c r="N23" s="424"/>
      <c r="O23" s="1073">
        <v>1.5960867519503097</v>
      </c>
      <c r="P23" s="1074">
        <v>4.3528253181672012</v>
      </c>
      <c r="Q23" s="1075">
        <v>5.9489120701175109</v>
      </c>
      <c r="R23" s="308"/>
      <c r="S23" s="1073">
        <v>30.445260309439984</v>
      </c>
      <c r="T23" s="1076">
        <v>4.1177862356332637</v>
      </c>
    </row>
    <row r="24" spans="2:20" ht="14.25" customHeight="1">
      <c r="B24" s="1477"/>
      <c r="C24" s="443" t="s">
        <v>519</v>
      </c>
      <c r="D24" s="444">
        <v>1.4960381071271673</v>
      </c>
      <c r="E24" s="445">
        <v>1.3956906329056653</v>
      </c>
      <c r="F24" s="445">
        <v>1.8959908818549214</v>
      </c>
      <c r="G24" s="445">
        <v>0</v>
      </c>
      <c r="H24" s="446">
        <v>1.1128498641171769</v>
      </c>
      <c r="I24" s="444">
        <v>0</v>
      </c>
      <c r="J24" s="445">
        <v>0</v>
      </c>
      <c r="K24" s="445">
        <v>5.0713645007188175</v>
      </c>
      <c r="L24" s="445">
        <v>3.1039950100218734</v>
      </c>
      <c r="M24" s="446">
        <v>0</v>
      </c>
      <c r="N24" s="424"/>
      <c r="O24" s="1073">
        <v>4.7877196218877547</v>
      </c>
      <c r="P24" s="1074">
        <v>1.1128498641171769</v>
      </c>
      <c r="Q24" s="1075">
        <v>5.9005694860049314</v>
      </c>
      <c r="R24" s="308"/>
      <c r="S24" s="1073">
        <v>8.1753595107406909</v>
      </c>
      <c r="T24" s="1076">
        <v>0.38552041970374967</v>
      </c>
    </row>
    <row r="25" spans="2:20" ht="14.25" customHeight="1">
      <c r="B25" s="1477"/>
      <c r="C25" s="443" t="s">
        <v>649</v>
      </c>
      <c r="D25" s="444">
        <v>0</v>
      </c>
      <c r="E25" s="445">
        <v>0</v>
      </c>
      <c r="F25" s="445">
        <v>0</v>
      </c>
      <c r="G25" s="445">
        <v>0</v>
      </c>
      <c r="H25" s="446">
        <v>0</v>
      </c>
      <c r="I25" s="444">
        <v>0</v>
      </c>
      <c r="J25" s="445">
        <v>0</v>
      </c>
      <c r="K25" s="445">
        <v>0</v>
      </c>
      <c r="L25" s="445">
        <v>0</v>
      </c>
      <c r="M25" s="446">
        <v>0</v>
      </c>
      <c r="N25" s="424"/>
      <c r="O25" s="1073">
        <v>0</v>
      </c>
      <c r="P25" s="1074">
        <v>0</v>
      </c>
      <c r="Q25" s="1075">
        <v>0</v>
      </c>
      <c r="R25" s="308"/>
      <c r="S25" s="1073">
        <v>0</v>
      </c>
      <c r="T25" s="1076" t="s">
        <v>816</v>
      </c>
    </row>
    <row r="26" spans="2:20" ht="14.25" customHeight="1">
      <c r="B26" s="1477"/>
      <c r="C26" s="443" t="s">
        <v>787</v>
      </c>
      <c r="D26" s="444">
        <v>0.29920762142543345</v>
      </c>
      <c r="E26" s="445">
        <v>0.89722969258221352</v>
      </c>
      <c r="F26" s="445">
        <v>1.1974679253820557</v>
      </c>
      <c r="G26" s="445">
        <v>1.1169501377011162</v>
      </c>
      <c r="H26" s="446">
        <v>1.0015648777054591</v>
      </c>
      <c r="I26" s="444">
        <v>1.6980908594309299</v>
      </c>
      <c r="J26" s="445">
        <v>2.6956076752655487</v>
      </c>
      <c r="K26" s="445">
        <v>4.8643700313017222</v>
      </c>
      <c r="L26" s="445">
        <v>3.9317270126943726</v>
      </c>
      <c r="M26" s="446">
        <v>6.8893834538929726</v>
      </c>
      <c r="N26" s="424"/>
      <c r="O26" s="1073">
        <v>2.3939052393897029</v>
      </c>
      <c r="P26" s="1074">
        <v>2.1185150154065751</v>
      </c>
      <c r="Q26" s="1075">
        <v>4.5124202547962788</v>
      </c>
      <c r="R26" s="308"/>
      <c r="S26" s="1073">
        <v>20.079179032585547</v>
      </c>
      <c r="T26" s="1076">
        <v>3.4497582004342937</v>
      </c>
    </row>
    <row r="27" spans="2:20" ht="14.25" customHeight="1">
      <c r="B27" s="1477"/>
      <c r="C27" s="443" t="s">
        <v>508</v>
      </c>
      <c r="D27" s="444">
        <v>0.19947174761695563</v>
      </c>
      <c r="E27" s="445">
        <v>0.89722969258221352</v>
      </c>
      <c r="F27" s="445">
        <v>0.49894496890918988</v>
      </c>
      <c r="G27" s="445">
        <v>0.67017008262066957</v>
      </c>
      <c r="H27" s="446">
        <v>0.55642493205858834</v>
      </c>
      <c r="I27" s="444">
        <v>0.74291475100103188</v>
      </c>
      <c r="J27" s="445">
        <v>1.8661899290299955</v>
      </c>
      <c r="K27" s="445">
        <v>2.6909281024222294</v>
      </c>
      <c r="L27" s="445">
        <v>2.6901290086856235</v>
      </c>
      <c r="M27" s="446">
        <v>0.73069218450380025</v>
      </c>
      <c r="N27" s="424"/>
      <c r="O27" s="1073">
        <v>1.5956464091083589</v>
      </c>
      <c r="P27" s="1074">
        <v>1.2265950146792579</v>
      </c>
      <c r="Q27" s="1075">
        <v>2.8222414237876166</v>
      </c>
      <c r="R27" s="308"/>
      <c r="S27" s="1073">
        <v>8.7208539756426813</v>
      </c>
      <c r="T27" s="1076">
        <v>2.0900453455674866</v>
      </c>
    </row>
    <row r="28" spans="2:20" ht="14.25" customHeight="1">
      <c r="B28" s="1477"/>
      <c r="C28" s="448" t="s">
        <v>509</v>
      </c>
      <c r="D28" s="444">
        <v>0.19947174761695563</v>
      </c>
      <c r="E28" s="445">
        <v>1.4953828209703559</v>
      </c>
      <c r="F28" s="445">
        <v>0.99788993781837976</v>
      </c>
      <c r="G28" s="445">
        <v>2.2339002754022323</v>
      </c>
      <c r="H28" s="446">
        <v>2.2256997282343538</v>
      </c>
      <c r="I28" s="444">
        <v>0.31839203614329936</v>
      </c>
      <c r="J28" s="445">
        <v>0.10367721827944419</v>
      </c>
      <c r="K28" s="445">
        <v>0.2069944694170946</v>
      </c>
      <c r="L28" s="445">
        <v>0.10346650033406245</v>
      </c>
      <c r="M28" s="446">
        <v>0.20876919557251436</v>
      </c>
      <c r="N28" s="424"/>
      <c r="O28" s="1073">
        <v>2.6927445064056914</v>
      </c>
      <c r="P28" s="1074">
        <v>4.4596000036365862</v>
      </c>
      <c r="Q28" s="1075">
        <v>7.152344510042278</v>
      </c>
      <c r="R28" s="308"/>
      <c r="S28" s="1073">
        <v>0.94129941974641507</v>
      </c>
      <c r="T28" s="1076">
        <v>-0.86839288593764186</v>
      </c>
    </row>
    <row r="29" spans="2:20" ht="14.25" customHeight="1">
      <c r="B29" s="1477" t="s">
        <v>806</v>
      </c>
      <c r="C29" s="449" t="s">
        <v>788</v>
      </c>
      <c r="D29" s="444">
        <v>0.79788699046782252</v>
      </c>
      <c r="E29" s="445">
        <v>0.89722969258221352</v>
      </c>
      <c r="F29" s="445">
        <v>7.7835415149833613</v>
      </c>
      <c r="G29" s="445">
        <v>8.3771260327583708</v>
      </c>
      <c r="H29" s="446">
        <v>6.8996691575264961</v>
      </c>
      <c r="I29" s="444">
        <v>2.7593976465752608</v>
      </c>
      <c r="J29" s="445">
        <v>0</v>
      </c>
      <c r="K29" s="445">
        <v>0.72448064295983106</v>
      </c>
      <c r="L29" s="445">
        <v>0</v>
      </c>
      <c r="M29" s="446">
        <v>4.3841531070228017</v>
      </c>
      <c r="N29" s="424"/>
      <c r="O29" s="1073">
        <v>9.478658198033397</v>
      </c>
      <c r="P29" s="1074">
        <v>15.276795190284867</v>
      </c>
      <c r="Q29" s="1075">
        <v>24.755453388318266</v>
      </c>
      <c r="R29" s="308"/>
      <c r="S29" s="1073">
        <v>7.8680313965578934</v>
      </c>
      <c r="T29" s="1076">
        <v>-0.68216977192303407</v>
      </c>
    </row>
    <row r="30" spans="2:20" ht="14.25" customHeight="1">
      <c r="B30" s="1477"/>
      <c r="C30" s="443" t="s">
        <v>519</v>
      </c>
      <c r="D30" s="444">
        <v>2.9920762142543347</v>
      </c>
      <c r="E30" s="445">
        <v>0.29907656419407114</v>
      </c>
      <c r="F30" s="445">
        <v>0</v>
      </c>
      <c r="G30" s="445">
        <v>0</v>
      </c>
      <c r="H30" s="446">
        <v>0.55642493205858845</v>
      </c>
      <c r="I30" s="444">
        <v>1.2735681445731974</v>
      </c>
      <c r="J30" s="445">
        <v>5.7022470053694292</v>
      </c>
      <c r="K30" s="445">
        <v>6.8308174907641206</v>
      </c>
      <c r="L30" s="445">
        <v>9.8293175317359314</v>
      </c>
      <c r="M30" s="446">
        <v>9.9165367896944296</v>
      </c>
      <c r="N30" s="424"/>
      <c r="O30" s="1073">
        <v>3.2911527784484056</v>
      </c>
      <c r="P30" s="1074">
        <v>0.55642493205858845</v>
      </c>
      <c r="Q30" s="1075">
        <v>3.8475777105069939</v>
      </c>
      <c r="R30" s="308"/>
      <c r="S30" s="1073">
        <v>33.55248696213711</v>
      </c>
      <c r="T30" s="1076">
        <v>7.7204182700486408</v>
      </c>
    </row>
    <row r="31" spans="2:20" ht="14.25" customHeight="1">
      <c r="B31" s="1477"/>
      <c r="C31" s="448" t="s">
        <v>520</v>
      </c>
      <c r="D31" s="444">
        <v>0</v>
      </c>
      <c r="E31" s="445">
        <v>0</v>
      </c>
      <c r="F31" s="445">
        <v>0</v>
      </c>
      <c r="G31" s="445">
        <v>0</v>
      </c>
      <c r="H31" s="446">
        <v>0</v>
      </c>
      <c r="I31" s="444">
        <v>0</v>
      </c>
      <c r="J31" s="445">
        <v>0</v>
      </c>
      <c r="K31" s="445">
        <v>0</v>
      </c>
      <c r="L31" s="445">
        <v>0</v>
      </c>
      <c r="M31" s="446">
        <v>0</v>
      </c>
      <c r="N31" s="424"/>
      <c r="O31" s="1073">
        <v>0</v>
      </c>
      <c r="P31" s="1074">
        <v>0</v>
      </c>
      <c r="Q31" s="1075">
        <v>0</v>
      </c>
      <c r="R31" s="308"/>
      <c r="S31" s="1073">
        <v>0</v>
      </c>
      <c r="T31" s="1076" t="s">
        <v>816</v>
      </c>
    </row>
    <row r="32" spans="2:20" ht="14.25" customHeight="1">
      <c r="B32" s="1477"/>
      <c r="C32" s="448" t="s">
        <v>787</v>
      </c>
      <c r="D32" s="444">
        <v>2.8923403404458568</v>
      </c>
      <c r="E32" s="445">
        <v>1.8941515732291172</v>
      </c>
      <c r="F32" s="445">
        <v>0.19957798756367595</v>
      </c>
      <c r="G32" s="445">
        <v>0</v>
      </c>
      <c r="H32" s="446">
        <v>4.6739694292921428</v>
      </c>
      <c r="I32" s="444">
        <v>12.735681445731974</v>
      </c>
      <c r="J32" s="445">
        <v>11.92288010213608</v>
      </c>
      <c r="K32" s="445">
        <v>6.8308174907641206</v>
      </c>
      <c r="L32" s="445">
        <v>3.8282605123603104</v>
      </c>
      <c r="M32" s="446">
        <v>3.8622301180915155</v>
      </c>
      <c r="N32" s="424"/>
      <c r="O32" s="1073">
        <v>4.9860699012386496</v>
      </c>
      <c r="P32" s="1074">
        <v>4.6739694292921428</v>
      </c>
      <c r="Q32" s="1075">
        <v>9.6600393305307932</v>
      </c>
      <c r="R32" s="308"/>
      <c r="S32" s="1073">
        <v>39.179869669083999</v>
      </c>
      <c r="T32" s="1076">
        <v>3.0558706158943942</v>
      </c>
    </row>
    <row r="33" spans="2:20" ht="14.25" customHeight="1">
      <c r="B33" s="1477"/>
      <c r="C33" s="448" t="s">
        <v>508</v>
      </c>
      <c r="D33" s="444">
        <v>2.0944533499780342</v>
      </c>
      <c r="E33" s="445">
        <v>0.79753750451752314</v>
      </c>
      <c r="F33" s="445">
        <v>0</v>
      </c>
      <c r="G33" s="445">
        <v>0</v>
      </c>
      <c r="H33" s="446">
        <v>2.1144147418226358</v>
      </c>
      <c r="I33" s="444">
        <v>2.0164828955742293</v>
      </c>
      <c r="J33" s="445">
        <v>2.4882532387066605</v>
      </c>
      <c r="K33" s="445">
        <v>1.9664474594623982</v>
      </c>
      <c r="L33" s="445">
        <v>1.9658635063471863</v>
      </c>
      <c r="M33" s="446">
        <v>0</v>
      </c>
      <c r="N33" s="424"/>
      <c r="O33" s="1073">
        <v>2.8919908544955573</v>
      </c>
      <c r="P33" s="1074">
        <v>2.1144147418226358</v>
      </c>
      <c r="Q33" s="1075">
        <v>5.006405596318193</v>
      </c>
      <c r="R33" s="308"/>
      <c r="S33" s="1073">
        <v>8.4370471000904743</v>
      </c>
      <c r="T33" s="1076">
        <v>0.68525041324962588</v>
      </c>
    </row>
    <row r="34" spans="2:20" ht="14.25" customHeight="1">
      <c r="B34" s="1477"/>
      <c r="C34" s="448" t="s">
        <v>509</v>
      </c>
      <c r="D34" s="444">
        <v>0</v>
      </c>
      <c r="E34" s="445">
        <v>0</v>
      </c>
      <c r="F34" s="445">
        <v>0</v>
      </c>
      <c r="G34" s="445">
        <v>0</v>
      </c>
      <c r="H34" s="446">
        <v>0</v>
      </c>
      <c r="I34" s="444">
        <v>0.19526135742886624</v>
      </c>
      <c r="J34" s="445">
        <v>0</v>
      </c>
      <c r="K34" s="445">
        <v>0</v>
      </c>
      <c r="L34" s="445">
        <v>0</v>
      </c>
      <c r="M34" s="446">
        <v>0</v>
      </c>
      <c r="N34" s="424"/>
      <c r="O34" s="1073">
        <v>0</v>
      </c>
      <c r="P34" s="1074">
        <v>0</v>
      </c>
      <c r="Q34" s="1075">
        <v>0</v>
      </c>
      <c r="R34" s="308"/>
      <c r="S34" s="1073">
        <v>0.19526135742886624</v>
      </c>
      <c r="T34" s="1076" t="s">
        <v>816</v>
      </c>
    </row>
    <row r="35" spans="2:20" ht="15.75" thickBot="1">
      <c r="B35" s="450" t="s">
        <v>521</v>
      </c>
      <c r="C35" s="451"/>
      <c r="D35" s="452">
        <v>24.535024956885543</v>
      </c>
      <c r="E35" s="453">
        <v>30.206732983601189</v>
      </c>
      <c r="F35" s="453">
        <v>40.115175500298861</v>
      </c>
      <c r="G35" s="453">
        <v>44.901395535584868</v>
      </c>
      <c r="H35" s="454">
        <v>51.41366372221357</v>
      </c>
      <c r="I35" s="452">
        <v>46.786629313065006</v>
      </c>
      <c r="J35" s="453">
        <v>54.637894033267088</v>
      </c>
      <c r="K35" s="453">
        <v>56.095501212032637</v>
      </c>
      <c r="L35" s="453">
        <v>63.838830706116525</v>
      </c>
      <c r="M35" s="454">
        <v>59.7079899337391</v>
      </c>
      <c r="N35" s="424"/>
      <c r="O35" s="1077">
        <v>94.856933440785596</v>
      </c>
      <c r="P35" s="1078">
        <v>96.315059257798438</v>
      </c>
      <c r="Q35" s="1079">
        <v>191.17199269858406</v>
      </c>
      <c r="R35" s="308"/>
      <c r="S35" s="1077">
        <v>281.06684519822034</v>
      </c>
      <c r="T35" s="1080">
        <v>0.47023024257204432</v>
      </c>
    </row>
    <row r="36" spans="2:20" ht="15">
      <c r="B36" s="455"/>
      <c r="C36" s="455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24"/>
      <c r="O36" s="424"/>
      <c r="P36" s="424"/>
      <c r="Q36" s="424"/>
      <c r="R36" s="457"/>
      <c r="S36" s="457"/>
      <c r="T36" s="457"/>
    </row>
    <row r="37" spans="2:20" ht="14.25"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57"/>
      <c r="S37" s="457"/>
      <c r="T37" s="457"/>
    </row>
    <row r="38" spans="2:20" ht="15">
      <c r="B38" s="422" t="s">
        <v>527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57"/>
      <c r="O38" s="424"/>
      <c r="P38" s="424"/>
      <c r="Q38" s="424"/>
      <c r="R38" s="457"/>
      <c r="S38" s="457"/>
      <c r="T38" s="457"/>
    </row>
    <row r="39" spans="2:20" ht="15" thickBot="1"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308"/>
      <c r="O39" s="424"/>
      <c r="P39" s="424"/>
      <c r="Q39" s="424"/>
      <c r="R39" s="457"/>
      <c r="S39" s="457"/>
      <c r="T39" s="457"/>
    </row>
    <row r="40" spans="2:20" ht="15">
      <c r="B40" s="426" t="s">
        <v>642</v>
      </c>
      <c r="C40" s="427"/>
      <c r="D40" s="429" t="s">
        <v>643</v>
      </c>
      <c r="E40" s="429"/>
      <c r="F40" s="429"/>
      <c r="G40" s="429"/>
      <c r="H40" s="430"/>
      <c r="I40" s="428" t="s">
        <v>644</v>
      </c>
      <c r="J40" s="429"/>
      <c r="K40" s="429"/>
      <c r="L40" s="429"/>
      <c r="M40" s="430"/>
      <c r="N40" s="308"/>
      <c r="O40" s="1062" t="s">
        <v>645</v>
      </c>
      <c r="P40" s="1063"/>
      <c r="Q40" s="1064"/>
      <c r="R40" s="308"/>
      <c r="S40" s="1062" t="s">
        <v>646</v>
      </c>
      <c r="T40" s="1064"/>
    </row>
    <row r="41" spans="2:20" ht="25.5">
      <c r="B41" s="431"/>
      <c r="C41" s="432"/>
      <c r="D41" s="438" t="s">
        <v>560</v>
      </c>
      <c r="E41" s="434" t="s">
        <v>561</v>
      </c>
      <c r="F41" s="434" t="s">
        <v>557</v>
      </c>
      <c r="G41" s="434" t="s">
        <v>562</v>
      </c>
      <c r="H41" s="435" t="s">
        <v>563</v>
      </c>
      <c r="I41" s="433" t="s">
        <v>647</v>
      </c>
      <c r="J41" s="434" t="s">
        <v>666</v>
      </c>
      <c r="K41" s="434" t="s">
        <v>667</v>
      </c>
      <c r="L41" s="434" t="s">
        <v>668</v>
      </c>
      <c r="M41" s="435" t="s">
        <v>669</v>
      </c>
      <c r="N41" s="308"/>
      <c r="O41" s="1065" t="s">
        <v>656</v>
      </c>
      <c r="P41" s="1066" t="s">
        <v>657</v>
      </c>
      <c r="Q41" s="1067" t="s">
        <v>809</v>
      </c>
      <c r="R41" s="308"/>
      <c r="S41" s="1065" t="s">
        <v>657</v>
      </c>
      <c r="T41" s="1067" t="s">
        <v>658</v>
      </c>
    </row>
    <row r="42" spans="2:20" ht="18">
      <c r="B42" s="436"/>
      <c r="C42" s="437"/>
      <c r="D42" s="438" t="s">
        <v>542</v>
      </c>
      <c r="E42" s="434" t="s">
        <v>542</v>
      </c>
      <c r="F42" s="434" t="s">
        <v>542</v>
      </c>
      <c r="G42" s="434" t="s">
        <v>542</v>
      </c>
      <c r="H42" s="435" t="s">
        <v>542</v>
      </c>
      <c r="I42" s="438" t="s">
        <v>542</v>
      </c>
      <c r="J42" s="434" t="s">
        <v>542</v>
      </c>
      <c r="K42" s="434" t="s">
        <v>542</v>
      </c>
      <c r="L42" s="434" t="s">
        <v>542</v>
      </c>
      <c r="M42" s="435" t="s">
        <v>542</v>
      </c>
      <c r="N42" s="424"/>
      <c r="O42" s="1068"/>
      <c r="P42" s="1069"/>
      <c r="Q42" s="1070"/>
      <c r="R42" s="308"/>
      <c r="S42" s="1071"/>
      <c r="T42" s="1072"/>
    </row>
    <row r="43" spans="2:20" ht="14.25" customHeight="1">
      <c r="B43" s="1475" t="s">
        <v>632</v>
      </c>
      <c r="C43" s="439" t="s">
        <v>633</v>
      </c>
      <c r="D43" s="458">
        <v>0.29920762142543345</v>
      </c>
      <c r="E43" s="458">
        <v>0.29907656419407114</v>
      </c>
      <c r="F43" s="458">
        <v>1.0976789316002178</v>
      </c>
      <c r="G43" s="458">
        <v>4.0210204957240183</v>
      </c>
      <c r="H43" s="459">
        <v>2.3369847146460714</v>
      </c>
      <c r="I43" s="460">
        <v>1.9103522168597962</v>
      </c>
      <c r="J43" s="461">
        <v>1.8661899290299955</v>
      </c>
      <c r="K43" s="461">
        <v>1.8629502247538514</v>
      </c>
      <c r="L43" s="461">
        <v>1.9658635063471863</v>
      </c>
      <c r="M43" s="462">
        <v>1.983307357938886</v>
      </c>
      <c r="N43" s="424"/>
      <c r="O43" s="1073">
        <v>1.6959631172197223</v>
      </c>
      <c r="P43" s="1074">
        <v>6.3580052103700897</v>
      </c>
      <c r="Q43" s="1075">
        <v>8.0539683275898124</v>
      </c>
      <c r="R43" s="308"/>
      <c r="S43" s="1073">
        <v>9.5886632349297152</v>
      </c>
      <c r="T43" s="1076">
        <v>0.19055139589792344</v>
      </c>
    </row>
    <row r="44" spans="2:20" ht="14.25" customHeight="1">
      <c r="B44" s="1476"/>
      <c r="C44" s="443" t="s">
        <v>634</v>
      </c>
      <c r="D44" s="463">
        <v>1.6955098547441227</v>
      </c>
      <c r="E44" s="463">
        <v>2.2929203254878789</v>
      </c>
      <c r="F44" s="463">
        <v>3.492614782364329</v>
      </c>
      <c r="G44" s="463">
        <v>0.22339002754022322</v>
      </c>
      <c r="H44" s="464">
        <v>0.66770991847030603</v>
      </c>
      <c r="I44" s="465">
        <v>1.2735681445731974</v>
      </c>
      <c r="J44" s="466">
        <v>1.3478038376327743</v>
      </c>
      <c r="K44" s="466">
        <v>1.4489612859196621</v>
      </c>
      <c r="L44" s="466">
        <v>1.6554640053449992</v>
      </c>
      <c r="M44" s="467">
        <v>1.7745381623663716</v>
      </c>
      <c r="N44" s="424"/>
      <c r="O44" s="1073">
        <v>7.4810449625963304</v>
      </c>
      <c r="P44" s="1074">
        <v>0.89109994601052922</v>
      </c>
      <c r="Q44" s="1075">
        <v>8.3721449086068596</v>
      </c>
      <c r="R44" s="308"/>
      <c r="S44" s="1073">
        <v>7.5003354358370045</v>
      </c>
      <c r="T44" s="1076">
        <v>-0.10413215278603268</v>
      </c>
    </row>
    <row r="45" spans="2:20" ht="14.25" customHeight="1">
      <c r="B45" s="1476" t="s">
        <v>635</v>
      </c>
      <c r="C45" s="443" t="s">
        <v>633</v>
      </c>
      <c r="D45" s="463">
        <v>0</v>
      </c>
      <c r="E45" s="463">
        <v>0</v>
      </c>
      <c r="F45" s="463">
        <v>0</v>
      </c>
      <c r="G45" s="463">
        <v>0</v>
      </c>
      <c r="H45" s="464">
        <v>0</v>
      </c>
      <c r="I45" s="465">
        <v>0</v>
      </c>
      <c r="J45" s="466">
        <v>0</v>
      </c>
      <c r="K45" s="466">
        <v>0</v>
      </c>
      <c r="L45" s="466">
        <v>0</v>
      </c>
      <c r="M45" s="467">
        <v>0</v>
      </c>
      <c r="N45" s="424"/>
      <c r="O45" s="1073">
        <v>0</v>
      </c>
      <c r="P45" s="1074">
        <v>0</v>
      </c>
      <c r="Q45" s="1075">
        <v>0</v>
      </c>
      <c r="R45" s="308"/>
      <c r="S45" s="1073">
        <v>0</v>
      </c>
      <c r="T45" s="1076" t="s">
        <v>816</v>
      </c>
    </row>
    <row r="46" spans="2:20" ht="14.25" customHeight="1">
      <c r="B46" s="1476"/>
      <c r="C46" s="443" t="s">
        <v>634</v>
      </c>
      <c r="D46" s="463">
        <v>0</v>
      </c>
      <c r="E46" s="466">
        <v>0</v>
      </c>
      <c r="F46" s="466">
        <v>0</v>
      </c>
      <c r="G46" s="466">
        <v>0</v>
      </c>
      <c r="H46" s="467">
        <v>0</v>
      </c>
      <c r="I46" s="465">
        <v>0</v>
      </c>
      <c r="J46" s="466">
        <v>0</v>
      </c>
      <c r="K46" s="466">
        <v>0</v>
      </c>
      <c r="L46" s="466">
        <v>0</v>
      </c>
      <c r="M46" s="467">
        <v>0</v>
      </c>
      <c r="N46" s="424"/>
      <c r="O46" s="1073">
        <v>0</v>
      </c>
      <c r="P46" s="1074">
        <v>0</v>
      </c>
      <c r="Q46" s="1075">
        <v>0</v>
      </c>
      <c r="R46" s="308"/>
      <c r="S46" s="1073">
        <v>0</v>
      </c>
      <c r="T46" s="1076" t="s">
        <v>816</v>
      </c>
    </row>
    <row r="47" spans="2:20" ht="14.25" customHeight="1">
      <c r="B47" s="1477" t="s">
        <v>487</v>
      </c>
      <c r="C47" s="443" t="s">
        <v>659</v>
      </c>
      <c r="D47" s="468">
        <v>0.39894349523391126</v>
      </c>
      <c r="E47" s="469">
        <v>0.49846094032345195</v>
      </c>
      <c r="F47" s="469">
        <v>0.69852295647286589</v>
      </c>
      <c r="G47" s="469">
        <v>4.9145806058849111</v>
      </c>
      <c r="H47" s="470">
        <v>4.7852544157038608</v>
      </c>
      <c r="I47" s="471">
        <v>1.2735681445731974</v>
      </c>
      <c r="J47" s="469">
        <v>1.2441266193533302</v>
      </c>
      <c r="K47" s="469">
        <v>1.3454640512111147</v>
      </c>
      <c r="L47" s="469">
        <v>1.3450645043428118</v>
      </c>
      <c r="M47" s="470">
        <v>1.3569997712213433</v>
      </c>
      <c r="N47" s="424"/>
      <c r="O47" s="1073">
        <v>1.595927392030229</v>
      </c>
      <c r="P47" s="1074">
        <v>9.6998350215887719</v>
      </c>
      <c r="Q47" s="1075">
        <v>11.295762413619002</v>
      </c>
      <c r="R47" s="308"/>
      <c r="S47" s="1073">
        <v>6.5652230907017977</v>
      </c>
      <c r="T47" s="1076">
        <v>-0.41878884750742618</v>
      </c>
    </row>
    <row r="48" spans="2:20" ht="14.25" customHeight="1">
      <c r="B48" s="1477"/>
      <c r="C48" s="443" t="s">
        <v>660</v>
      </c>
      <c r="D48" s="463">
        <v>1.3963022333186894</v>
      </c>
      <c r="E48" s="466">
        <v>2.3926125135525691</v>
      </c>
      <c r="F48" s="466">
        <v>3.8917707574916807</v>
      </c>
      <c r="G48" s="466">
        <v>0.22339002754022322</v>
      </c>
      <c r="H48" s="467">
        <v>0.66770991847030603</v>
      </c>
      <c r="I48" s="465">
        <v>0.84904542971546504</v>
      </c>
      <c r="J48" s="466">
        <v>0.82941774623555353</v>
      </c>
      <c r="K48" s="466">
        <v>1.1384695817940202</v>
      </c>
      <c r="L48" s="466">
        <v>1.4485310046768742</v>
      </c>
      <c r="M48" s="467">
        <v>1.6701535645801149</v>
      </c>
      <c r="N48" s="472"/>
      <c r="O48" s="1073">
        <v>7.6806855043629394</v>
      </c>
      <c r="P48" s="1074">
        <v>0.89109994601052922</v>
      </c>
      <c r="Q48" s="1075">
        <v>8.5717854503734685</v>
      </c>
      <c r="R48" s="308"/>
      <c r="S48" s="1073">
        <v>5.9356173270020278</v>
      </c>
      <c r="T48" s="1076">
        <v>-0.30754014302312993</v>
      </c>
    </row>
    <row r="49" spans="2:20" ht="14.25" customHeight="1">
      <c r="B49" s="1477"/>
      <c r="C49" s="447" t="s">
        <v>787</v>
      </c>
      <c r="D49" s="463">
        <v>0.19947174761695563</v>
      </c>
      <c r="E49" s="466">
        <v>0.29907656419407114</v>
      </c>
      <c r="F49" s="466">
        <v>0.3991559751273519</v>
      </c>
      <c r="G49" s="466">
        <v>0.11169501377011161</v>
      </c>
      <c r="H49" s="467">
        <v>0.66770991847030603</v>
      </c>
      <c r="I49" s="465">
        <v>0.42452271485773252</v>
      </c>
      <c r="J49" s="466">
        <v>0.51838609139722092</v>
      </c>
      <c r="K49" s="466">
        <v>0.62098340825128373</v>
      </c>
      <c r="L49" s="466">
        <v>0.72426550233843712</v>
      </c>
      <c r="M49" s="467">
        <v>0.83507678229005744</v>
      </c>
      <c r="N49" s="472"/>
      <c r="O49" s="1073">
        <v>0.89770428693837867</v>
      </c>
      <c r="P49" s="1074">
        <v>0.77940493224041762</v>
      </c>
      <c r="Q49" s="1075">
        <v>1.6771092191787962</v>
      </c>
      <c r="R49" s="308"/>
      <c r="S49" s="1073">
        <v>3.1232344991347318</v>
      </c>
      <c r="T49" s="1076">
        <v>0.86227257200579766</v>
      </c>
    </row>
    <row r="50" spans="2:20" ht="14.25" customHeight="1">
      <c r="B50" s="1477" t="s">
        <v>802</v>
      </c>
      <c r="C50" s="443" t="s">
        <v>788</v>
      </c>
      <c r="D50" s="468">
        <v>2.6928685928289013</v>
      </c>
      <c r="E50" s="469">
        <v>2.6916890777466405</v>
      </c>
      <c r="F50" s="469">
        <v>2.6943028321096252</v>
      </c>
      <c r="G50" s="469">
        <v>11.616281432091608</v>
      </c>
      <c r="H50" s="470">
        <v>10.126933763466308</v>
      </c>
      <c r="I50" s="471">
        <v>6.3678407228659877</v>
      </c>
      <c r="J50" s="469">
        <v>5.8059242236488746</v>
      </c>
      <c r="K50" s="469">
        <v>5.4853534395530064</v>
      </c>
      <c r="L50" s="469">
        <v>5.1733250167031217</v>
      </c>
      <c r="M50" s="470">
        <v>5.1148452915266009</v>
      </c>
      <c r="N50" s="424"/>
      <c r="O50" s="1073">
        <v>8.078860502685167</v>
      </c>
      <c r="P50" s="1074">
        <v>21.743215195557916</v>
      </c>
      <c r="Q50" s="1075">
        <v>29.822075698243083</v>
      </c>
      <c r="R50" s="308"/>
      <c r="S50" s="1073">
        <v>27.94728869429759</v>
      </c>
      <c r="T50" s="1076">
        <v>-6.2865744923849901E-2</v>
      </c>
    </row>
    <row r="51" spans="2:20" ht="14.25" customHeight="1">
      <c r="B51" s="1477"/>
      <c r="C51" s="443" t="s">
        <v>519</v>
      </c>
      <c r="D51" s="463">
        <v>1.4960381071271673</v>
      </c>
      <c r="E51" s="466">
        <v>1.9938437612938078</v>
      </c>
      <c r="F51" s="466">
        <v>3.0934588072369773</v>
      </c>
      <c r="G51" s="466">
        <v>0.55847506885055809</v>
      </c>
      <c r="H51" s="467">
        <v>1.0015648777054591</v>
      </c>
      <c r="I51" s="465">
        <v>1.0613067871443311</v>
      </c>
      <c r="J51" s="466">
        <v>1.1404494010738859</v>
      </c>
      <c r="K51" s="466">
        <v>1.2419668165025675</v>
      </c>
      <c r="L51" s="466">
        <v>1.2415980040087493</v>
      </c>
      <c r="M51" s="467">
        <v>1.4613843690076003</v>
      </c>
      <c r="N51" s="424"/>
      <c r="O51" s="1073">
        <v>6.5833406756579524</v>
      </c>
      <c r="P51" s="1074">
        <v>1.5600399465560173</v>
      </c>
      <c r="Q51" s="1075">
        <v>8.1433806222139697</v>
      </c>
      <c r="R51" s="308"/>
      <c r="S51" s="1073">
        <v>6.1467053777371339</v>
      </c>
      <c r="T51" s="1076">
        <v>-0.2451899692653679</v>
      </c>
    </row>
    <row r="52" spans="2:20" ht="14.25" customHeight="1">
      <c r="B52" s="1477"/>
      <c r="C52" s="447" t="s">
        <v>649</v>
      </c>
      <c r="D52" s="463">
        <v>0</v>
      </c>
      <c r="E52" s="466">
        <v>0</v>
      </c>
      <c r="F52" s="466">
        <v>0</v>
      </c>
      <c r="G52" s="466">
        <v>0</v>
      </c>
      <c r="H52" s="467">
        <v>0</v>
      </c>
      <c r="I52" s="465">
        <v>0</v>
      </c>
      <c r="J52" s="466">
        <v>0</v>
      </c>
      <c r="K52" s="466">
        <v>0</v>
      </c>
      <c r="L52" s="466">
        <v>0</v>
      </c>
      <c r="M52" s="467">
        <v>0</v>
      </c>
      <c r="N52" s="424"/>
      <c r="O52" s="1073">
        <v>0</v>
      </c>
      <c r="P52" s="1074">
        <v>0</v>
      </c>
      <c r="Q52" s="1075">
        <v>0</v>
      </c>
      <c r="R52" s="308"/>
      <c r="S52" s="1073">
        <v>0</v>
      </c>
      <c r="T52" s="1076" t="s">
        <v>816</v>
      </c>
    </row>
    <row r="53" spans="2:20" ht="14.25" customHeight="1">
      <c r="B53" s="1477"/>
      <c r="C53" s="447" t="s">
        <v>787</v>
      </c>
      <c r="D53" s="463">
        <v>3.2912838356797676</v>
      </c>
      <c r="E53" s="466">
        <v>5.4830703435579711</v>
      </c>
      <c r="F53" s="466">
        <v>5.5881836517829262</v>
      </c>
      <c r="G53" s="466">
        <v>3.4625454268734597</v>
      </c>
      <c r="H53" s="467">
        <v>5.1191093749390122</v>
      </c>
      <c r="I53" s="465">
        <v>6.1555793654371209</v>
      </c>
      <c r="J53" s="466">
        <v>6.946373624722761</v>
      </c>
      <c r="K53" s="466">
        <v>7.4518008990154057</v>
      </c>
      <c r="L53" s="466">
        <v>8.3807865270590565</v>
      </c>
      <c r="M53" s="467">
        <v>7.6200756383967727</v>
      </c>
      <c r="N53" s="424"/>
      <c r="O53" s="1073">
        <v>14.362537831020664</v>
      </c>
      <c r="P53" s="1074">
        <v>8.5816548018124728</v>
      </c>
      <c r="Q53" s="1075">
        <v>22.944192632833133</v>
      </c>
      <c r="R53" s="308"/>
      <c r="S53" s="1073">
        <v>36.554616054631111</v>
      </c>
      <c r="T53" s="1076">
        <v>0.59319687729266479</v>
      </c>
    </row>
    <row r="54" spans="2:20" ht="14.25" customHeight="1">
      <c r="B54" s="1477"/>
      <c r="C54" s="443" t="s">
        <v>508</v>
      </c>
      <c r="D54" s="463">
        <v>0</v>
      </c>
      <c r="E54" s="466">
        <v>0.39876875225876157</v>
      </c>
      <c r="F54" s="466">
        <v>0.49894496890918988</v>
      </c>
      <c r="G54" s="466">
        <v>0.33508504131033479</v>
      </c>
      <c r="H54" s="467">
        <v>1.4467048233523299</v>
      </c>
      <c r="I54" s="465">
        <v>0.84904542971546504</v>
      </c>
      <c r="J54" s="466">
        <v>0.93309496451499774</v>
      </c>
      <c r="K54" s="466">
        <v>1.0349723470854728</v>
      </c>
      <c r="L54" s="466">
        <v>1.2415980040087493</v>
      </c>
      <c r="M54" s="467">
        <v>1.4613843690076003</v>
      </c>
      <c r="N54" s="424"/>
      <c r="O54" s="1073">
        <v>0.89771372116795145</v>
      </c>
      <c r="P54" s="1074">
        <v>1.7817898646626646</v>
      </c>
      <c r="Q54" s="1075">
        <v>2.679503585830616</v>
      </c>
      <c r="R54" s="308"/>
      <c r="S54" s="1073">
        <v>5.5200951143322854</v>
      </c>
      <c r="T54" s="1076">
        <v>1.0601185770091508</v>
      </c>
    </row>
    <row r="55" spans="2:20" ht="14.25" customHeight="1">
      <c r="B55" s="1477"/>
      <c r="C55" s="443" t="s">
        <v>509</v>
      </c>
      <c r="D55" s="463">
        <v>0.69815111665934471</v>
      </c>
      <c r="E55" s="466">
        <v>1.9938437612938078</v>
      </c>
      <c r="F55" s="466">
        <v>1.8959908818549214</v>
      </c>
      <c r="G55" s="466">
        <v>1.228645151471228</v>
      </c>
      <c r="H55" s="467">
        <v>2.2256997282343538</v>
      </c>
      <c r="I55" s="465">
        <v>0.95517610842989809</v>
      </c>
      <c r="J55" s="466">
        <v>0.93309496451499774</v>
      </c>
      <c r="K55" s="466">
        <v>0.93147511237692571</v>
      </c>
      <c r="L55" s="466">
        <v>0.93119850300656215</v>
      </c>
      <c r="M55" s="467">
        <v>0.93946138007631452</v>
      </c>
      <c r="N55" s="424"/>
      <c r="O55" s="1073">
        <v>4.587985759808074</v>
      </c>
      <c r="P55" s="1074">
        <v>3.454344879705582</v>
      </c>
      <c r="Q55" s="1075">
        <v>8.042330639513656</v>
      </c>
      <c r="R55" s="308"/>
      <c r="S55" s="1073">
        <v>4.6904060684046982</v>
      </c>
      <c r="T55" s="1076">
        <v>-0.41678522325857259</v>
      </c>
    </row>
    <row r="56" spans="2:20" ht="14.25" customHeight="1">
      <c r="B56" s="1477" t="s">
        <v>808</v>
      </c>
      <c r="C56" s="443" t="s">
        <v>788</v>
      </c>
      <c r="D56" s="468">
        <v>9.9735873808477815E-2</v>
      </c>
      <c r="E56" s="469">
        <v>0.49846094032345195</v>
      </c>
      <c r="F56" s="469">
        <v>0.99788993781837976</v>
      </c>
      <c r="G56" s="469">
        <v>3.4625454268734597</v>
      </c>
      <c r="H56" s="470">
        <v>0.89027989129374141</v>
      </c>
      <c r="I56" s="471">
        <v>2.0164828955742293</v>
      </c>
      <c r="J56" s="469">
        <v>6.4279875333255392</v>
      </c>
      <c r="K56" s="469">
        <v>2.3804363982965873</v>
      </c>
      <c r="L56" s="469">
        <v>12.209047039419369</v>
      </c>
      <c r="M56" s="470">
        <v>7.4113064428242588</v>
      </c>
      <c r="N56" s="424"/>
      <c r="O56" s="1073">
        <v>1.5960867519503097</v>
      </c>
      <c r="P56" s="1074">
        <v>4.3528253181672012</v>
      </c>
      <c r="Q56" s="1075">
        <v>5.9489120701175109</v>
      </c>
      <c r="R56" s="308"/>
      <c r="S56" s="1073">
        <v>30.445260309439984</v>
      </c>
      <c r="T56" s="1076">
        <v>4.1177862356332637</v>
      </c>
    </row>
    <row r="57" spans="2:20" ht="14.25" customHeight="1">
      <c r="B57" s="1477"/>
      <c r="C57" s="443" t="s">
        <v>519</v>
      </c>
      <c r="D57" s="463">
        <v>1.4960381071271673</v>
      </c>
      <c r="E57" s="466">
        <v>1.3956906329056653</v>
      </c>
      <c r="F57" s="466">
        <v>1.8959908818549214</v>
      </c>
      <c r="G57" s="466">
        <v>0</v>
      </c>
      <c r="H57" s="467">
        <v>1.1128498641171769</v>
      </c>
      <c r="I57" s="465">
        <v>0</v>
      </c>
      <c r="J57" s="466">
        <v>0</v>
      </c>
      <c r="K57" s="466">
        <v>5.0713645007188175</v>
      </c>
      <c r="L57" s="466">
        <v>3.1039950100218734</v>
      </c>
      <c r="M57" s="467">
        <v>0</v>
      </c>
      <c r="N57" s="424"/>
      <c r="O57" s="1073">
        <v>4.7877196218877547</v>
      </c>
      <c r="P57" s="1074">
        <v>1.1128498641171769</v>
      </c>
      <c r="Q57" s="1075">
        <v>5.9005694860049314</v>
      </c>
      <c r="R57" s="308"/>
      <c r="S57" s="1073">
        <v>8.1753595107406909</v>
      </c>
      <c r="T57" s="1076">
        <v>0.38552041970374967</v>
      </c>
    </row>
    <row r="58" spans="2:20" ht="14.25" customHeight="1">
      <c r="B58" s="1477"/>
      <c r="C58" s="443" t="s">
        <v>649</v>
      </c>
      <c r="D58" s="463">
        <v>0</v>
      </c>
      <c r="E58" s="466">
        <v>0</v>
      </c>
      <c r="F58" s="466">
        <v>0</v>
      </c>
      <c r="G58" s="466">
        <v>0</v>
      </c>
      <c r="H58" s="467">
        <v>0</v>
      </c>
      <c r="I58" s="465">
        <v>0</v>
      </c>
      <c r="J58" s="466">
        <v>0</v>
      </c>
      <c r="K58" s="466">
        <v>0</v>
      </c>
      <c r="L58" s="466">
        <v>0</v>
      </c>
      <c r="M58" s="467">
        <v>0</v>
      </c>
      <c r="N58" s="424"/>
      <c r="O58" s="1073">
        <v>0</v>
      </c>
      <c r="P58" s="1074">
        <v>0</v>
      </c>
      <c r="Q58" s="1075">
        <v>0</v>
      </c>
      <c r="R58" s="308"/>
      <c r="S58" s="1073">
        <v>0</v>
      </c>
      <c r="T58" s="1076" t="s">
        <v>816</v>
      </c>
    </row>
    <row r="59" spans="2:20" ht="14.25" customHeight="1">
      <c r="B59" s="1477"/>
      <c r="C59" s="443" t="s">
        <v>787</v>
      </c>
      <c r="D59" s="463">
        <v>0.29920762142543345</v>
      </c>
      <c r="E59" s="466">
        <v>0.79753750451752314</v>
      </c>
      <c r="F59" s="466">
        <v>1.0976789316002178</v>
      </c>
      <c r="G59" s="466">
        <v>1.0052551239310046</v>
      </c>
      <c r="H59" s="467">
        <v>0.89027989129374141</v>
      </c>
      <c r="I59" s="465">
        <v>1.5919601807164967</v>
      </c>
      <c r="J59" s="466">
        <v>2.5919304569861046</v>
      </c>
      <c r="K59" s="466">
        <v>4.7608727965931745</v>
      </c>
      <c r="L59" s="466">
        <v>3.8282605123603104</v>
      </c>
      <c r="M59" s="467">
        <v>6.7849988561067152</v>
      </c>
      <c r="N59" s="424"/>
      <c r="O59" s="1073">
        <v>2.1944240575431744</v>
      </c>
      <c r="P59" s="1074">
        <v>1.8955350152247461</v>
      </c>
      <c r="Q59" s="1075">
        <v>4.08995907276792</v>
      </c>
      <c r="R59" s="308"/>
      <c r="S59" s="1073">
        <v>19.558022802762803</v>
      </c>
      <c r="T59" s="1076">
        <v>3.7819605171566471</v>
      </c>
    </row>
    <row r="60" spans="2:20" ht="14.25" customHeight="1">
      <c r="B60" s="1477"/>
      <c r="C60" s="443" t="s">
        <v>508</v>
      </c>
      <c r="D60" s="463">
        <v>9.9735873808477815E-2</v>
      </c>
      <c r="E60" s="466">
        <v>0.39876875225876157</v>
      </c>
      <c r="F60" s="466">
        <v>0.19957798756367595</v>
      </c>
      <c r="G60" s="466">
        <v>0.33508504131033479</v>
      </c>
      <c r="H60" s="467">
        <v>0.22256997282343535</v>
      </c>
      <c r="I60" s="465">
        <v>0.53065339357216557</v>
      </c>
      <c r="J60" s="466">
        <v>1.6588354924711071</v>
      </c>
      <c r="K60" s="466">
        <v>2.4839336330051349</v>
      </c>
      <c r="L60" s="466">
        <v>2.4831960080174986</v>
      </c>
      <c r="M60" s="467">
        <v>0.52192298893128586</v>
      </c>
      <c r="N60" s="424"/>
      <c r="O60" s="1073">
        <v>0.69808261363091528</v>
      </c>
      <c r="P60" s="1074">
        <v>0.55765501413377017</v>
      </c>
      <c r="Q60" s="1075">
        <v>1.2557376277646854</v>
      </c>
      <c r="R60" s="308"/>
      <c r="S60" s="1073">
        <v>7.6785415159971917</v>
      </c>
      <c r="T60" s="1076">
        <v>5.1147658127164801</v>
      </c>
    </row>
    <row r="61" spans="2:20" ht="14.25" customHeight="1">
      <c r="B61" s="1477"/>
      <c r="C61" s="448" t="s">
        <v>509</v>
      </c>
      <c r="D61" s="463">
        <v>0.19947174761695563</v>
      </c>
      <c r="E61" s="466">
        <v>1.4953828209703559</v>
      </c>
      <c r="F61" s="466">
        <v>0.99788993781837976</v>
      </c>
      <c r="G61" s="466">
        <v>2.2339002754022323</v>
      </c>
      <c r="H61" s="467">
        <v>2.2256997282343538</v>
      </c>
      <c r="I61" s="465">
        <v>0.31839203614329936</v>
      </c>
      <c r="J61" s="466">
        <v>0.10367721827944419</v>
      </c>
      <c r="K61" s="466">
        <v>0.2069944694170946</v>
      </c>
      <c r="L61" s="466">
        <v>0.10346650033406245</v>
      </c>
      <c r="M61" s="467">
        <v>0.20876919557251436</v>
      </c>
      <c r="N61" s="424"/>
      <c r="O61" s="1073">
        <v>2.6927445064056914</v>
      </c>
      <c r="P61" s="1074">
        <v>4.4596000036365862</v>
      </c>
      <c r="Q61" s="1075">
        <v>7.152344510042278</v>
      </c>
      <c r="R61" s="308"/>
      <c r="S61" s="1073">
        <v>0.94129941974641507</v>
      </c>
      <c r="T61" s="1076">
        <v>-0.86839288593764186</v>
      </c>
    </row>
    <row r="62" spans="2:20" ht="14.25" customHeight="1">
      <c r="B62" s="1477" t="s">
        <v>806</v>
      </c>
      <c r="C62" s="449" t="s">
        <v>788</v>
      </c>
      <c r="D62" s="468">
        <v>0.79788699046782252</v>
      </c>
      <c r="E62" s="469">
        <v>0.89722969258221352</v>
      </c>
      <c r="F62" s="469">
        <v>7.7835415149833613</v>
      </c>
      <c r="G62" s="469">
        <v>8.3771260327583708</v>
      </c>
      <c r="H62" s="470">
        <v>6.8996691575264961</v>
      </c>
      <c r="I62" s="471">
        <v>2.7593976465752608</v>
      </c>
      <c r="J62" s="469">
        <v>0</v>
      </c>
      <c r="K62" s="469">
        <v>0.72448064295983106</v>
      </c>
      <c r="L62" s="469">
        <v>0</v>
      </c>
      <c r="M62" s="470">
        <v>4.3841531070228017</v>
      </c>
      <c r="N62" s="424"/>
      <c r="O62" s="1073">
        <v>9.478658198033397</v>
      </c>
      <c r="P62" s="1074">
        <v>15.276795190284867</v>
      </c>
      <c r="Q62" s="1075">
        <v>24.755453388318266</v>
      </c>
      <c r="R62" s="308"/>
      <c r="S62" s="1073">
        <v>7.8680313965578934</v>
      </c>
      <c r="T62" s="1076">
        <v>-0.68216977192303407</v>
      </c>
    </row>
    <row r="63" spans="2:20" ht="14.25" customHeight="1">
      <c r="B63" s="1477"/>
      <c r="C63" s="443" t="s">
        <v>519</v>
      </c>
      <c r="D63" s="463">
        <v>2.9920762142543347</v>
      </c>
      <c r="E63" s="466">
        <v>0.29907656419407114</v>
      </c>
      <c r="F63" s="466">
        <v>0</v>
      </c>
      <c r="G63" s="466">
        <v>0</v>
      </c>
      <c r="H63" s="467">
        <v>0.55642493205858845</v>
      </c>
      <c r="I63" s="465">
        <v>1.2735681445731974</v>
      </c>
      <c r="J63" s="466">
        <v>5.7022470053694292</v>
      </c>
      <c r="K63" s="466">
        <v>6.8308174907641206</v>
      </c>
      <c r="L63" s="466">
        <v>9.8293175317359314</v>
      </c>
      <c r="M63" s="467">
        <v>9.9165367896944296</v>
      </c>
      <c r="N63" s="424"/>
      <c r="O63" s="1073">
        <v>3.2911527784484056</v>
      </c>
      <c r="P63" s="1074">
        <v>0.55642493205858845</v>
      </c>
      <c r="Q63" s="1075">
        <v>3.8475777105069939</v>
      </c>
      <c r="R63" s="308"/>
      <c r="S63" s="1073">
        <v>33.55248696213711</v>
      </c>
      <c r="T63" s="1076">
        <v>7.7204182700486408</v>
      </c>
    </row>
    <row r="64" spans="2:20" ht="14.25" customHeight="1">
      <c r="B64" s="1477"/>
      <c r="C64" s="448" t="s">
        <v>520</v>
      </c>
      <c r="D64" s="463">
        <v>0</v>
      </c>
      <c r="E64" s="466">
        <v>0</v>
      </c>
      <c r="F64" s="466">
        <v>0</v>
      </c>
      <c r="G64" s="466">
        <v>0</v>
      </c>
      <c r="H64" s="467">
        <v>0</v>
      </c>
      <c r="I64" s="465">
        <v>0</v>
      </c>
      <c r="J64" s="466">
        <v>0</v>
      </c>
      <c r="K64" s="466">
        <v>0</v>
      </c>
      <c r="L64" s="466">
        <v>0</v>
      </c>
      <c r="M64" s="467">
        <v>0</v>
      </c>
      <c r="N64" s="424"/>
      <c r="O64" s="1073">
        <v>0</v>
      </c>
      <c r="P64" s="1074">
        <v>0</v>
      </c>
      <c r="Q64" s="1075">
        <v>0</v>
      </c>
      <c r="R64" s="308"/>
      <c r="S64" s="1073">
        <v>0</v>
      </c>
      <c r="T64" s="1076" t="s">
        <v>816</v>
      </c>
    </row>
    <row r="65" spans="2:20" ht="14.25" customHeight="1">
      <c r="B65" s="1477"/>
      <c r="C65" s="448" t="s">
        <v>787</v>
      </c>
      <c r="D65" s="463">
        <v>2.8923403404458568</v>
      </c>
      <c r="E65" s="466">
        <v>1.8941515732291172</v>
      </c>
      <c r="F65" s="466">
        <v>0.19957798756367595</v>
      </c>
      <c r="G65" s="466">
        <v>0</v>
      </c>
      <c r="H65" s="467">
        <v>4.6739694292921428</v>
      </c>
      <c r="I65" s="465">
        <v>12.735681445731974</v>
      </c>
      <c r="J65" s="466">
        <v>11.92288010213608</v>
      </c>
      <c r="K65" s="466">
        <v>6.8308174907641206</v>
      </c>
      <c r="L65" s="466">
        <v>3.8282605123603104</v>
      </c>
      <c r="M65" s="467">
        <v>3.8622301180915155</v>
      </c>
      <c r="N65" s="424"/>
      <c r="O65" s="1073">
        <v>4.9860699012386496</v>
      </c>
      <c r="P65" s="1074">
        <v>4.6739694292921428</v>
      </c>
      <c r="Q65" s="1075">
        <v>9.6600393305307932</v>
      </c>
      <c r="R65" s="308"/>
      <c r="S65" s="1073">
        <v>39.179869669083999</v>
      </c>
      <c r="T65" s="1076">
        <v>3.0558706158943942</v>
      </c>
    </row>
    <row r="66" spans="2:20" ht="14.25" customHeight="1">
      <c r="B66" s="1477"/>
      <c r="C66" s="448" t="s">
        <v>508</v>
      </c>
      <c r="D66" s="463">
        <v>2.0944533499780342</v>
      </c>
      <c r="E66" s="466">
        <v>0.79753750451752314</v>
      </c>
      <c r="F66" s="466">
        <v>0</v>
      </c>
      <c r="G66" s="466">
        <v>0</v>
      </c>
      <c r="H66" s="467">
        <v>2.1144147418226358</v>
      </c>
      <c r="I66" s="465">
        <v>2.0164828955742293</v>
      </c>
      <c r="J66" s="466">
        <v>2.4882532387066605</v>
      </c>
      <c r="K66" s="466">
        <v>1.9664474594623982</v>
      </c>
      <c r="L66" s="466">
        <v>1.9658635063471863</v>
      </c>
      <c r="M66" s="467">
        <v>0</v>
      </c>
      <c r="N66" s="424"/>
      <c r="O66" s="1073">
        <v>2.8919908544955573</v>
      </c>
      <c r="P66" s="1074">
        <v>2.1144147418226358</v>
      </c>
      <c r="Q66" s="1075">
        <v>5.006405596318193</v>
      </c>
      <c r="R66" s="308"/>
      <c r="S66" s="1073">
        <v>8.4370471000904743</v>
      </c>
      <c r="T66" s="1076">
        <v>0.68525041324962588</v>
      </c>
    </row>
    <row r="67" spans="2:20" ht="15" customHeight="1" thickBot="1">
      <c r="B67" s="1480"/>
      <c r="C67" s="473" t="s">
        <v>509</v>
      </c>
      <c r="D67" s="474">
        <v>0</v>
      </c>
      <c r="E67" s="475">
        <v>0</v>
      </c>
      <c r="F67" s="475">
        <v>0</v>
      </c>
      <c r="G67" s="475">
        <v>0</v>
      </c>
      <c r="H67" s="476">
        <v>0</v>
      </c>
      <c r="I67" s="477">
        <v>0.19526135742886624</v>
      </c>
      <c r="J67" s="475">
        <v>0</v>
      </c>
      <c r="K67" s="475">
        <v>0</v>
      </c>
      <c r="L67" s="475">
        <v>0</v>
      </c>
      <c r="M67" s="476">
        <v>0</v>
      </c>
      <c r="N67" s="424"/>
      <c r="O67" s="1073">
        <v>0</v>
      </c>
      <c r="P67" s="1074">
        <v>0</v>
      </c>
      <c r="Q67" s="1075">
        <v>0</v>
      </c>
      <c r="R67" s="308"/>
      <c r="S67" s="1073">
        <v>0.19526135742886624</v>
      </c>
      <c r="T67" s="1076" t="s">
        <v>816</v>
      </c>
    </row>
    <row r="68" spans="2:20" ht="15.75" thickBot="1">
      <c r="B68" s="478" t="s">
        <v>302</v>
      </c>
      <c r="C68" s="479"/>
      <c r="D68" s="480">
        <v>23.138722723566854</v>
      </c>
      <c r="E68" s="481">
        <v>26.817198589401716</v>
      </c>
      <c r="F68" s="481">
        <v>36.522771724152697</v>
      </c>
      <c r="G68" s="481">
        <v>42.109020191332078</v>
      </c>
      <c r="H68" s="482">
        <v>48.631539061920627</v>
      </c>
      <c r="I68" s="483">
        <v>44.557885060061913</v>
      </c>
      <c r="J68" s="481">
        <v>52.460672449398757</v>
      </c>
      <c r="K68" s="481">
        <v>53.818562048444598</v>
      </c>
      <c r="L68" s="481">
        <v>61.459101198433089</v>
      </c>
      <c r="M68" s="482">
        <v>57.307144184655186</v>
      </c>
      <c r="N68" s="424"/>
      <c r="O68" s="1077">
        <v>86.478693037121275</v>
      </c>
      <c r="P68" s="1078">
        <v>90.740559253252712</v>
      </c>
      <c r="Q68" s="1079">
        <v>177.21925229037399</v>
      </c>
      <c r="R68" s="308"/>
      <c r="S68" s="1077">
        <v>269.60336494099352</v>
      </c>
      <c r="T68" s="1080">
        <v>0.52129839990097704</v>
      </c>
    </row>
    <row r="69" spans="2:20" ht="15">
      <c r="B69" s="455"/>
      <c r="C69" s="455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424"/>
      <c r="O69" s="424"/>
      <c r="P69" s="424"/>
      <c r="Q69" s="424"/>
      <c r="R69" s="457"/>
      <c r="S69" s="457"/>
      <c r="T69" s="457"/>
    </row>
    <row r="70" spans="2:20" ht="14.25"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57"/>
      <c r="S70" s="457"/>
      <c r="T70" s="457"/>
    </row>
    <row r="71" spans="2:20" ht="15">
      <c r="B71" s="422" t="s">
        <v>303</v>
      </c>
      <c r="C71" s="424"/>
      <c r="D71" s="424"/>
      <c r="E71" s="424"/>
      <c r="F71" s="424"/>
      <c r="G71" s="424"/>
      <c r="H71" s="424"/>
      <c r="I71" s="424"/>
      <c r="J71" s="424"/>
      <c r="K71" s="424"/>
      <c r="L71" s="424"/>
      <c r="M71" s="424"/>
      <c r="N71" s="308"/>
      <c r="O71" s="424"/>
      <c r="P71" s="424"/>
      <c r="Q71" s="424"/>
      <c r="R71" s="457"/>
      <c r="S71" s="457"/>
      <c r="T71" s="457"/>
    </row>
    <row r="72" spans="2:20" ht="15" thickBot="1"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  <c r="M72" s="424"/>
      <c r="N72" s="308"/>
      <c r="O72" s="424"/>
      <c r="P72" s="424"/>
      <c r="Q72" s="424"/>
      <c r="R72" s="457"/>
      <c r="S72" s="457"/>
      <c r="T72" s="457"/>
    </row>
    <row r="73" spans="2:20" ht="15">
      <c r="B73" s="426" t="s">
        <v>642</v>
      </c>
      <c r="C73" s="427"/>
      <c r="D73" s="429" t="s">
        <v>643</v>
      </c>
      <c r="E73" s="429"/>
      <c r="F73" s="429"/>
      <c r="G73" s="429"/>
      <c r="H73" s="430"/>
      <c r="I73" s="428" t="s">
        <v>644</v>
      </c>
      <c r="J73" s="429"/>
      <c r="K73" s="429"/>
      <c r="L73" s="429"/>
      <c r="M73" s="430"/>
      <c r="N73" s="308"/>
      <c r="O73" s="1062" t="s">
        <v>645</v>
      </c>
      <c r="P73" s="1063"/>
      <c r="Q73" s="1064"/>
      <c r="R73" s="308"/>
      <c r="S73" s="1062" t="s">
        <v>646</v>
      </c>
      <c r="T73" s="1064"/>
    </row>
    <row r="74" spans="2:20" ht="25.5">
      <c r="B74" s="431"/>
      <c r="C74" s="432"/>
      <c r="D74" s="438" t="s">
        <v>560</v>
      </c>
      <c r="E74" s="434" t="s">
        <v>561</v>
      </c>
      <c r="F74" s="434" t="s">
        <v>557</v>
      </c>
      <c r="G74" s="434" t="s">
        <v>562</v>
      </c>
      <c r="H74" s="435" t="s">
        <v>563</v>
      </c>
      <c r="I74" s="433" t="s">
        <v>647</v>
      </c>
      <c r="J74" s="434" t="s">
        <v>666</v>
      </c>
      <c r="K74" s="434" t="s">
        <v>667</v>
      </c>
      <c r="L74" s="434" t="s">
        <v>668</v>
      </c>
      <c r="M74" s="435" t="s">
        <v>669</v>
      </c>
      <c r="N74" s="308"/>
      <c r="O74" s="1065" t="s">
        <v>656</v>
      </c>
      <c r="P74" s="1066" t="s">
        <v>657</v>
      </c>
      <c r="Q74" s="1067" t="s">
        <v>809</v>
      </c>
      <c r="R74" s="308"/>
      <c r="S74" s="1065" t="s">
        <v>657</v>
      </c>
      <c r="T74" s="1067" t="s">
        <v>658</v>
      </c>
    </row>
    <row r="75" spans="2:20" ht="18">
      <c r="B75" s="436"/>
      <c r="C75" s="437"/>
      <c r="D75" s="438" t="s">
        <v>542</v>
      </c>
      <c r="E75" s="434" t="s">
        <v>542</v>
      </c>
      <c r="F75" s="434" t="s">
        <v>542</v>
      </c>
      <c r="G75" s="434" t="s">
        <v>542</v>
      </c>
      <c r="H75" s="435" t="s">
        <v>542</v>
      </c>
      <c r="I75" s="433" t="s">
        <v>542</v>
      </c>
      <c r="J75" s="434" t="s">
        <v>542</v>
      </c>
      <c r="K75" s="434" t="s">
        <v>542</v>
      </c>
      <c r="L75" s="434" t="s">
        <v>542</v>
      </c>
      <c r="M75" s="435" t="s">
        <v>542</v>
      </c>
      <c r="N75" s="424"/>
      <c r="O75" s="1068"/>
      <c r="P75" s="1069"/>
      <c r="Q75" s="1070"/>
      <c r="R75" s="308"/>
      <c r="S75" s="1071"/>
      <c r="T75" s="1072"/>
    </row>
    <row r="76" spans="2:20" ht="14.25" customHeight="1">
      <c r="B76" s="1475" t="s">
        <v>632</v>
      </c>
      <c r="C76" s="439" t="s">
        <v>633</v>
      </c>
      <c r="D76" s="458">
        <v>0</v>
      </c>
      <c r="E76" s="458">
        <v>0</v>
      </c>
      <c r="F76" s="458">
        <v>0</v>
      </c>
      <c r="G76" s="458">
        <v>0</v>
      </c>
      <c r="H76" s="459">
        <v>0</v>
      </c>
      <c r="I76" s="460">
        <v>0</v>
      </c>
      <c r="J76" s="461">
        <v>0</v>
      </c>
      <c r="K76" s="461">
        <v>0</v>
      </c>
      <c r="L76" s="461">
        <v>0</v>
      </c>
      <c r="M76" s="462">
        <v>0</v>
      </c>
      <c r="N76" s="424"/>
      <c r="O76" s="1073">
        <v>0</v>
      </c>
      <c r="P76" s="1074">
        <v>0</v>
      </c>
      <c r="Q76" s="1075">
        <v>0</v>
      </c>
      <c r="R76" s="308"/>
      <c r="S76" s="1073">
        <v>0</v>
      </c>
      <c r="T76" s="1076" t="s">
        <v>816</v>
      </c>
    </row>
    <row r="77" spans="2:20" ht="14.25" customHeight="1">
      <c r="B77" s="1476"/>
      <c r="C77" s="443" t="s">
        <v>634</v>
      </c>
      <c r="D77" s="463">
        <v>0</v>
      </c>
      <c r="E77" s="463">
        <v>9.9692188064690393E-2</v>
      </c>
      <c r="F77" s="463">
        <v>9.9788993781837976E-2</v>
      </c>
      <c r="G77" s="463">
        <v>0.11169501377011161</v>
      </c>
      <c r="H77" s="464">
        <v>0.11128498641171768</v>
      </c>
      <c r="I77" s="465">
        <v>0</v>
      </c>
      <c r="J77" s="466">
        <v>0</v>
      </c>
      <c r="K77" s="466">
        <v>0</v>
      </c>
      <c r="L77" s="466">
        <v>0</v>
      </c>
      <c r="M77" s="467">
        <v>0</v>
      </c>
      <c r="N77" s="424"/>
      <c r="O77" s="1073">
        <v>0.19948118184652835</v>
      </c>
      <c r="P77" s="1074">
        <v>0.22298000018182929</v>
      </c>
      <c r="Q77" s="1075">
        <v>0.42246118202835764</v>
      </c>
      <c r="R77" s="308"/>
      <c r="S77" s="1073">
        <v>0</v>
      </c>
      <c r="T77" s="1076">
        <v>-1</v>
      </c>
    </row>
    <row r="78" spans="2:20" ht="14.25" customHeight="1">
      <c r="B78" s="1476" t="s">
        <v>635</v>
      </c>
      <c r="C78" s="443" t="s">
        <v>633</v>
      </c>
      <c r="D78" s="463">
        <v>0</v>
      </c>
      <c r="E78" s="463">
        <v>0</v>
      </c>
      <c r="F78" s="463">
        <v>0</v>
      </c>
      <c r="G78" s="463">
        <v>0</v>
      </c>
      <c r="H78" s="464">
        <v>0</v>
      </c>
      <c r="I78" s="465">
        <v>0</v>
      </c>
      <c r="J78" s="466">
        <v>0</v>
      </c>
      <c r="K78" s="466">
        <v>0</v>
      </c>
      <c r="L78" s="466">
        <v>0</v>
      </c>
      <c r="M78" s="467">
        <v>0</v>
      </c>
      <c r="N78" s="424"/>
      <c r="O78" s="1073">
        <v>0</v>
      </c>
      <c r="P78" s="1074">
        <v>0</v>
      </c>
      <c r="Q78" s="1075">
        <v>0</v>
      </c>
      <c r="R78" s="308"/>
      <c r="S78" s="1073">
        <v>0</v>
      </c>
      <c r="T78" s="1076" t="s">
        <v>816</v>
      </c>
    </row>
    <row r="79" spans="2:20" ht="14.25" customHeight="1">
      <c r="B79" s="1476"/>
      <c r="C79" s="443" t="s">
        <v>634</v>
      </c>
      <c r="D79" s="463">
        <v>0</v>
      </c>
      <c r="E79" s="463">
        <v>0</v>
      </c>
      <c r="F79" s="463">
        <v>0</v>
      </c>
      <c r="G79" s="463">
        <v>0</v>
      </c>
      <c r="H79" s="464">
        <v>0</v>
      </c>
      <c r="I79" s="465">
        <v>0</v>
      </c>
      <c r="J79" s="466">
        <v>0</v>
      </c>
      <c r="K79" s="466">
        <v>0</v>
      </c>
      <c r="L79" s="466">
        <v>0</v>
      </c>
      <c r="M79" s="467">
        <v>0</v>
      </c>
      <c r="N79" s="424"/>
      <c r="O79" s="1073">
        <v>0</v>
      </c>
      <c r="P79" s="1074">
        <v>0</v>
      </c>
      <c r="Q79" s="1075">
        <v>0</v>
      </c>
      <c r="R79" s="308"/>
      <c r="S79" s="1073">
        <v>0</v>
      </c>
      <c r="T79" s="1076" t="s">
        <v>816</v>
      </c>
    </row>
    <row r="80" spans="2:20" ht="14.25" customHeight="1">
      <c r="B80" s="1477" t="s">
        <v>487</v>
      </c>
      <c r="C80" s="443" t="s">
        <v>659</v>
      </c>
      <c r="D80" s="463">
        <v>0</v>
      </c>
      <c r="E80" s="463">
        <v>0</v>
      </c>
      <c r="F80" s="463">
        <v>0</v>
      </c>
      <c r="G80" s="463">
        <v>0</v>
      </c>
      <c r="H80" s="464">
        <v>0</v>
      </c>
      <c r="I80" s="465">
        <v>0</v>
      </c>
      <c r="J80" s="466">
        <v>0</v>
      </c>
      <c r="K80" s="466">
        <v>0</v>
      </c>
      <c r="L80" s="466">
        <v>0</v>
      </c>
      <c r="M80" s="467">
        <v>0</v>
      </c>
      <c r="N80" s="424"/>
      <c r="O80" s="1073">
        <v>0</v>
      </c>
      <c r="P80" s="1074">
        <v>0</v>
      </c>
      <c r="Q80" s="1075">
        <v>0</v>
      </c>
      <c r="R80" s="308"/>
      <c r="S80" s="1073">
        <v>0</v>
      </c>
      <c r="T80" s="1076" t="s">
        <v>816</v>
      </c>
    </row>
    <row r="81" spans="2:20" ht="14.25" customHeight="1">
      <c r="B81" s="1477"/>
      <c r="C81" s="443" t="s">
        <v>660</v>
      </c>
      <c r="D81" s="463">
        <v>0</v>
      </c>
      <c r="E81" s="463">
        <v>9.9692188064690393E-2</v>
      </c>
      <c r="F81" s="463">
        <v>9.9788993781837976E-2</v>
      </c>
      <c r="G81" s="463">
        <v>0.11169501377011161</v>
      </c>
      <c r="H81" s="464">
        <v>0.11128498641171768</v>
      </c>
      <c r="I81" s="465">
        <v>0</v>
      </c>
      <c r="J81" s="466">
        <v>0</v>
      </c>
      <c r="K81" s="466">
        <v>0.1034972347085473</v>
      </c>
      <c r="L81" s="466">
        <v>0.10346650033406245</v>
      </c>
      <c r="M81" s="467">
        <v>0.10438459778625718</v>
      </c>
      <c r="N81" s="424"/>
      <c r="O81" s="1073">
        <v>0.19948118184652835</v>
      </c>
      <c r="P81" s="1074">
        <v>0.22298000018182929</v>
      </c>
      <c r="Q81" s="1075">
        <v>0.42246118202835764</v>
      </c>
      <c r="R81" s="308"/>
      <c r="S81" s="1073">
        <v>0.31134833282886692</v>
      </c>
      <c r="T81" s="1076">
        <v>-0.26301315701008543</v>
      </c>
    </row>
    <row r="82" spans="2:20" ht="14.25" customHeight="1">
      <c r="B82" s="1477"/>
      <c r="C82" s="447" t="s">
        <v>787</v>
      </c>
      <c r="D82" s="463">
        <v>0.39894349523391126</v>
      </c>
      <c r="E82" s="463">
        <v>0.59815312838814227</v>
      </c>
      <c r="F82" s="463">
        <v>0.79831195025470381</v>
      </c>
      <c r="G82" s="463">
        <v>0.44678005508044644</v>
      </c>
      <c r="H82" s="464">
        <v>0.4451399456468707</v>
      </c>
      <c r="I82" s="465">
        <v>0.42452271485773252</v>
      </c>
      <c r="J82" s="466">
        <v>0.41470887311777677</v>
      </c>
      <c r="K82" s="466">
        <v>0.41398893883418919</v>
      </c>
      <c r="L82" s="466">
        <v>0.41386600133624979</v>
      </c>
      <c r="M82" s="467">
        <v>0.41753839114502872</v>
      </c>
      <c r="N82" s="424"/>
      <c r="O82" s="1073">
        <v>1.7954085738767573</v>
      </c>
      <c r="P82" s="1074">
        <v>0.89192000072731714</v>
      </c>
      <c r="Q82" s="1075">
        <v>2.6873285746040745</v>
      </c>
      <c r="R82" s="308"/>
      <c r="S82" s="1073">
        <v>2.0846249192909769</v>
      </c>
      <c r="T82" s="1076">
        <v>-0.22427613095354154</v>
      </c>
    </row>
    <row r="83" spans="2:20" ht="14.25" customHeight="1">
      <c r="B83" s="1477" t="s">
        <v>802</v>
      </c>
      <c r="C83" s="443" t="s">
        <v>788</v>
      </c>
      <c r="D83" s="463">
        <v>9.9735873808477815E-2</v>
      </c>
      <c r="E83" s="463">
        <v>9.9692188064690393E-2</v>
      </c>
      <c r="F83" s="463">
        <v>9.9788993781837976E-2</v>
      </c>
      <c r="G83" s="463">
        <v>0.11169501377011161</v>
      </c>
      <c r="H83" s="464">
        <v>0.11128498641171768</v>
      </c>
      <c r="I83" s="465">
        <v>0.10613067871443313</v>
      </c>
      <c r="J83" s="466">
        <v>0.10367721827944419</v>
      </c>
      <c r="K83" s="466">
        <v>0.1034972347085473</v>
      </c>
      <c r="L83" s="466">
        <v>0.10346650033406245</v>
      </c>
      <c r="M83" s="467">
        <v>0.10438459778625718</v>
      </c>
      <c r="N83" s="424"/>
      <c r="O83" s="1073">
        <v>0.29921705565500617</v>
      </c>
      <c r="P83" s="1074">
        <v>0.22298000018182929</v>
      </c>
      <c r="Q83" s="1075">
        <v>0.5221970558368354</v>
      </c>
      <c r="R83" s="308"/>
      <c r="S83" s="1073">
        <v>0.52115622982274423</v>
      </c>
      <c r="T83" s="1076">
        <v>-1.9931671434325008E-3</v>
      </c>
    </row>
    <row r="84" spans="2:20" ht="14.25" customHeight="1">
      <c r="B84" s="1477"/>
      <c r="C84" s="443" t="s">
        <v>519</v>
      </c>
      <c r="D84" s="463">
        <v>0</v>
      </c>
      <c r="E84" s="463">
        <v>0</v>
      </c>
      <c r="F84" s="463">
        <v>0</v>
      </c>
      <c r="G84" s="463">
        <v>0</v>
      </c>
      <c r="H84" s="464">
        <v>0</v>
      </c>
      <c r="I84" s="465">
        <v>0</v>
      </c>
      <c r="J84" s="466">
        <v>0</v>
      </c>
      <c r="K84" s="466">
        <v>0</v>
      </c>
      <c r="L84" s="466">
        <v>0</v>
      </c>
      <c r="M84" s="467">
        <v>0</v>
      </c>
      <c r="N84" s="424"/>
      <c r="O84" s="1073">
        <v>0</v>
      </c>
      <c r="P84" s="1074">
        <v>0</v>
      </c>
      <c r="Q84" s="1075">
        <v>0</v>
      </c>
      <c r="R84" s="308"/>
      <c r="S84" s="1073">
        <v>0</v>
      </c>
      <c r="T84" s="1076" t="s">
        <v>816</v>
      </c>
    </row>
    <row r="85" spans="2:20" ht="14.25" customHeight="1">
      <c r="B85" s="1477"/>
      <c r="C85" s="447" t="s">
        <v>649</v>
      </c>
      <c r="D85" s="463">
        <v>0</v>
      </c>
      <c r="E85" s="463">
        <v>0</v>
      </c>
      <c r="F85" s="463">
        <v>0</v>
      </c>
      <c r="G85" s="463">
        <v>0</v>
      </c>
      <c r="H85" s="464">
        <v>0</v>
      </c>
      <c r="I85" s="465">
        <v>0</v>
      </c>
      <c r="J85" s="466">
        <v>0</v>
      </c>
      <c r="K85" s="466">
        <v>0</v>
      </c>
      <c r="L85" s="466">
        <v>0</v>
      </c>
      <c r="M85" s="467">
        <v>0</v>
      </c>
      <c r="N85" s="424"/>
      <c r="O85" s="1073">
        <v>0</v>
      </c>
      <c r="P85" s="1074">
        <v>0</v>
      </c>
      <c r="Q85" s="1075">
        <v>0</v>
      </c>
      <c r="R85" s="308"/>
      <c r="S85" s="1073">
        <v>0</v>
      </c>
      <c r="T85" s="1076" t="s">
        <v>816</v>
      </c>
    </row>
    <row r="86" spans="2:20" ht="14.25" customHeight="1">
      <c r="B86" s="1477"/>
      <c r="C86" s="447" t="s">
        <v>787</v>
      </c>
      <c r="D86" s="463">
        <v>0.59841524285086689</v>
      </c>
      <c r="E86" s="463">
        <v>0.9969218806469039</v>
      </c>
      <c r="F86" s="463">
        <v>0.99788993781837976</v>
      </c>
      <c r="G86" s="463">
        <v>0.89356011016089287</v>
      </c>
      <c r="H86" s="464">
        <v>0.89027989129374141</v>
      </c>
      <c r="I86" s="465">
        <v>0.74291475100103177</v>
      </c>
      <c r="J86" s="466">
        <v>0.72574052795610933</v>
      </c>
      <c r="K86" s="466">
        <v>0.72448064295983106</v>
      </c>
      <c r="L86" s="466">
        <v>0.72426550233843712</v>
      </c>
      <c r="M86" s="467">
        <v>0.73069218450380014</v>
      </c>
      <c r="N86" s="424"/>
      <c r="O86" s="1073">
        <v>2.5932270613161506</v>
      </c>
      <c r="P86" s="1074">
        <v>1.7838400014546343</v>
      </c>
      <c r="Q86" s="1075">
        <v>4.3770670627707844</v>
      </c>
      <c r="R86" s="308"/>
      <c r="S86" s="1073">
        <v>3.6480936087592091</v>
      </c>
      <c r="T86" s="1076">
        <v>-0.16654381656883235</v>
      </c>
    </row>
    <row r="87" spans="2:20" ht="14.25" customHeight="1">
      <c r="B87" s="1477"/>
      <c r="C87" s="443" t="s">
        <v>508</v>
      </c>
      <c r="D87" s="463">
        <v>0</v>
      </c>
      <c r="E87" s="463">
        <v>0.49846094032345195</v>
      </c>
      <c r="F87" s="463">
        <v>0.69852295647286577</v>
      </c>
      <c r="G87" s="463">
        <v>0.33508504131033479</v>
      </c>
      <c r="H87" s="464">
        <v>0.33385495923515301</v>
      </c>
      <c r="I87" s="465">
        <v>0.31839203614329936</v>
      </c>
      <c r="J87" s="466">
        <v>0.31103165483833256</v>
      </c>
      <c r="K87" s="466">
        <v>0.31049170412564187</v>
      </c>
      <c r="L87" s="466">
        <v>0.41386600133624979</v>
      </c>
      <c r="M87" s="467">
        <v>0.41753839114502872</v>
      </c>
      <c r="N87" s="424"/>
      <c r="O87" s="1073">
        <v>1.1969838967963178</v>
      </c>
      <c r="P87" s="1074">
        <v>0.66894000054548775</v>
      </c>
      <c r="Q87" s="1075">
        <v>1.8659238973418055</v>
      </c>
      <c r="R87" s="308"/>
      <c r="S87" s="1073">
        <v>1.7713197875885525</v>
      </c>
      <c r="T87" s="1076">
        <v>-5.0700947604575962E-2</v>
      </c>
    </row>
    <row r="88" spans="2:20" ht="14.25" customHeight="1">
      <c r="B88" s="1477"/>
      <c r="C88" s="443" t="s">
        <v>509</v>
      </c>
      <c r="D88" s="463">
        <v>0.19947174761695563</v>
      </c>
      <c r="E88" s="463">
        <v>0.39876875225876157</v>
      </c>
      <c r="F88" s="463">
        <v>0.3991559751273519</v>
      </c>
      <c r="G88" s="463">
        <v>0.33508504131033479</v>
      </c>
      <c r="H88" s="464">
        <v>0.33385495923515301</v>
      </c>
      <c r="I88" s="465">
        <v>0.31839203614329936</v>
      </c>
      <c r="J88" s="466">
        <v>0.31103165483833256</v>
      </c>
      <c r="K88" s="466">
        <v>0.31049170412564187</v>
      </c>
      <c r="L88" s="466">
        <v>0.31039950100218733</v>
      </c>
      <c r="M88" s="467">
        <v>0.31315379335877147</v>
      </c>
      <c r="N88" s="424"/>
      <c r="O88" s="1073">
        <v>0.99739647500306905</v>
      </c>
      <c r="P88" s="1074">
        <v>0.66894000054548775</v>
      </c>
      <c r="Q88" s="1075">
        <v>1.6663364755485568</v>
      </c>
      <c r="R88" s="308"/>
      <c r="S88" s="1073">
        <v>1.5634686894682326</v>
      </c>
      <c r="T88" s="1076">
        <v>-6.1732901841724495E-2</v>
      </c>
    </row>
    <row r="89" spans="2:20" ht="14.25" customHeight="1">
      <c r="B89" s="1477" t="s">
        <v>808</v>
      </c>
      <c r="C89" s="443" t="s">
        <v>788</v>
      </c>
      <c r="D89" s="463">
        <v>0</v>
      </c>
      <c r="E89" s="463">
        <v>0</v>
      </c>
      <c r="F89" s="463">
        <v>0</v>
      </c>
      <c r="G89" s="463">
        <v>0</v>
      </c>
      <c r="H89" s="464">
        <v>0</v>
      </c>
      <c r="I89" s="465">
        <v>0</v>
      </c>
      <c r="J89" s="466">
        <v>0</v>
      </c>
      <c r="K89" s="466">
        <v>0</v>
      </c>
      <c r="L89" s="466">
        <v>0</v>
      </c>
      <c r="M89" s="467">
        <v>0</v>
      </c>
      <c r="N89" s="424"/>
      <c r="O89" s="1073">
        <v>0</v>
      </c>
      <c r="P89" s="1074">
        <v>0</v>
      </c>
      <c r="Q89" s="1075">
        <v>0</v>
      </c>
      <c r="R89" s="308"/>
      <c r="S89" s="1073">
        <v>0</v>
      </c>
      <c r="T89" s="1076" t="s">
        <v>816</v>
      </c>
    </row>
    <row r="90" spans="2:20" ht="14.25" customHeight="1">
      <c r="B90" s="1477"/>
      <c r="C90" s="443" t="s">
        <v>519</v>
      </c>
      <c r="D90" s="463">
        <v>0</v>
      </c>
      <c r="E90" s="463">
        <v>0</v>
      </c>
      <c r="F90" s="463">
        <v>0</v>
      </c>
      <c r="G90" s="463">
        <v>0</v>
      </c>
      <c r="H90" s="464">
        <v>0</v>
      </c>
      <c r="I90" s="465">
        <v>0</v>
      </c>
      <c r="J90" s="466">
        <v>0</v>
      </c>
      <c r="K90" s="466">
        <v>0</v>
      </c>
      <c r="L90" s="466">
        <v>0</v>
      </c>
      <c r="M90" s="467">
        <v>0</v>
      </c>
      <c r="N90" s="424"/>
      <c r="O90" s="1073">
        <v>0</v>
      </c>
      <c r="P90" s="1074">
        <v>0</v>
      </c>
      <c r="Q90" s="1075">
        <v>0</v>
      </c>
      <c r="R90" s="308"/>
      <c r="S90" s="1073">
        <v>0</v>
      </c>
      <c r="T90" s="1076" t="s">
        <v>816</v>
      </c>
    </row>
    <row r="91" spans="2:20" ht="14.25" customHeight="1">
      <c r="B91" s="1477"/>
      <c r="C91" s="443" t="s">
        <v>649</v>
      </c>
      <c r="D91" s="463">
        <v>0</v>
      </c>
      <c r="E91" s="463">
        <v>0</v>
      </c>
      <c r="F91" s="463">
        <v>0</v>
      </c>
      <c r="G91" s="463">
        <v>0</v>
      </c>
      <c r="H91" s="464">
        <v>0</v>
      </c>
      <c r="I91" s="465">
        <v>0</v>
      </c>
      <c r="J91" s="466">
        <v>0</v>
      </c>
      <c r="K91" s="466">
        <v>0</v>
      </c>
      <c r="L91" s="466">
        <v>0</v>
      </c>
      <c r="M91" s="467">
        <v>0</v>
      </c>
      <c r="N91" s="424"/>
      <c r="O91" s="1073">
        <v>0</v>
      </c>
      <c r="P91" s="1074">
        <v>0</v>
      </c>
      <c r="Q91" s="1075">
        <v>0</v>
      </c>
      <c r="R91" s="308"/>
      <c r="S91" s="1073">
        <v>0</v>
      </c>
      <c r="T91" s="1076" t="s">
        <v>816</v>
      </c>
    </row>
    <row r="92" spans="2:20" ht="14.25" customHeight="1">
      <c r="B92" s="1477"/>
      <c r="C92" s="443" t="s">
        <v>787</v>
      </c>
      <c r="D92" s="463">
        <v>0</v>
      </c>
      <c r="E92" s="463">
        <v>9.9692188064690393E-2</v>
      </c>
      <c r="F92" s="463">
        <v>9.9788993781837976E-2</v>
      </c>
      <c r="G92" s="463">
        <v>0.11169501377011161</v>
      </c>
      <c r="H92" s="464">
        <v>0.11128498641171768</v>
      </c>
      <c r="I92" s="465">
        <v>0.10613067871443313</v>
      </c>
      <c r="J92" s="466">
        <v>0.10367721827944419</v>
      </c>
      <c r="K92" s="466">
        <v>0.1034972347085473</v>
      </c>
      <c r="L92" s="466">
        <v>0.10346650033406245</v>
      </c>
      <c r="M92" s="467">
        <v>0.10438459778625718</v>
      </c>
      <c r="N92" s="424"/>
      <c r="O92" s="1073">
        <v>0.19948118184652835</v>
      </c>
      <c r="P92" s="1074">
        <v>0.22298000018182929</v>
      </c>
      <c r="Q92" s="1075">
        <v>0.42246118202835764</v>
      </c>
      <c r="R92" s="308"/>
      <c r="S92" s="1073">
        <v>0.52115622982274423</v>
      </c>
      <c r="T92" s="1076">
        <v>0.23361921045745146</v>
      </c>
    </row>
    <row r="93" spans="2:20" ht="14.25" customHeight="1">
      <c r="B93" s="1477"/>
      <c r="C93" s="443" t="s">
        <v>508</v>
      </c>
      <c r="D93" s="463">
        <v>9.9735873808477815E-2</v>
      </c>
      <c r="E93" s="463">
        <v>0.49846094032345195</v>
      </c>
      <c r="F93" s="463">
        <v>0.29936698134551393</v>
      </c>
      <c r="G93" s="463">
        <v>0.33508504131033479</v>
      </c>
      <c r="H93" s="464">
        <v>0.33385495923515301</v>
      </c>
      <c r="I93" s="465">
        <v>0.21226135742886626</v>
      </c>
      <c r="J93" s="466">
        <v>0.20735443655888838</v>
      </c>
      <c r="K93" s="466">
        <v>0.2069944694170946</v>
      </c>
      <c r="L93" s="466">
        <v>0.20693300066812489</v>
      </c>
      <c r="M93" s="467">
        <v>0.20876919557251436</v>
      </c>
      <c r="N93" s="424"/>
      <c r="O93" s="1073">
        <v>0.8975637954774438</v>
      </c>
      <c r="P93" s="1074">
        <v>0.66894000054548775</v>
      </c>
      <c r="Q93" s="1075">
        <v>1.5665037960229315</v>
      </c>
      <c r="R93" s="308"/>
      <c r="S93" s="1073">
        <v>1.0423124596454885</v>
      </c>
      <c r="T93" s="1076">
        <v>-0.33462500231934938</v>
      </c>
    </row>
    <row r="94" spans="2:20" ht="14.25" customHeight="1">
      <c r="B94" s="1477"/>
      <c r="C94" s="448" t="s">
        <v>509</v>
      </c>
      <c r="D94" s="463">
        <v>0</v>
      </c>
      <c r="E94" s="463">
        <v>0</v>
      </c>
      <c r="F94" s="463">
        <v>0</v>
      </c>
      <c r="G94" s="463">
        <v>0</v>
      </c>
      <c r="H94" s="464">
        <v>0</v>
      </c>
      <c r="I94" s="465">
        <v>0</v>
      </c>
      <c r="J94" s="466">
        <v>0</v>
      </c>
      <c r="K94" s="466">
        <v>0</v>
      </c>
      <c r="L94" s="466">
        <v>0</v>
      </c>
      <c r="M94" s="467">
        <v>0</v>
      </c>
      <c r="N94" s="424"/>
      <c r="O94" s="1073">
        <v>0</v>
      </c>
      <c r="P94" s="1074">
        <v>0</v>
      </c>
      <c r="Q94" s="1075">
        <v>0</v>
      </c>
      <c r="R94" s="308"/>
      <c r="S94" s="1073">
        <v>0</v>
      </c>
      <c r="T94" s="1076" t="s">
        <v>816</v>
      </c>
    </row>
    <row r="95" spans="2:20" ht="14.25" customHeight="1">
      <c r="B95" s="1477" t="s">
        <v>806</v>
      </c>
      <c r="C95" s="449" t="s">
        <v>788</v>
      </c>
      <c r="D95" s="463">
        <v>0</v>
      </c>
      <c r="E95" s="463">
        <v>0</v>
      </c>
      <c r="F95" s="463">
        <v>0</v>
      </c>
      <c r="G95" s="463">
        <v>0</v>
      </c>
      <c r="H95" s="464">
        <v>0</v>
      </c>
      <c r="I95" s="465">
        <v>0</v>
      </c>
      <c r="J95" s="466">
        <v>0</v>
      </c>
      <c r="K95" s="466">
        <v>0</v>
      </c>
      <c r="L95" s="466">
        <v>0</v>
      </c>
      <c r="M95" s="467">
        <v>0</v>
      </c>
      <c r="N95" s="424"/>
      <c r="O95" s="1073">
        <v>0</v>
      </c>
      <c r="P95" s="1074">
        <v>0</v>
      </c>
      <c r="Q95" s="1075">
        <v>0</v>
      </c>
      <c r="R95" s="308"/>
      <c r="S95" s="1073">
        <v>0</v>
      </c>
      <c r="T95" s="1076" t="s">
        <v>816</v>
      </c>
    </row>
    <row r="96" spans="2:20" ht="14.25" customHeight="1">
      <c r="B96" s="1477"/>
      <c r="C96" s="443" t="s">
        <v>519</v>
      </c>
      <c r="D96" s="463">
        <v>0</v>
      </c>
      <c r="E96" s="463">
        <v>0</v>
      </c>
      <c r="F96" s="463">
        <v>0</v>
      </c>
      <c r="G96" s="463">
        <v>0</v>
      </c>
      <c r="H96" s="464">
        <v>0</v>
      </c>
      <c r="I96" s="465">
        <v>0</v>
      </c>
      <c r="J96" s="466">
        <v>0</v>
      </c>
      <c r="K96" s="466">
        <v>0</v>
      </c>
      <c r="L96" s="466">
        <v>0</v>
      </c>
      <c r="M96" s="467">
        <v>0</v>
      </c>
      <c r="N96" s="424"/>
      <c r="O96" s="1073">
        <v>0</v>
      </c>
      <c r="P96" s="1074">
        <v>0</v>
      </c>
      <c r="Q96" s="1075">
        <v>0</v>
      </c>
      <c r="R96" s="308"/>
      <c r="S96" s="1073">
        <v>0</v>
      </c>
      <c r="T96" s="1076" t="s">
        <v>816</v>
      </c>
    </row>
    <row r="97" spans="2:20" ht="14.25" customHeight="1">
      <c r="B97" s="1477"/>
      <c r="C97" s="448" t="s">
        <v>520</v>
      </c>
      <c r="D97" s="463">
        <v>0</v>
      </c>
      <c r="E97" s="463">
        <v>0</v>
      </c>
      <c r="F97" s="463">
        <v>0</v>
      </c>
      <c r="G97" s="463">
        <v>0</v>
      </c>
      <c r="H97" s="464">
        <v>0</v>
      </c>
      <c r="I97" s="465">
        <v>0</v>
      </c>
      <c r="J97" s="466">
        <v>0</v>
      </c>
      <c r="K97" s="466">
        <v>0</v>
      </c>
      <c r="L97" s="466">
        <v>0</v>
      </c>
      <c r="M97" s="467">
        <v>0</v>
      </c>
      <c r="N97" s="424"/>
      <c r="O97" s="1073">
        <v>0</v>
      </c>
      <c r="P97" s="1074">
        <v>0</v>
      </c>
      <c r="Q97" s="1075">
        <v>0</v>
      </c>
      <c r="R97" s="308"/>
      <c r="S97" s="1073">
        <v>0</v>
      </c>
      <c r="T97" s="1076" t="s">
        <v>816</v>
      </c>
    </row>
    <row r="98" spans="2:20" ht="14.25" customHeight="1">
      <c r="B98" s="1477"/>
      <c r="C98" s="448" t="s">
        <v>787</v>
      </c>
      <c r="D98" s="463">
        <v>0</v>
      </c>
      <c r="E98" s="463">
        <v>0</v>
      </c>
      <c r="F98" s="463">
        <v>0</v>
      </c>
      <c r="G98" s="463">
        <v>0</v>
      </c>
      <c r="H98" s="464">
        <v>0</v>
      </c>
      <c r="I98" s="465">
        <v>0</v>
      </c>
      <c r="J98" s="466">
        <v>0</v>
      </c>
      <c r="K98" s="466">
        <v>0</v>
      </c>
      <c r="L98" s="466">
        <v>0</v>
      </c>
      <c r="M98" s="467">
        <v>0</v>
      </c>
      <c r="N98" s="424"/>
      <c r="O98" s="1073">
        <v>0</v>
      </c>
      <c r="P98" s="1074">
        <v>0</v>
      </c>
      <c r="Q98" s="1075">
        <v>0</v>
      </c>
      <c r="R98" s="308"/>
      <c r="S98" s="1073">
        <v>0</v>
      </c>
      <c r="T98" s="1076" t="s">
        <v>816</v>
      </c>
    </row>
    <row r="99" spans="2:20" ht="14.25" customHeight="1">
      <c r="B99" s="1477"/>
      <c r="C99" s="448" t="s">
        <v>508</v>
      </c>
      <c r="D99" s="463">
        <v>0</v>
      </c>
      <c r="E99" s="463">
        <v>0</v>
      </c>
      <c r="F99" s="463">
        <v>0</v>
      </c>
      <c r="G99" s="463">
        <v>0</v>
      </c>
      <c r="H99" s="464">
        <v>0</v>
      </c>
      <c r="I99" s="465">
        <v>0</v>
      </c>
      <c r="J99" s="466">
        <v>0</v>
      </c>
      <c r="K99" s="466">
        <v>0</v>
      </c>
      <c r="L99" s="466">
        <v>0</v>
      </c>
      <c r="M99" s="467">
        <v>0</v>
      </c>
      <c r="N99" s="424"/>
      <c r="O99" s="1073">
        <v>0</v>
      </c>
      <c r="P99" s="1074">
        <v>0</v>
      </c>
      <c r="Q99" s="1075">
        <v>0</v>
      </c>
      <c r="R99" s="308"/>
      <c r="S99" s="1073">
        <v>0</v>
      </c>
      <c r="T99" s="1076" t="s">
        <v>816</v>
      </c>
    </row>
    <row r="100" spans="2:20" ht="14.25" customHeight="1">
      <c r="B100" s="1477"/>
      <c r="C100" s="448" t="s">
        <v>509</v>
      </c>
      <c r="D100" s="463">
        <v>0</v>
      </c>
      <c r="E100" s="463">
        <v>0</v>
      </c>
      <c r="F100" s="463">
        <v>0</v>
      </c>
      <c r="G100" s="463">
        <v>0</v>
      </c>
      <c r="H100" s="464">
        <v>0</v>
      </c>
      <c r="I100" s="465">
        <v>0</v>
      </c>
      <c r="J100" s="466">
        <v>0</v>
      </c>
      <c r="K100" s="466">
        <v>0</v>
      </c>
      <c r="L100" s="466">
        <v>0</v>
      </c>
      <c r="M100" s="467">
        <v>0</v>
      </c>
      <c r="N100" s="424"/>
      <c r="O100" s="1073">
        <v>0</v>
      </c>
      <c r="P100" s="1074">
        <v>0</v>
      </c>
      <c r="Q100" s="1075">
        <v>0</v>
      </c>
      <c r="R100" s="308"/>
      <c r="S100" s="1073">
        <v>0</v>
      </c>
      <c r="T100" s="1076" t="s">
        <v>816</v>
      </c>
    </row>
    <row r="101" spans="2:20" ht="15.75" thickBot="1">
      <c r="B101" s="450" t="s">
        <v>304</v>
      </c>
      <c r="C101" s="451"/>
      <c r="D101" s="484">
        <v>1.3963022333186892</v>
      </c>
      <c r="E101" s="485">
        <v>3.3895343941994738</v>
      </c>
      <c r="F101" s="485">
        <v>3.5924037761461669</v>
      </c>
      <c r="G101" s="485">
        <v>2.7923753442527905</v>
      </c>
      <c r="H101" s="486">
        <v>2.7821246602929421</v>
      </c>
      <c r="I101" s="487">
        <v>2.2287442530030952</v>
      </c>
      <c r="J101" s="485">
        <v>2.1772215838683278</v>
      </c>
      <c r="K101" s="485">
        <v>2.2769391635880405</v>
      </c>
      <c r="L101" s="485">
        <v>2.3797295076834359</v>
      </c>
      <c r="M101" s="486">
        <v>2.4008457490839148</v>
      </c>
      <c r="N101" s="424"/>
      <c r="O101" s="1077">
        <v>8.3782404036643303</v>
      </c>
      <c r="P101" s="1078">
        <v>5.5745000045457331</v>
      </c>
      <c r="Q101" s="1079">
        <v>13.952740408210063</v>
      </c>
      <c r="R101" s="308"/>
      <c r="S101" s="1077">
        <v>11.463480257226815</v>
      </c>
      <c r="T101" s="1080">
        <v>-0.1784065408053116</v>
      </c>
    </row>
    <row r="102" spans="2:20" ht="14.25"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57"/>
      <c r="S102" s="457"/>
      <c r="T102" s="457"/>
    </row>
    <row r="103" spans="2:20" ht="14.25"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57"/>
      <c r="S103" s="457"/>
      <c r="T103" s="457"/>
    </row>
    <row r="104" spans="2:20" ht="15">
      <c r="B104" s="422" t="s">
        <v>305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57"/>
      <c r="S104" s="457"/>
      <c r="T104" s="457"/>
    </row>
    <row r="105" spans="2:20" ht="15" thickBot="1"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4"/>
      <c r="O105" s="424"/>
      <c r="P105" s="424"/>
      <c r="Q105" s="424"/>
      <c r="R105" s="457"/>
      <c r="S105" s="457"/>
      <c r="T105" s="457"/>
    </row>
    <row r="106" spans="2:20" ht="15">
      <c r="B106" s="426" t="s">
        <v>642</v>
      </c>
      <c r="C106" s="427"/>
      <c r="D106" s="429" t="s">
        <v>643</v>
      </c>
      <c r="E106" s="429"/>
      <c r="F106" s="429"/>
      <c r="G106" s="429"/>
      <c r="H106" s="430"/>
      <c r="I106" s="428" t="s">
        <v>644</v>
      </c>
      <c r="J106" s="429"/>
      <c r="K106" s="429"/>
      <c r="L106" s="429"/>
      <c r="M106" s="430"/>
      <c r="N106" s="424"/>
      <c r="O106" s="1062" t="s">
        <v>645</v>
      </c>
      <c r="P106" s="1063"/>
      <c r="Q106" s="1064"/>
      <c r="R106" s="308"/>
      <c r="S106" s="1062" t="s">
        <v>646</v>
      </c>
      <c r="T106" s="1064"/>
    </row>
    <row r="107" spans="2:20" ht="25.5">
      <c r="B107" s="431"/>
      <c r="C107" s="432"/>
      <c r="D107" s="438" t="s">
        <v>560</v>
      </c>
      <c r="E107" s="434" t="s">
        <v>561</v>
      </c>
      <c r="F107" s="434" t="s">
        <v>557</v>
      </c>
      <c r="G107" s="434" t="s">
        <v>562</v>
      </c>
      <c r="H107" s="435" t="s">
        <v>563</v>
      </c>
      <c r="I107" s="433" t="s">
        <v>647</v>
      </c>
      <c r="J107" s="434" t="s">
        <v>666</v>
      </c>
      <c r="K107" s="434" t="s">
        <v>667</v>
      </c>
      <c r="L107" s="434" t="s">
        <v>668</v>
      </c>
      <c r="M107" s="435" t="s">
        <v>306</v>
      </c>
      <c r="N107" s="424"/>
      <c r="O107" s="1065" t="s">
        <v>656</v>
      </c>
      <c r="P107" s="1066" t="s">
        <v>657</v>
      </c>
      <c r="Q107" s="1067" t="s">
        <v>809</v>
      </c>
      <c r="R107" s="308"/>
      <c r="S107" s="1065" t="s">
        <v>657</v>
      </c>
      <c r="T107" s="1067" t="s">
        <v>658</v>
      </c>
    </row>
    <row r="108" spans="2:20" ht="18">
      <c r="B108" s="436"/>
      <c r="C108" s="437"/>
      <c r="D108" s="438" t="s">
        <v>542</v>
      </c>
      <c r="E108" s="434" t="s">
        <v>542</v>
      </c>
      <c r="F108" s="434" t="s">
        <v>542</v>
      </c>
      <c r="G108" s="434" t="s">
        <v>542</v>
      </c>
      <c r="H108" s="435" t="s">
        <v>542</v>
      </c>
      <c r="I108" s="433" t="s">
        <v>542</v>
      </c>
      <c r="J108" s="434" t="s">
        <v>542</v>
      </c>
      <c r="K108" s="434" t="s">
        <v>542</v>
      </c>
      <c r="L108" s="434" t="s">
        <v>542</v>
      </c>
      <c r="M108" s="435" t="s">
        <v>542</v>
      </c>
      <c r="N108" s="424"/>
      <c r="O108" s="1068"/>
      <c r="P108" s="1069"/>
      <c r="Q108" s="1070"/>
      <c r="R108" s="308"/>
      <c r="S108" s="1071"/>
      <c r="T108" s="1072"/>
    </row>
    <row r="109" spans="2:20" ht="14.25" customHeight="1">
      <c r="B109" s="1474" t="s">
        <v>307</v>
      </c>
      <c r="C109" s="488" t="s">
        <v>308</v>
      </c>
      <c r="D109" s="458">
        <v>0</v>
      </c>
      <c r="E109" s="461">
        <v>0</v>
      </c>
      <c r="F109" s="461">
        <v>0</v>
      </c>
      <c r="G109" s="461">
        <v>0.22339002754022322</v>
      </c>
      <c r="H109" s="462">
        <v>1.3354198369406121</v>
      </c>
      <c r="I109" s="460">
        <v>0</v>
      </c>
      <c r="J109" s="461">
        <v>0</v>
      </c>
      <c r="K109" s="461">
        <v>0</v>
      </c>
      <c r="L109" s="461">
        <v>0</v>
      </c>
      <c r="M109" s="462">
        <v>0</v>
      </c>
      <c r="N109" s="424"/>
      <c r="O109" s="1073">
        <v>0</v>
      </c>
      <c r="P109" s="1074">
        <v>1.5588098644808352</v>
      </c>
      <c r="Q109" s="1075">
        <v>1.5588098644808352</v>
      </c>
      <c r="R109" s="308"/>
      <c r="S109" s="1073">
        <v>0</v>
      </c>
      <c r="T109" s="1081">
        <v>-1</v>
      </c>
    </row>
    <row r="110" spans="2:20" ht="14.25">
      <c r="B110" s="1478"/>
      <c r="C110" s="488" t="s">
        <v>309</v>
      </c>
      <c r="D110" s="463">
        <v>9.9735873808477815E-2</v>
      </c>
      <c r="E110" s="466">
        <v>9.9692188064690393E-2</v>
      </c>
      <c r="F110" s="466">
        <v>9.9788993781837976E-2</v>
      </c>
      <c r="G110" s="466">
        <v>0.89356011016089287</v>
      </c>
      <c r="H110" s="467">
        <v>0.55642493205858845</v>
      </c>
      <c r="I110" s="465">
        <v>0.74291475100103177</v>
      </c>
      <c r="J110" s="466">
        <v>0.72574052795610933</v>
      </c>
      <c r="K110" s="466">
        <v>0.82797787766837838</v>
      </c>
      <c r="L110" s="466">
        <v>0.82773200267249958</v>
      </c>
      <c r="M110" s="467">
        <v>0.83507678229005744</v>
      </c>
      <c r="N110" s="424"/>
      <c r="O110" s="1073">
        <v>0.29921705565500617</v>
      </c>
      <c r="P110" s="1074">
        <v>1.4499850422194813</v>
      </c>
      <c r="Q110" s="1075">
        <v>1.7492020978744875</v>
      </c>
      <c r="R110" s="308"/>
      <c r="S110" s="1073">
        <v>3.9594419415880768</v>
      </c>
      <c r="T110" s="1081">
        <v>1.2635703138015462</v>
      </c>
    </row>
    <row r="111" spans="2:20" ht="14.25">
      <c r="B111" s="1478"/>
      <c r="C111" s="488" t="s">
        <v>310</v>
      </c>
      <c r="D111" s="463">
        <v>0.29920762142543345</v>
      </c>
      <c r="E111" s="466">
        <v>0.39876875225876157</v>
      </c>
      <c r="F111" s="466">
        <v>0.59873396269102785</v>
      </c>
      <c r="G111" s="466">
        <v>3.7976304681837947</v>
      </c>
      <c r="H111" s="467">
        <v>2.8934096467046597</v>
      </c>
      <c r="I111" s="465">
        <v>0.53065339357216557</v>
      </c>
      <c r="J111" s="466">
        <v>0.51838609139722092</v>
      </c>
      <c r="K111" s="466">
        <v>0.51748617354273641</v>
      </c>
      <c r="L111" s="466">
        <v>0.51733250167031231</v>
      </c>
      <c r="M111" s="467">
        <v>0.52192298893128586</v>
      </c>
      <c r="N111" s="424"/>
      <c r="O111" s="1073"/>
      <c r="P111" s="1074"/>
      <c r="Q111" s="1075"/>
      <c r="R111" s="308"/>
      <c r="S111" s="1073"/>
      <c r="T111" s="1081"/>
    </row>
    <row r="112" spans="2:20" ht="14.25">
      <c r="B112" s="1478"/>
      <c r="C112" s="488" t="s">
        <v>311</v>
      </c>
      <c r="D112" s="463">
        <v>0</v>
      </c>
      <c r="E112" s="466">
        <v>0</v>
      </c>
      <c r="F112" s="466">
        <v>0</v>
      </c>
      <c r="G112" s="466">
        <v>0</v>
      </c>
      <c r="H112" s="467">
        <v>0</v>
      </c>
      <c r="I112" s="465">
        <v>0</v>
      </c>
      <c r="J112" s="466">
        <v>0</v>
      </c>
      <c r="K112" s="466">
        <v>0</v>
      </c>
      <c r="L112" s="466">
        <v>0</v>
      </c>
      <c r="M112" s="467">
        <v>0</v>
      </c>
      <c r="N112" s="424"/>
      <c r="O112" s="1073"/>
      <c r="P112" s="1074"/>
      <c r="Q112" s="1075"/>
      <c r="R112" s="308"/>
      <c r="S112" s="1073"/>
      <c r="T112" s="1081"/>
    </row>
    <row r="113" spans="2:20" ht="14.25">
      <c r="B113" s="1478"/>
      <c r="C113" s="488" t="s">
        <v>312</v>
      </c>
      <c r="D113" s="463">
        <v>0</v>
      </c>
      <c r="E113" s="466">
        <v>0</v>
      </c>
      <c r="F113" s="466">
        <v>0</v>
      </c>
      <c r="G113" s="466">
        <v>0</v>
      </c>
      <c r="H113" s="467">
        <v>0</v>
      </c>
      <c r="I113" s="465">
        <v>0</v>
      </c>
      <c r="J113" s="466">
        <v>0</v>
      </c>
      <c r="K113" s="466">
        <v>0</v>
      </c>
      <c r="L113" s="466">
        <v>0</v>
      </c>
      <c r="M113" s="467">
        <v>0</v>
      </c>
      <c r="N113" s="424"/>
      <c r="O113" s="1073"/>
      <c r="P113" s="1074"/>
      <c r="Q113" s="1075"/>
      <c r="R113" s="308"/>
      <c r="S113" s="1073"/>
      <c r="T113" s="1081"/>
    </row>
    <row r="114" spans="2:20" ht="14.25">
      <c r="B114" s="1479"/>
      <c r="C114" s="489" t="s">
        <v>401</v>
      </c>
      <c r="D114" s="490">
        <v>0.39894349523391126</v>
      </c>
      <c r="E114" s="490">
        <v>0.49846094032345195</v>
      </c>
      <c r="F114" s="490">
        <v>0.69852295647286589</v>
      </c>
      <c r="G114" s="490">
        <v>4.9145806058849111</v>
      </c>
      <c r="H114" s="491">
        <v>4.7852544157038608</v>
      </c>
      <c r="I114" s="492">
        <v>1.2735681445731974</v>
      </c>
      <c r="J114" s="490">
        <v>1.2441266193533302</v>
      </c>
      <c r="K114" s="490">
        <v>1.3454640512111147</v>
      </c>
      <c r="L114" s="490">
        <v>1.3450645043428118</v>
      </c>
      <c r="M114" s="491">
        <v>1.3569997712213433</v>
      </c>
      <c r="N114" s="424"/>
      <c r="O114" s="1073">
        <v>1.595927392030229</v>
      </c>
      <c r="P114" s="1074">
        <v>9.6998350215887719</v>
      </c>
      <c r="Q114" s="1075">
        <v>11.295762413619002</v>
      </c>
      <c r="R114" s="308"/>
      <c r="S114" s="1073">
        <v>6.5652230907017977</v>
      </c>
      <c r="T114" s="1081">
        <v>-0.41878884750742618</v>
      </c>
    </row>
    <row r="115" spans="2:20" ht="14.25" customHeight="1">
      <c r="B115" s="1474" t="s">
        <v>802</v>
      </c>
      <c r="C115" s="488" t="s">
        <v>308</v>
      </c>
      <c r="D115" s="463">
        <v>1.2965663595102117</v>
      </c>
      <c r="E115" s="466">
        <v>1.2959984448409752</v>
      </c>
      <c r="F115" s="466">
        <v>1.2972569191638936</v>
      </c>
      <c r="G115" s="466">
        <v>5.5847506885055802</v>
      </c>
      <c r="H115" s="467">
        <v>5.1191093749390122</v>
      </c>
      <c r="I115" s="465">
        <v>2.2287442530030956</v>
      </c>
      <c r="J115" s="466">
        <v>1.9698671473094393</v>
      </c>
      <c r="K115" s="466">
        <v>1.8629502247538514</v>
      </c>
      <c r="L115" s="466">
        <v>1.7589305056790614</v>
      </c>
      <c r="M115" s="467">
        <v>1.7745381623663716</v>
      </c>
      <c r="N115" s="424"/>
      <c r="O115" s="1073">
        <v>3.8898217235150803</v>
      </c>
      <c r="P115" s="1074">
        <v>10.703860063444592</v>
      </c>
      <c r="Q115" s="1075">
        <v>14.593681786959671</v>
      </c>
      <c r="R115" s="308"/>
      <c r="S115" s="1073">
        <v>9.5950302931118188</v>
      </c>
      <c r="T115" s="1081">
        <v>-0.34252161769858835</v>
      </c>
    </row>
    <row r="116" spans="2:20" ht="14.25">
      <c r="B116" s="1478"/>
      <c r="C116" s="488" t="s">
        <v>309</v>
      </c>
      <c r="D116" s="463">
        <v>0.59841524285086689</v>
      </c>
      <c r="E116" s="466">
        <v>0.59815312838814227</v>
      </c>
      <c r="F116" s="466">
        <v>0.59873396269102785</v>
      </c>
      <c r="G116" s="466">
        <v>2.457290302942456</v>
      </c>
      <c r="H116" s="467">
        <v>3.5611195651749656</v>
      </c>
      <c r="I116" s="465">
        <v>4.139096469862892</v>
      </c>
      <c r="J116" s="466">
        <v>3.836057076339435</v>
      </c>
      <c r="K116" s="466">
        <v>3.6224032147991552</v>
      </c>
      <c r="L116" s="466">
        <v>3.4143945110240606</v>
      </c>
      <c r="M116" s="467">
        <v>3.3403071291602298</v>
      </c>
      <c r="N116" s="424"/>
      <c r="O116" s="1073">
        <v>1.7953023339300369</v>
      </c>
      <c r="P116" s="1074">
        <v>6.0184098681174216</v>
      </c>
      <c r="Q116" s="1075">
        <v>7.8137122020474585</v>
      </c>
      <c r="R116" s="308"/>
      <c r="S116" s="1073">
        <v>18.352258401185772</v>
      </c>
      <c r="T116" s="1081">
        <v>1.3487246428626916</v>
      </c>
    </row>
    <row r="117" spans="2:20" ht="14.25">
      <c r="B117" s="1478"/>
      <c r="C117" s="488" t="s">
        <v>310</v>
      </c>
      <c r="D117" s="463">
        <v>0.79788699046782252</v>
      </c>
      <c r="E117" s="466">
        <v>0.79753750451752314</v>
      </c>
      <c r="F117" s="466">
        <v>0.79831195025470381</v>
      </c>
      <c r="G117" s="466">
        <v>3.5742404406435715</v>
      </c>
      <c r="H117" s="467">
        <v>1.4467048233523299</v>
      </c>
      <c r="I117" s="465">
        <v>0</v>
      </c>
      <c r="J117" s="466">
        <v>0</v>
      </c>
      <c r="K117" s="466">
        <v>0</v>
      </c>
      <c r="L117" s="466">
        <v>0</v>
      </c>
      <c r="M117" s="467">
        <v>0</v>
      </c>
      <c r="N117" s="424"/>
      <c r="O117" s="1073"/>
      <c r="P117" s="1074"/>
      <c r="Q117" s="1075"/>
      <c r="R117" s="308"/>
      <c r="S117" s="1073"/>
      <c r="T117" s="1081"/>
    </row>
    <row r="118" spans="2:20" ht="14.25">
      <c r="B118" s="1478"/>
      <c r="C118" s="488" t="s">
        <v>311</v>
      </c>
      <c r="D118" s="463">
        <v>0</v>
      </c>
      <c r="E118" s="466">
        <v>0</v>
      </c>
      <c r="F118" s="466">
        <v>0</v>
      </c>
      <c r="G118" s="466">
        <v>0</v>
      </c>
      <c r="H118" s="467">
        <v>0</v>
      </c>
      <c r="I118" s="465">
        <v>0</v>
      </c>
      <c r="J118" s="466">
        <v>0</v>
      </c>
      <c r="K118" s="466">
        <v>0</v>
      </c>
      <c r="L118" s="466">
        <v>0</v>
      </c>
      <c r="M118" s="467">
        <v>0</v>
      </c>
      <c r="N118" s="424"/>
      <c r="O118" s="1073"/>
      <c r="P118" s="1074"/>
      <c r="Q118" s="1075"/>
      <c r="R118" s="308"/>
      <c r="S118" s="1073"/>
      <c r="T118" s="1081"/>
    </row>
    <row r="119" spans="2:20" ht="14.25">
      <c r="B119" s="1478"/>
      <c r="C119" s="488" t="s">
        <v>312</v>
      </c>
      <c r="D119" s="463">
        <v>0</v>
      </c>
      <c r="E119" s="466">
        <v>0</v>
      </c>
      <c r="F119" s="466">
        <v>0</v>
      </c>
      <c r="G119" s="466">
        <v>0</v>
      </c>
      <c r="H119" s="467">
        <v>0</v>
      </c>
      <c r="I119" s="465">
        <v>0</v>
      </c>
      <c r="J119" s="466">
        <v>0</v>
      </c>
      <c r="K119" s="466">
        <v>0</v>
      </c>
      <c r="L119" s="466">
        <v>0</v>
      </c>
      <c r="M119" s="467">
        <v>0</v>
      </c>
      <c r="N119" s="424"/>
      <c r="O119" s="1073"/>
      <c r="P119" s="1074"/>
      <c r="Q119" s="1075"/>
      <c r="R119" s="308"/>
      <c r="S119" s="1073"/>
      <c r="T119" s="1081"/>
    </row>
    <row r="120" spans="2:20" ht="14.25">
      <c r="B120" s="1479"/>
      <c r="C120" s="489" t="s">
        <v>401</v>
      </c>
      <c r="D120" s="490">
        <v>2.6928685928289013</v>
      </c>
      <c r="E120" s="490">
        <v>2.6916890777466405</v>
      </c>
      <c r="F120" s="490">
        <v>2.6943028321096252</v>
      </c>
      <c r="G120" s="490">
        <v>11.616281432091608</v>
      </c>
      <c r="H120" s="491">
        <v>10.126933763466308</v>
      </c>
      <c r="I120" s="492">
        <v>6.3678407228659877</v>
      </c>
      <c r="J120" s="490">
        <v>5.8059242236488746</v>
      </c>
      <c r="K120" s="490">
        <v>5.4853534395530064</v>
      </c>
      <c r="L120" s="490">
        <v>5.1733250167031217</v>
      </c>
      <c r="M120" s="491">
        <v>5.1148452915266009</v>
      </c>
      <c r="N120" s="424"/>
      <c r="O120" s="1073">
        <v>8.078860502685167</v>
      </c>
      <c r="P120" s="1074">
        <v>21.743215195557916</v>
      </c>
      <c r="Q120" s="1075">
        <v>29.822075698243083</v>
      </c>
      <c r="R120" s="308"/>
      <c r="S120" s="1073">
        <v>27.94728869429759</v>
      </c>
      <c r="T120" s="1081">
        <v>-6.2865744923849901E-2</v>
      </c>
    </row>
    <row r="121" spans="2:20" ht="14.25" customHeight="1">
      <c r="B121" s="1473" t="s">
        <v>402</v>
      </c>
      <c r="C121" s="488" t="s">
        <v>308</v>
      </c>
      <c r="D121" s="463">
        <v>9.9735873808477815E-2</v>
      </c>
      <c r="E121" s="466">
        <v>0.49846094032345195</v>
      </c>
      <c r="F121" s="466">
        <v>0.99788993781837976</v>
      </c>
      <c r="G121" s="466">
        <v>3.4625454268734597</v>
      </c>
      <c r="H121" s="467">
        <v>0.66770991847030603</v>
      </c>
      <c r="I121" s="465">
        <v>0</v>
      </c>
      <c r="J121" s="466">
        <v>0.10367721827944419</v>
      </c>
      <c r="K121" s="466">
        <v>0.41398893883418919</v>
      </c>
      <c r="L121" s="466">
        <v>0</v>
      </c>
      <c r="M121" s="467">
        <v>0.20876919557251436</v>
      </c>
      <c r="N121" s="424"/>
      <c r="O121" s="1073">
        <v>1.5960867519503097</v>
      </c>
      <c r="P121" s="1074">
        <v>4.130255345343766</v>
      </c>
      <c r="Q121" s="1075">
        <v>5.7263420972940757</v>
      </c>
      <c r="R121" s="308"/>
      <c r="S121" s="1073">
        <v>0.72643535268614778</v>
      </c>
      <c r="T121" s="1081">
        <v>-0.87314146791379843</v>
      </c>
    </row>
    <row r="122" spans="2:20" ht="14.25" customHeight="1">
      <c r="B122" s="1474"/>
      <c r="C122" s="488" t="s">
        <v>309</v>
      </c>
      <c r="D122" s="463">
        <v>0</v>
      </c>
      <c r="E122" s="466">
        <v>0</v>
      </c>
      <c r="F122" s="466">
        <v>0</v>
      </c>
      <c r="G122" s="466">
        <v>0</v>
      </c>
      <c r="H122" s="467">
        <v>0</v>
      </c>
      <c r="I122" s="465">
        <v>1.804221538145363</v>
      </c>
      <c r="J122" s="466">
        <v>5.9096014419283183</v>
      </c>
      <c r="K122" s="466">
        <v>1.9664474594623982</v>
      </c>
      <c r="L122" s="466">
        <v>11.070915535744682</v>
      </c>
      <c r="M122" s="467">
        <v>6.8893834538929735</v>
      </c>
      <c r="N122" s="424"/>
      <c r="O122" s="1073">
        <v>0</v>
      </c>
      <c r="P122" s="1074">
        <v>0</v>
      </c>
      <c r="Q122" s="1075">
        <v>0</v>
      </c>
      <c r="R122" s="308"/>
      <c r="S122" s="1073">
        <v>27.640569429173738</v>
      </c>
      <c r="T122" s="1081" t="s">
        <v>816</v>
      </c>
    </row>
    <row r="123" spans="2:20" ht="14.25" customHeight="1">
      <c r="B123" s="1474"/>
      <c r="C123" s="488" t="s">
        <v>310</v>
      </c>
      <c r="D123" s="463">
        <v>0</v>
      </c>
      <c r="E123" s="466">
        <v>0</v>
      </c>
      <c r="F123" s="466">
        <v>0</v>
      </c>
      <c r="G123" s="466">
        <v>0</v>
      </c>
      <c r="H123" s="467">
        <v>0.22256997282343535</v>
      </c>
      <c r="I123" s="465">
        <v>0</v>
      </c>
      <c r="J123" s="466">
        <v>0.41470887311777677</v>
      </c>
      <c r="K123" s="466">
        <v>0</v>
      </c>
      <c r="L123" s="466">
        <v>0</v>
      </c>
      <c r="M123" s="467">
        <v>0</v>
      </c>
      <c r="N123" s="424"/>
      <c r="O123" s="1073"/>
      <c r="P123" s="1074"/>
      <c r="Q123" s="1075"/>
      <c r="R123" s="308"/>
      <c r="S123" s="1073"/>
      <c r="T123" s="1081"/>
    </row>
    <row r="124" spans="2:20" ht="14.25" customHeight="1">
      <c r="B124" s="1474"/>
      <c r="C124" s="488" t="s">
        <v>312</v>
      </c>
      <c r="D124" s="463">
        <v>0</v>
      </c>
      <c r="E124" s="466">
        <v>0</v>
      </c>
      <c r="F124" s="466">
        <v>0</v>
      </c>
      <c r="G124" s="466">
        <v>0</v>
      </c>
      <c r="H124" s="467">
        <v>0</v>
      </c>
      <c r="I124" s="465">
        <v>0</v>
      </c>
      <c r="J124" s="466">
        <v>0</v>
      </c>
      <c r="K124" s="466">
        <v>0</v>
      </c>
      <c r="L124" s="466">
        <v>0</v>
      </c>
      <c r="M124" s="467">
        <v>0</v>
      </c>
      <c r="N124" s="424"/>
      <c r="O124" s="1073"/>
      <c r="P124" s="1074"/>
      <c r="Q124" s="1075"/>
      <c r="R124" s="308"/>
      <c r="S124" s="1073"/>
      <c r="T124" s="1081"/>
    </row>
    <row r="125" spans="2:20" ht="14.25" customHeight="1">
      <c r="B125" s="1473" t="s">
        <v>403</v>
      </c>
      <c r="C125" s="488" t="s">
        <v>404</v>
      </c>
      <c r="D125" s="463">
        <v>0</v>
      </c>
      <c r="E125" s="466">
        <v>0</v>
      </c>
      <c r="F125" s="466">
        <v>0</v>
      </c>
      <c r="G125" s="466">
        <v>0</v>
      </c>
      <c r="H125" s="467">
        <v>0</v>
      </c>
      <c r="I125" s="465">
        <v>0</v>
      </c>
      <c r="J125" s="466">
        <v>0</v>
      </c>
      <c r="K125" s="466">
        <v>0</v>
      </c>
      <c r="L125" s="466">
        <v>0</v>
      </c>
      <c r="M125" s="467">
        <v>0</v>
      </c>
      <c r="N125" s="424"/>
      <c r="O125" s="1073">
        <v>0</v>
      </c>
      <c r="P125" s="1074">
        <v>0</v>
      </c>
      <c r="Q125" s="1075">
        <v>0</v>
      </c>
      <c r="R125" s="308"/>
      <c r="S125" s="1073">
        <v>0</v>
      </c>
      <c r="T125" s="1081" t="s">
        <v>816</v>
      </c>
    </row>
    <row r="126" spans="2:20" ht="14.25" customHeight="1">
      <c r="B126" s="1474"/>
      <c r="C126" s="493" t="s">
        <v>405</v>
      </c>
      <c r="D126" s="463">
        <v>0</v>
      </c>
      <c r="E126" s="466">
        <v>0</v>
      </c>
      <c r="F126" s="466">
        <v>0</v>
      </c>
      <c r="G126" s="466">
        <v>0</v>
      </c>
      <c r="H126" s="467">
        <v>0</v>
      </c>
      <c r="I126" s="465">
        <v>0.21226135742886626</v>
      </c>
      <c r="J126" s="466">
        <v>0</v>
      </c>
      <c r="K126" s="466">
        <v>0</v>
      </c>
      <c r="L126" s="466">
        <v>0.10346650033406245</v>
      </c>
      <c r="M126" s="467">
        <v>0.31315379335877147</v>
      </c>
      <c r="N126" s="424"/>
      <c r="O126" s="1073">
        <v>0</v>
      </c>
      <c r="P126" s="1074">
        <v>0</v>
      </c>
      <c r="Q126" s="1075">
        <v>0</v>
      </c>
      <c r="R126" s="308"/>
      <c r="S126" s="1073">
        <v>0.62888165112170014</v>
      </c>
      <c r="T126" s="1081" t="s">
        <v>816</v>
      </c>
    </row>
    <row r="127" spans="2:20" ht="14.25" customHeight="1">
      <c r="B127" s="1474"/>
      <c r="C127" s="488" t="s">
        <v>310</v>
      </c>
      <c r="D127" s="463">
        <v>0</v>
      </c>
      <c r="E127" s="463">
        <v>0</v>
      </c>
      <c r="F127" s="463">
        <v>0</v>
      </c>
      <c r="G127" s="463">
        <v>0</v>
      </c>
      <c r="H127" s="464">
        <v>0</v>
      </c>
      <c r="I127" s="465">
        <v>0</v>
      </c>
      <c r="J127" s="463">
        <v>0</v>
      </c>
      <c r="K127" s="463">
        <v>0</v>
      </c>
      <c r="L127" s="463">
        <v>0.20693300066812489</v>
      </c>
      <c r="M127" s="464">
        <v>0</v>
      </c>
      <c r="N127" s="424"/>
      <c r="O127" s="1073"/>
      <c r="P127" s="1074"/>
      <c r="Q127" s="1075"/>
      <c r="R127" s="308"/>
      <c r="S127" s="1073"/>
      <c r="T127" s="1081"/>
    </row>
    <row r="128" spans="2:20" ht="14.25" customHeight="1">
      <c r="B128" s="1474"/>
      <c r="C128" s="488" t="s">
        <v>406</v>
      </c>
      <c r="D128" s="463">
        <v>0</v>
      </c>
      <c r="E128" s="463">
        <v>0</v>
      </c>
      <c r="F128" s="463">
        <v>0</v>
      </c>
      <c r="G128" s="463">
        <v>0</v>
      </c>
      <c r="H128" s="464">
        <v>0</v>
      </c>
      <c r="I128" s="465">
        <v>0</v>
      </c>
      <c r="J128" s="463">
        <v>0</v>
      </c>
      <c r="K128" s="463">
        <v>0</v>
      </c>
      <c r="L128" s="463">
        <v>0.82773200267249958</v>
      </c>
      <c r="M128" s="464">
        <v>0</v>
      </c>
      <c r="N128" s="424"/>
      <c r="O128" s="1073"/>
      <c r="P128" s="1074"/>
      <c r="Q128" s="1075"/>
      <c r="R128" s="308"/>
      <c r="S128" s="1073"/>
      <c r="T128" s="1081"/>
    </row>
    <row r="129" spans="2:20" ht="15">
      <c r="B129" s="1082" t="s">
        <v>407</v>
      </c>
      <c r="C129" s="489" t="s">
        <v>401</v>
      </c>
      <c r="D129" s="490">
        <v>9.9735873808477815E-2</v>
      </c>
      <c r="E129" s="490">
        <v>0.49846094032345195</v>
      </c>
      <c r="F129" s="490">
        <v>0.99788993781837976</v>
      </c>
      <c r="G129" s="490">
        <v>3.4625454268734597</v>
      </c>
      <c r="H129" s="491">
        <v>0.89027989129374141</v>
      </c>
      <c r="I129" s="492">
        <v>2.0164828955742293</v>
      </c>
      <c r="J129" s="490">
        <v>6.4279875333255392</v>
      </c>
      <c r="K129" s="490">
        <v>2.3804363982965873</v>
      </c>
      <c r="L129" s="490">
        <v>12.209047039419369</v>
      </c>
      <c r="M129" s="491">
        <v>7.4113064428242588</v>
      </c>
      <c r="N129" s="424"/>
      <c r="O129" s="1073">
        <v>1.5960867519503097</v>
      </c>
      <c r="P129" s="1074">
        <v>4.3528253181672012</v>
      </c>
      <c r="Q129" s="1075">
        <v>5.9489120701175109</v>
      </c>
      <c r="R129" s="308"/>
      <c r="S129" s="1073">
        <v>30.445260309439984</v>
      </c>
      <c r="T129" s="1081">
        <v>4.1177862356332637</v>
      </c>
    </row>
    <row r="130" spans="2:20" ht="14.25" customHeight="1">
      <c r="B130" s="1473" t="s">
        <v>408</v>
      </c>
      <c r="C130" s="488" t="s">
        <v>308</v>
      </c>
      <c r="D130" s="463">
        <v>0</v>
      </c>
      <c r="E130" s="466">
        <v>0</v>
      </c>
      <c r="F130" s="466">
        <v>0</v>
      </c>
      <c r="G130" s="466">
        <v>0</v>
      </c>
      <c r="H130" s="467">
        <v>0</v>
      </c>
      <c r="I130" s="465">
        <v>0</v>
      </c>
      <c r="J130" s="466">
        <v>0</v>
      </c>
      <c r="K130" s="466">
        <v>0</v>
      </c>
      <c r="L130" s="466">
        <v>0</v>
      </c>
      <c r="M130" s="467">
        <v>0</v>
      </c>
      <c r="N130" s="424"/>
      <c r="O130" s="1073">
        <v>0</v>
      </c>
      <c r="P130" s="1074">
        <v>0</v>
      </c>
      <c r="Q130" s="1075">
        <v>0</v>
      </c>
      <c r="R130" s="308"/>
      <c r="S130" s="1073">
        <v>0</v>
      </c>
      <c r="T130" s="1081" t="s">
        <v>816</v>
      </c>
    </row>
    <row r="131" spans="2:20" ht="14.25" customHeight="1">
      <c r="B131" s="1474"/>
      <c r="C131" s="488" t="s">
        <v>309</v>
      </c>
      <c r="D131" s="463">
        <v>0</v>
      </c>
      <c r="E131" s="466">
        <v>0</v>
      </c>
      <c r="F131" s="466">
        <v>0</v>
      </c>
      <c r="G131" s="466">
        <v>0</v>
      </c>
      <c r="H131" s="467">
        <v>0</v>
      </c>
      <c r="I131" s="465">
        <v>0</v>
      </c>
      <c r="J131" s="466">
        <v>0</v>
      </c>
      <c r="K131" s="466">
        <v>0</v>
      </c>
      <c r="L131" s="466">
        <v>0</v>
      </c>
      <c r="M131" s="467">
        <v>0</v>
      </c>
      <c r="N131" s="424"/>
      <c r="O131" s="1073">
        <v>0</v>
      </c>
      <c r="P131" s="1074">
        <v>0</v>
      </c>
      <c r="Q131" s="1075">
        <v>0</v>
      </c>
      <c r="R131" s="308"/>
      <c r="S131" s="1073">
        <v>0</v>
      </c>
      <c r="T131" s="1081" t="s">
        <v>816</v>
      </c>
    </row>
    <row r="132" spans="2:20" ht="14.25" customHeight="1">
      <c r="B132" s="1474"/>
      <c r="C132" s="488" t="s">
        <v>310</v>
      </c>
      <c r="D132" s="463">
        <v>0</v>
      </c>
      <c r="E132" s="466">
        <v>0</v>
      </c>
      <c r="F132" s="466">
        <v>0</v>
      </c>
      <c r="G132" s="466">
        <v>0</v>
      </c>
      <c r="H132" s="467">
        <v>0</v>
      </c>
      <c r="I132" s="465">
        <v>0</v>
      </c>
      <c r="J132" s="466">
        <v>0</v>
      </c>
      <c r="K132" s="466">
        <v>0</v>
      </c>
      <c r="L132" s="466">
        <v>0</v>
      </c>
      <c r="M132" s="467">
        <v>0</v>
      </c>
      <c r="N132" s="424"/>
      <c r="O132" s="1073"/>
      <c r="P132" s="1074"/>
      <c r="Q132" s="1075"/>
      <c r="R132" s="308"/>
      <c r="S132" s="1073"/>
      <c r="T132" s="1081"/>
    </row>
    <row r="133" spans="2:20" ht="14.25" customHeight="1">
      <c r="B133" s="1474"/>
      <c r="C133" s="488" t="s">
        <v>312</v>
      </c>
      <c r="D133" s="463">
        <v>0</v>
      </c>
      <c r="E133" s="466">
        <v>0</v>
      </c>
      <c r="F133" s="466">
        <v>0</v>
      </c>
      <c r="G133" s="466">
        <v>0</v>
      </c>
      <c r="H133" s="467">
        <v>0</v>
      </c>
      <c r="I133" s="465">
        <v>0</v>
      </c>
      <c r="J133" s="466">
        <v>0</v>
      </c>
      <c r="K133" s="466">
        <v>0</v>
      </c>
      <c r="L133" s="466">
        <v>0</v>
      </c>
      <c r="M133" s="467">
        <v>0</v>
      </c>
      <c r="N133" s="424"/>
      <c r="O133" s="1073"/>
      <c r="P133" s="1074"/>
      <c r="Q133" s="1075"/>
      <c r="R133" s="308"/>
      <c r="S133" s="1073"/>
      <c r="T133" s="1081"/>
    </row>
    <row r="134" spans="2:20" ht="14.25" customHeight="1">
      <c r="B134" s="1473" t="s">
        <v>409</v>
      </c>
      <c r="C134" s="488" t="s">
        <v>404</v>
      </c>
      <c r="D134" s="463">
        <v>0</v>
      </c>
      <c r="E134" s="466">
        <v>0</v>
      </c>
      <c r="F134" s="466">
        <v>0</v>
      </c>
      <c r="G134" s="466">
        <v>0</v>
      </c>
      <c r="H134" s="467">
        <v>0</v>
      </c>
      <c r="I134" s="465">
        <v>0</v>
      </c>
      <c r="J134" s="466">
        <v>0</v>
      </c>
      <c r="K134" s="466">
        <v>0</v>
      </c>
      <c r="L134" s="466">
        <v>0</v>
      </c>
      <c r="M134" s="467">
        <v>0</v>
      </c>
      <c r="N134" s="424"/>
      <c r="O134" s="1073"/>
      <c r="P134" s="1074"/>
      <c r="Q134" s="1075"/>
      <c r="R134" s="308"/>
      <c r="S134" s="1073"/>
      <c r="T134" s="1081"/>
    </row>
    <row r="135" spans="2:20" ht="14.25" customHeight="1">
      <c r="B135" s="1474"/>
      <c r="C135" s="493" t="s">
        <v>405</v>
      </c>
      <c r="D135" s="463">
        <v>0.79788699046782252</v>
      </c>
      <c r="E135" s="466">
        <v>0.89722969258221352</v>
      </c>
      <c r="F135" s="466">
        <v>7.7835415149833613</v>
      </c>
      <c r="G135" s="466">
        <v>8.3771260327583708</v>
      </c>
      <c r="H135" s="467">
        <v>3.7836895379984008</v>
      </c>
      <c r="I135" s="465">
        <v>2.1226135742886623</v>
      </c>
      <c r="J135" s="466">
        <v>0</v>
      </c>
      <c r="K135" s="466">
        <v>0.72448064295983106</v>
      </c>
      <c r="L135" s="466">
        <v>0</v>
      </c>
      <c r="M135" s="467">
        <v>4.3841531070228017</v>
      </c>
      <c r="N135" s="424"/>
      <c r="O135" s="1073">
        <v>9.478658198033397</v>
      </c>
      <c r="P135" s="1074">
        <v>12.160815570756771</v>
      </c>
      <c r="Q135" s="1075">
        <v>21.639473768790172</v>
      </c>
      <c r="R135" s="308"/>
      <c r="S135" s="1073">
        <v>7.2312473242712949</v>
      </c>
      <c r="T135" s="1081">
        <v>-0.66583072206216676</v>
      </c>
    </row>
    <row r="136" spans="2:20" ht="14.25" customHeight="1">
      <c r="B136" s="1474"/>
      <c r="C136" s="488" t="s">
        <v>310</v>
      </c>
      <c r="D136" s="463">
        <v>0</v>
      </c>
      <c r="E136" s="466">
        <v>0</v>
      </c>
      <c r="F136" s="466">
        <v>0</v>
      </c>
      <c r="G136" s="466">
        <v>0</v>
      </c>
      <c r="H136" s="467">
        <v>3.1159796195280949</v>
      </c>
      <c r="I136" s="465">
        <v>0</v>
      </c>
      <c r="J136" s="466">
        <v>0</v>
      </c>
      <c r="K136" s="466">
        <v>0</v>
      </c>
      <c r="L136" s="466">
        <v>0</v>
      </c>
      <c r="M136" s="467">
        <v>0</v>
      </c>
      <c r="N136" s="424"/>
      <c r="O136" s="1073"/>
      <c r="P136" s="1074"/>
      <c r="Q136" s="1075"/>
      <c r="R136" s="308"/>
      <c r="S136" s="1073"/>
      <c r="T136" s="1081"/>
    </row>
    <row r="137" spans="2:20" ht="14.25" customHeight="1">
      <c r="B137" s="1474"/>
      <c r="C137" s="488" t="s">
        <v>406</v>
      </c>
      <c r="D137" s="463">
        <v>0</v>
      </c>
      <c r="E137" s="466">
        <v>0</v>
      </c>
      <c r="F137" s="466">
        <v>0</v>
      </c>
      <c r="G137" s="466">
        <v>0</v>
      </c>
      <c r="H137" s="467">
        <v>0</v>
      </c>
      <c r="I137" s="465">
        <v>0.63678407228659872</v>
      </c>
      <c r="J137" s="466">
        <v>0</v>
      </c>
      <c r="K137" s="466">
        <v>0</v>
      </c>
      <c r="L137" s="466">
        <v>0</v>
      </c>
      <c r="M137" s="467">
        <v>0</v>
      </c>
      <c r="N137" s="424"/>
      <c r="O137" s="1073">
        <v>0</v>
      </c>
      <c r="P137" s="1074">
        <v>0</v>
      </c>
      <c r="Q137" s="1075">
        <v>0</v>
      </c>
      <c r="R137" s="308"/>
      <c r="S137" s="1073">
        <v>0.63678407228659872</v>
      </c>
      <c r="T137" s="1081" t="s">
        <v>816</v>
      </c>
    </row>
    <row r="138" spans="2:20" ht="15" thickBot="1">
      <c r="B138" s="494" t="s">
        <v>314</v>
      </c>
      <c r="C138" s="495" t="s">
        <v>401</v>
      </c>
      <c r="D138" s="496">
        <v>0.79788699046782252</v>
      </c>
      <c r="E138" s="496">
        <v>0.89722969258221352</v>
      </c>
      <c r="F138" s="496">
        <v>7.7835415149833613</v>
      </c>
      <c r="G138" s="496">
        <v>8.3771260327583708</v>
      </c>
      <c r="H138" s="497">
        <v>6.8996691575264961</v>
      </c>
      <c r="I138" s="498">
        <v>2.7593976465752608</v>
      </c>
      <c r="J138" s="496">
        <v>0</v>
      </c>
      <c r="K138" s="496">
        <v>0.72448064295983106</v>
      </c>
      <c r="L138" s="496">
        <v>0</v>
      </c>
      <c r="M138" s="497">
        <v>4.3841531070228017</v>
      </c>
      <c r="N138" s="424"/>
      <c r="O138" s="1077">
        <v>9.478658198033397</v>
      </c>
      <c r="P138" s="1078">
        <v>15.276795190284867</v>
      </c>
      <c r="Q138" s="1079">
        <v>24.755453388318266</v>
      </c>
      <c r="R138" s="308"/>
      <c r="S138" s="1077">
        <v>7.8680313965578934</v>
      </c>
      <c r="T138" s="1083">
        <v>-0.68216977192303407</v>
      </c>
    </row>
    <row r="139" spans="2:20" ht="14.25">
      <c r="B139" s="424"/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 s="424"/>
      <c r="O139" s="424"/>
      <c r="P139" s="424"/>
      <c r="Q139" s="424"/>
      <c r="R139" s="457"/>
      <c r="S139" s="457"/>
      <c r="T139" s="457"/>
    </row>
  </sheetData>
  <mergeCells count="24">
    <mergeCell ref="B62:B67"/>
    <mergeCell ref="B10:B11"/>
    <mergeCell ref="B12:B13"/>
    <mergeCell ref="B14:B16"/>
    <mergeCell ref="B17:B22"/>
    <mergeCell ref="B23:B28"/>
    <mergeCell ref="B29:B34"/>
    <mergeCell ref="B43:B44"/>
    <mergeCell ref="B45:B46"/>
    <mergeCell ref="B47:B49"/>
    <mergeCell ref="B50:B55"/>
    <mergeCell ref="B56:B61"/>
    <mergeCell ref="B134:B137"/>
    <mergeCell ref="B76:B77"/>
    <mergeCell ref="B78:B79"/>
    <mergeCell ref="B80:B82"/>
    <mergeCell ref="B83:B88"/>
    <mergeCell ref="B89:B94"/>
    <mergeCell ref="B95:B100"/>
    <mergeCell ref="B109:B114"/>
    <mergeCell ref="B115:B120"/>
    <mergeCell ref="B121:B124"/>
    <mergeCell ref="B125:B128"/>
    <mergeCell ref="B130:B133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zoomScale="90" workbookViewId="0">
      <selection activeCell="G22" sqref="G22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7.85546875" customWidth="1"/>
    <col min="9" max="9" width="8.85546875" customWidth="1"/>
    <col min="10" max="10" width="15.42578125" customWidth="1"/>
  </cols>
  <sheetData>
    <row r="1" spans="1:11">
      <c r="A1" s="896" t="s">
        <v>498</v>
      </c>
      <c r="F1" s="891" t="s">
        <v>774</v>
      </c>
    </row>
    <row r="2" spans="1:11">
      <c r="A2" s="896"/>
    </row>
    <row r="3" spans="1:11">
      <c r="A3" s="896" t="s">
        <v>198</v>
      </c>
    </row>
    <row r="4" spans="1:11">
      <c r="A4" s="896"/>
    </row>
    <row r="6" spans="1:11" ht="13.5" thickBot="1"/>
    <row r="7" spans="1:11">
      <c r="B7" s="1008"/>
      <c r="C7" s="1009"/>
      <c r="D7" s="1009"/>
      <c r="E7" s="1009" t="s">
        <v>323</v>
      </c>
      <c r="F7" s="1010" t="s">
        <v>559</v>
      </c>
      <c r="G7" s="1011" t="s">
        <v>324</v>
      </c>
      <c r="H7" s="499"/>
      <c r="I7" s="1011" t="s">
        <v>325</v>
      </c>
      <c r="J7" s="499"/>
    </row>
    <row r="8" spans="1:11" ht="51">
      <c r="B8" s="1012"/>
      <c r="C8" s="1013"/>
      <c r="D8" s="1013"/>
      <c r="E8" s="1013"/>
      <c r="F8" s="1014"/>
      <c r="G8" s="1015" t="s">
        <v>326</v>
      </c>
      <c r="H8" s="1016" t="s">
        <v>336</v>
      </c>
      <c r="I8" s="1015" t="s">
        <v>326</v>
      </c>
      <c r="J8" s="1016" t="s">
        <v>336</v>
      </c>
      <c r="K8" s="1017" t="s">
        <v>815</v>
      </c>
    </row>
    <row r="9" spans="1:11" ht="13.5" thickBot="1">
      <c r="B9" s="1018"/>
      <c r="C9" s="1019"/>
      <c r="D9" s="1019"/>
      <c r="E9" s="1019"/>
      <c r="F9" s="1020"/>
      <c r="G9" s="1021" t="s">
        <v>337</v>
      </c>
      <c r="H9" s="1022" t="s">
        <v>337</v>
      </c>
      <c r="I9" s="1021" t="s">
        <v>337</v>
      </c>
      <c r="J9" s="1022" t="s">
        <v>337</v>
      </c>
      <c r="K9" s="1022" t="s">
        <v>337</v>
      </c>
    </row>
    <row r="10" spans="1:11">
      <c r="B10" s="1023"/>
      <c r="C10" s="1024" t="s">
        <v>173</v>
      </c>
      <c r="D10" s="1024"/>
      <c r="E10" s="1025"/>
      <c r="F10" s="1026"/>
      <c r="G10" s="1027"/>
      <c r="H10" s="1028"/>
      <c r="I10" s="1027"/>
      <c r="J10" s="1028"/>
    </row>
    <row r="11" spans="1:11">
      <c r="B11" s="1023"/>
      <c r="C11" s="1025"/>
      <c r="D11" s="1029" t="s">
        <v>788</v>
      </c>
      <c r="E11" s="1025"/>
      <c r="F11" s="1030"/>
      <c r="G11" s="1031"/>
      <c r="H11" s="1032"/>
      <c r="I11" s="1031"/>
      <c r="J11" s="1032"/>
    </row>
    <row r="12" spans="1:11">
      <c r="B12" s="1033"/>
      <c r="C12" s="1025"/>
      <c r="D12" s="1025"/>
      <c r="E12" s="1025" t="s">
        <v>174</v>
      </c>
      <c r="F12" s="1034" t="s">
        <v>717</v>
      </c>
      <c r="G12" s="500">
        <v>26.001000000000001</v>
      </c>
      <c r="H12" s="501">
        <v>2.7995060090339408</v>
      </c>
      <c r="I12" s="500">
        <v>35.095999999999997</v>
      </c>
      <c r="J12" s="501">
        <v>4.4139101070695332</v>
      </c>
      <c r="K12" s="1035">
        <f>SUM(I12:J12)</f>
        <v>39.50991010706953</v>
      </c>
    </row>
    <row r="13" spans="1:11">
      <c r="B13" s="1033"/>
      <c r="C13" s="1025"/>
      <c r="D13" s="1025"/>
      <c r="E13" s="1025" t="s">
        <v>175</v>
      </c>
      <c r="F13" s="1034" t="s">
        <v>428</v>
      </c>
      <c r="G13" s="500">
        <v>0.21400000000000002</v>
      </c>
      <c r="H13" s="501">
        <v>2.3041201720443952E-2</v>
      </c>
      <c r="I13" s="500">
        <v>0.42800000000000005</v>
      </c>
      <c r="J13" s="501">
        <v>5.3828172037433328E-2</v>
      </c>
      <c r="K13" s="1035">
        <f>SUM(I13:J13)</f>
        <v>0.48182817203743339</v>
      </c>
    </row>
    <row r="14" spans="1:11">
      <c r="B14" s="1033"/>
      <c r="C14" s="1025"/>
      <c r="D14" s="1025"/>
      <c r="E14" s="1025"/>
      <c r="F14" s="1034"/>
      <c r="G14" s="1036"/>
      <c r="H14" s="1037"/>
      <c r="I14" s="1036"/>
      <c r="J14" s="1037"/>
    </row>
    <row r="15" spans="1:11">
      <c r="B15" s="1033"/>
      <c r="C15" s="1025"/>
      <c r="D15" s="1029" t="s">
        <v>429</v>
      </c>
      <c r="E15" s="1025"/>
      <c r="F15" s="1034"/>
      <c r="G15" s="1036"/>
      <c r="H15" s="1037"/>
      <c r="I15" s="1036"/>
      <c r="J15" s="1037"/>
    </row>
    <row r="16" spans="1:11">
      <c r="B16" s="1033"/>
      <c r="C16" s="1025"/>
      <c r="D16" s="1025"/>
      <c r="E16" s="1025" t="s">
        <v>430</v>
      </c>
      <c r="F16" s="1034" t="s">
        <v>428</v>
      </c>
      <c r="G16" s="500">
        <v>0</v>
      </c>
      <c r="H16" s="501">
        <v>0</v>
      </c>
      <c r="I16" s="500">
        <v>0</v>
      </c>
      <c r="J16" s="501">
        <v>0</v>
      </c>
      <c r="K16" s="1035">
        <f>SUM(I16:J16)</f>
        <v>0</v>
      </c>
    </row>
    <row r="17" spans="2:11">
      <c r="B17" s="1033"/>
      <c r="C17" s="1025"/>
      <c r="D17" s="1025"/>
      <c r="E17" s="1025"/>
      <c r="F17" s="1034"/>
      <c r="G17" s="1036"/>
      <c r="H17" s="1037"/>
      <c r="I17" s="1036"/>
      <c r="J17" s="1037"/>
    </row>
    <row r="18" spans="2:11">
      <c r="B18" s="1033"/>
      <c r="C18" s="1025"/>
      <c r="D18" s="1029" t="s">
        <v>519</v>
      </c>
      <c r="E18" s="1025"/>
      <c r="F18" s="1034"/>
      <c r="G18" s="1036"/>
      <c r="H18" s="1037"/>
      <c r="I18" s="1036"/>
      <c r="J18" s="1037"/>
    </row>
    <row r="19" spans="2:11">
      <c r="B19" s="1033"/>
      <c r="C19" s="1025"/>
      <c r="D19" s="1029"/>
      <c r="E19" s="1025" t="s">
        <v>458</v>
      </c>
      <c r="F19" s="1034" t="s">
        <v>717</v>
      </c>
      <c r="G19" s="500">
        <v>103.46900000000001</v>
      </c>
      <c r="H19" s="501">
        <v>11.14042103183465</v>
      </c>
      <c r="I19" s="500">
        <v>107</v>
      </c>
      <c r="J19" s="501">
        <v>13.457043009358333</v>
      </c>
      <c r="K19" s="1035">
        <f>SUM(I19:J19)</f>
        <v>120.45704300935833</v>
      </c>
    </row>
    <row r="20" spans="2:11">
      <c r="B20" s="1033"/>
      <c r="C20" s="1025"/>
      <c r="D20" s="1029"/>
      <c r="E20" s="1025" t="s">
        <v>316</v>
      </c>
      <c r="F20" s="1034" t="s">
        <v>717</v>
      </c>
      <c r="G20" s="500">
        <v>103.46900000000001</v>
      </c>
      <c r="H20" s="501">
        <v>11.14042103183465</v>
      </c>
      <c r="I20" s="500">
        <v>107</v>
      </c>
      <c r="J20" s="501">
        <v>13.457043009358333</v>
      </c>
      <c r="K20" s="1035">
        <f>SUM(I20:J20)</f>
        <v>120.45704300935833</v>
      </c>
    </row>
    <row r="21" spans="2:11">
      <c r="B21" s="1033"/>
      <c r="C21" s="1025"/>
      <c r="D21" s="1029"/>
      <c r="E21" s="1025" t="s">
        <v>317</v>
      </c>
      <c r="F21" s="1034" t="s">
        <v>717</v>
      </c>
      <c r="G21" s="500">
        <v>103.46900000000001</v>
      </c>
      <c r="H21" s="501">
        <v>11.14042103183465</v>
      </c>
      <c r="I21" s="500">
        <v>107</v>
      </c>
      <c r="J21" s="501">
        <v>13.457043009358333</v>
      </c>
      <c r="K21" s="1035">
        <f>SUM(I21:J21)</f>
        <v>120.45704300935833</v>
      </c>
    </row>
    <row r="22" spans="2:11">
      <c r="B22" s="1033"/>
      <c r="C22" s="1025"/>
      <c r="D22" s="1029"/>
      <c r="E22" s="1025" t="s">
        <v>318</v>
      </c>
      <c r="F22" s="1034" t="s">
        <v>428</v>
      </c>
      <c r="G22" s="500">
        <v>1.05982965</v>
      </c>
      <c r="H22" s="501">
        <v>0.11411097549045567</v>
      </c>
      <c r="I22" s="500">
        <v>1.4308254</v>
      </c>
      <c r="J22" s="501">
        <v>0.1799502705297415</v>
      </c>
      <c r="K22" s="1035">
        <f>SUM(I22:J22)</f>
        <v>1.6107756705297416</v>
      </c>
    </row>
    <row r="23" spans="2:11">
      <c r="B23" s="1033"/>
      <c r="C23" s="1025"/>
      <c r="D23" s="1025"/>
      <c r="E23" s="1025"/>
      <c r="F23" s="1034"/>
      <c r="G23" s="1036"/>
      <c r="H23" s="1037"/>
      <c r="I23" s="1036"/>
      <c r="J23" s="1037"/>
    </row>
    <row r="24" spans="2:11">
      <c r="B24" s="1033"/>
      <c r="C24" s="1025"/>
      <c r="D24" s="1029" t="s">
        <v>319</v>
      </c>
      <c r="E24" s="1025"/>
      <c r="F24" s="1034"/>
      <c r="G24" s="1036"/>
      <c r="H24" s="1037"/>
      <c r="I24" s="1036"/>
      <c r="J24" s="1037"/>
    </row>
    <row r="25" spans="2:11">
      <c r="B25" s="1033"/>
      <c r="C25" s="1025"/>
      <c r="D25" s="1029"/>
      <c r="E25" s="1025" t="s">
        <v>320</v>
      </c>
      <c r="F25" s="1034" t="s">
        <v>428</v>
      </c>
      <c r="G25" s="500">
        <v>3.4240000000000004</v>
      </c>
      <c r="H25" s="501">
        <v>0.36865922752710323</v>
      </c>
      <c r="I25" s="500">
        <v>4.8150000000000004</v>
      </c>
      <c r="J25" s="501">
        <v>0.60556693542112494</v>
      </c>
      <c r="K25" s="1035">
        <f>SUM(I25:J25)</f>
        <v>5.4205669354211254</v>
      </c>
    </row>
    <row r="26" spans="2:11">
      <c r="B26" s="1033"/>
      <c r="C26" s="1025"/>
      <c r="D26" s="1029"/>
      <c r="E26" s="1025" t="s">
        <v>321</v>
      </c>
      <c r="F26" s="1034" t="s">
        <v>428</v>
      </c>
      <c r="G26" s="500">
        <v>3.4240000000000004</v>
      </c>
      <c r="H26" s="501">
        <v>0.36865922752710323</v>
      </c>
      <c r="I26" s="500">
        <v>4.8150000000000004</v>
      </c>
      <c r="J26" s="501">
        <v>0.60556693542112494</v>
      </c>
      <c r="K26" s="1035">
        <f>SUM(I26:J26)</f>
        <v>5.4205669354211254</v>
      </c>
    </row>
    <row r="27" spans="2:11">
      <c r="B27" s="1033"/>
      <c r="C27" s="1025"/>
      <c r="D27" s="1029"/>
      <c r="E27" s="1025" t="s">
        <v>442</v>
      </c>
      <c r="F27" s="1034" t="s">
        <v>428</v>
      </c>
      <c r="G27" s="500">
        <v>3.4240000000000004</v>
      </c>
      <c r="H27" s="501">
        <v>0.36865922752710323</v>
      </c>
      <c r="I27" s="500">
        <v>4.8150000000000004</v>
      </c>
      <c r="J27" s="501">
        <v>0.60556693542112494</v>
      </c>
      <c r="K27" s="1035">
        <f>SUM(I27:J27)</f>
        <v>5.4205669354211254</v>
      </c>
    </row>
    <row r="28" spans="2:11">
      <c r="B28" s="1033"/>
      <c r="C28" s="1025"/>
      <c r="D28" s="1029"/>
      <c r="E28" s="1025" t="s">
        <v>443</v>
      </c>
      <c r="F28" s="1034" t="s">
        <v>428</v>
      </c>
      <c r="G28" s="500">
        <v>3.1029999999999998</v>
      </c>
      <c r="H28" s="501">
        <v>0.33409742494643729</v>
      </c>
      <c r="I28" s="500">
        <v>4.0659999999999998</v>
      </c>
      <c r="J28" s="501">
        <v>0.51136763435561661</v>
      </c>
      <c r="K28" s="1035">
        <f>SUM(I28:J28)</f>
        <v>4.5773676343556167</v>
      </c>
    </row>
    <row r="29" spans="2:11">
      <c r="B29" s="1033"/>
      <c r="C29" s="1025"/>
      <c r="D29" s="1029"/>
      <c r="E29" s="1025" t="s">
        <v>569</v>
      </c>
      <c r="F29" s="1034" t="s">
        <v>428</v>
      </c>
      <c r="G29" s="1038"/>
      <c r="H29" s="1039"/>
      <c r="I29" s="1038"/>
      <c r="J29" s="1039"/>
    </row>
    <row r="30" spans="2:11">
      <c r="B30" s="1033"/>
      <c r="C30" s="1025"/>
      <c r="D30" s="1029"/>
      <c r="E30" s="1025" t="s">
        <v>570</v>
      </c>
      <c r="F30" s="1034" t="s">
        <v>428</v>
      </c>
      <c r="G30" s="1038"/>
      <c r="H30" s="1039"/>
      <c r="I30" s="1038"/>
      <c r="J30" s="1039"/>
    </row>
    <row r="31" spans="2:11" ht="13.5" thickBot="1">
      <c r="B31" s="1018"/>
      <c r="C31" s="1019"/>
      <c r="D31" s="1019"/>
      <c r="E31" s="1019"/>
      <c r="F31" s="502"/>
      <c r="G31" s="1040"/>
      <c r="H31" s="1041"/>
      <c r="I31" s="1040"/>
      <c r="J31" s="1041"/>
    </row>
    <row r="32" spans="2:11">
      <c r="B32" s="1042"/>
      <c r="C32" s="1043" t="s">
        <v>571</v>
      </c>
      <c r="D32" s="1043"/>
      <c r="E32" s="1044"/>
      <c r="F32" s="1045"/>
      <c r="G32" s="1036"/>
      <c r="H32" s="1037"/>
      <c r="I32" s="1036"/>
      <c r="J32" s="1037"/>
    </row>
    <row r="33" spans="2:11">
      <c r="B33" s="1033"/>
      <c r="C33" s="1025"/>
      <c r="D33" s="1029" t="s">
        <v>788</v>
      </c>
      <c r="E33" s="1025"/>
      <c r="F33" s="1045"/>
      <c r="G33" s="1036"/>
      <c r="H33" s="1037"/>
      <c r="I33" s="1036"/>
      <c r="J33" s="1037"/>
    </row>
    <row r="34" spans="2:11">
      <c r="B34" s="1033"/>
      <c r="C34" s="1025"/>
      <c r="D34" s="1029"/>
      <c r="E34" s="1025" t="s">
        <v>572</v>
      </c>
      <c r="F34" s="1034" t="s">
        <v>717</v>
      </c>
      <c r="G34" s="500">
        <v>30.387999999999998</v>
      </c>
      <c r="H34" s="501">
        <v>3.2718506443030413</v>
      </c>
      <c r="I34" s="500">
        <v>36.272999999999996</v>
      </c>
      <c r="J34" s="501">
        <v>4.5619375801724749</v>
      </c>
      <c r="K34" s="1035">
        <f>SUM(I34:J34)</f>
        <v>40.834937580172472</v>
      </c>
    </row>
    <row r="35" spans="2:11">
      <c r="B35" s="1033"/>
      <c r="C35" s="1025"/>
      <c r="D35" s="1029"/>
      <c r="E35" s="1025" t="s">
        <v>573</v>
      </c>
      <c r="F35" s="1034" t="s">
        <v>717</v>
      </c>
      <c r="G35" s="500">
        <v>30.387999999999998</v>
      </c>
      <c r="H35" s="501">
        <v>3.2718506443030413</v>
      </c>
      <c r="I35" s="500">
        <v>36.272999999999996</v>
      </c>
      <c r="J35" s="501">
        <v>4.5619375801724749</v>
      </c>
      <c r="K35" s="1035">
        <f>SUM(I35:J35)</f>
        <v>40.834937580172472</v>
      </c>
    </row>
    <row r="36" spans="2:11">
      <c r="B36" s="1033"/>
      <c r="C36" s="1025"/>
      <c r="D36" s="1025"/>
      <c r="E36" s="1025" t="s">
        <v>574</v>
      </c>
      <c r="F36" s="1034" t="s">
        <v>717</v>
      </c>
      <c r="G36" s="500">
        <v>0</v>
      </c>
      <c r="H36" s="501">
        <v>0</v>
      </c>
      <c r="I36" s="500">
        <v>0</v>
      </c>
      <c r="J36" s="501">
        <v>0</v>
      </c>
      <c r="K36" s="1035">
        <f>SUM(I36:J36)</f>
        <v>0</v>
      </c>
    </row>
    <row r="37" spans="2:11">
      <c r="B37" s="1033"/>
      <c r="C37" s="1025"/>
      <c r="D37" s="1025"/>
      <c r="E37" s="1025" t="s">
        <v>331</v>
      </c>
      <c r="F37" s="1034" t="s">
        <v>717</v>
      </c>
      <c r="G37" s="500">
        <v>0</v>
      </c>
      <c r="H37" s="501">
        <v>0</v>
      </c>
      <c r="I37" s="500">
        <v>0</v>
      </c>
      <c r="J37" s="501">
        <v>0</v>
      </c>
      <c r="K37" s="1035">
        <f>SUM(I37:J37)</f>
        <v>0</v>
      </c>
    </row>
    <row r="38" spans="2:11">
      <c r="B38" s="1033"/>
      <c r="C38" s="1025"/>
      <c r="D38" s="1025"/>
      <c r="E38" s="1025"/>
      <c r="F38" s="1034"/>
      <c r="G38" s="1036"/>
      <c r="H38" s="1037"/>
      <c r="I38" s="1036"/>
      <c r="J38" s="1037"/>
    </row>
    <row r="39" spans="2:11">
      <c r="B39" s="1033"/>
      <c r="C39" s="1025"/>
      <c r="D39" s="1029" t="s">
        <v>429</v>
      </c>
      <c r="E39" s="1025"/>
      <c r="F39" s="1034"/>
      <c r="G39" s="1036"/>
      <c r="H39" s="1037"/>
      <c r="I39" s="1036"/>
      <c r="J39" s="1037"/>
    </row>
    <row r="40" spans="2:11">
      <c r="B40" s="1033"/>
      <c r="C40" s="1025"/>
      <c r="D40" s="1044"/>
      <c r="E40" s="1025" t="s">
        <v>452</v>
      </c>
      <c r="F40" s="1034" t="s">
        <v>428</v>
      </c>
      <c r="G40" s="500">
        <v>0</v>
      </c>
      <c r="H40" s="501">
        <v>0</v>
      </c>
      <c r="I40" s="500">
        <v>0</v>
      </c>
      <c r="J40" s="501">
        <v>0</v>
      </c>
      <c r="K40" s="1035">
        <f>SUM(I40:J40)</f>
        <v>0</v>
      </c>
    </row>
    <row r="41" spans="2:11">
      <c r="B41" s="1033"/>
      <c r="C41" s="1025"/>
      <c r="D41" s="1029"/>
      <c r="E41" s="1025" t="s">
        <v>453</v>
      </c>
      <c r="F41" s="1034" t="s">
        <v>428</v>
      </c>
      <c r="G41" s="500">
        <v>0</v>
      </c>
      <c r="H41" s="501">
        <v>0</v>
      </c>
      <c r="I41" s="500">
        <v>0</v>
      </c>
      <c r="J41" s="501">
        <v>0</v>
      </c>
      <c r="K41" s="1035">
        <f>SUM(I41:J41)</f>
        <v>0</v>
      </c>
    </row>
    <row r="42" spans="2:11">
      <c r="B42" s="1033"/>
      <c r="C42" s="1025"/>
      <c r="D42" s="1025"/>
      <c r="E42" s="1025"/>
      <c r="F42" s="1034"/>
      <c r="G42" s="1036"/>
      <c r="H42" s="1037"/>
      <c r="I42" s="1036"/>
      <c r="J42" s="1037"/>
    </row>
    <row r="43" spans="2:11">
      <c r="B43" s="1033"/>
      <c r="C43" s="1025"/>
      <c r="D43" s="1029" t="s">
        <v>454</v>
      </c>
      <c r="E43" s="1025"/>
      <c r="F43" s="1034"/>
      <c r="G43" s="1036"/>
      <c r="H43" s="1037"/>
      <c r="I43" s="1036"/>
      <c r="J43" s="1037"/>
    </row>
    <row r="44" spans="2:11">
      <c r="B44" s="1033"/>
      <c r="C44" s="1025"/>
      <c r="D44" s="1029"/>
      <c r="E44" s="1025" t="s">
        <v>455</v>
      </c>
      <c r="F44" s="1034" t="s">
        <v>717</v>
      </c>
      <c r="G44" s="500">
        <v>66.768000000000001</v>
      </c>
      <c r="H44" s="501">
        <v>7.1888549367785135</v>
      </c>
      <c r="I44" s="500">
        <v>71.155000000000001</v>
      </c>
      <c r="J44" s="501">
        <v>8.9489336012232918</v>
      </c>
      <c r="K44" s="1035">
        <f>SUM(I44:J44)</f>
        <v>80.103933601223289</v>
      </c>
    </row>
    <row r="45" spans="2:11">
      <c r="B45" s="1033"/>
      <c r="C45" s="1025"/>
      <c r="D45" s="1029"/>
      <c r="E45" s="1025" t="s">
        <v>456</v>
      </c>
      <c r="F45" s="1034" t="s">
        <v>717</v>
      </c>
      <c r="G45" s="500">
        <v>0</v>
      </c>
      <c r="H45" s="501">
        <v>0</v>
      </c>
      <c r="I45" s="500">
        <v>0</v>
      </c>
      <c r="J45" s="501">
        <v>0</v>
      </c>
      <c r="K45" s="1035">
        <f>SUM(I45:J45)</f>
        <v>0</v>
      </c>
    </row>
    <row r="46" spans="2:11">
      <c r="B46" s="1033"/>
      <c r="C46" s="1025"/>
      <c r="D46" s="1029"/>
      <c r="E46" s="1025"/>
      <c r="F46" s="1034"/>
      <c r="G46" s="1036"/>
      <c r="H46" s="1037"/>
      <c r="I46" s="1036"/>
      <c r="J46" s="1037"/>
    </row>
    <row r="47" spans="2:11">
      <c r="B47" s="1033"/>
      <c r="C47" s="1025"/>
      <c r="D47" s="1029" t="s">
        <v>596</v>
      </c>
      <c r="E47" s="1025"/>
      <c r="F47" s="1034"/>
      <c r="G47" s="1036"/>
      <c r="H47" s="1037"/>
      <c r="I47" s="1036"/>
      <c r="J47" s="1037"/>
    </row>
    <row r="48" spans="2:11">
      <c r="B48" s="1033"/>
      <c r="C48" s="1025"/>
      <c r="D48" s="1029"/>
      <c r="E48" s="1025" t="s">
        <v>597</v>
      </c>
      <c r="F48" s="1034" t="s">
        <v>717</v>
      </c>
      <c r="G48" s="500">
        <v>0</v>
      </c>
      <c r="H48" s="501">
        <v>0</v>
      </c>
      <c r="I48" s="500">
        <v>0</v>
      </c>
      <c r="J48" s="501">
        <v>0</v>
      </c>
      <c r="K48" s="1035">
        <f>SUM(I48:J48)</f>
        <v>0</v>
      </c>
    </row>
    <row r="49" spans="2:11">
      <c r="B49" s="1033"/>
      <c r="C49" s="1025"/>
      <c r="D49" s="1029"/>
      <c r="E49" s="1025"/>
      <c r="F49" s="1034"/>
      <c r="G49" s="1036"/>
      <c r="H49" s="1037"/>
      <c r="I49" s="1036"/>
      <c r="J49" s="1037"/>
    </row>
    <row r="50" spans="2:11">
      <c r="B50" s="1033"/>
      <c r="C50" s="1025"/>
      <c r="D50" s="1029" t="s">
        <v>319</v>
      </c>
      <c r="E50" s="1025"/>
      <c r="F50" s="1034"/>
      <c r="G50" s="1036"/>
      <c r="H50" s="1037"/>
      <c r="I50" s="1036"/>
      <c r="J50" s="1037"/>
    </row>
    <row r="51" spans="2:11">
      <c r="B51" s="1033"/>
      <c r="C51" s="1025"/>
      <c r="D51" s="1029"/>
      <c r="E51" s="1025" t="s">
        <v>598</v>
      </c>
      <c r="F51" s="1034" t="s">
        <v>428</v>
      </c>
      <c r="G51" s="500">
        <v>11.234999999999999</v>
      </c>
      <c r="H51" s="501">
        <v>1.2096630903233074</v>
      </c>
      <c r="I51" s="500">
        <v>11.77</v>
      </c>
      <c r="J51" s="501">
        <v>1.4802747310294166</v>
      </c>
      <c r="K51" s="1035">
        <f>SUM(I51:J51)</f>
        <v>13.250274731029416</v>
      </c>
    </row>
    <row r="52" spans="2:11">
      <c r="B52" s="1033"/>
      <c r="C52" s="1025"/>
      <c r="D52" s="1029"/>
      <c r="E52" s="1025" t="s">
        <v>608</v>
      </c>
      <c r="F52" s="1034" t="s">
        <v>428</v>
      </c>
      <c r="G52" s="500">
        <v>24.182000000000002</v>
      </c>
      <c r="H52" s="501">
        <v>2.6036557944101673</v>
      </c>
      <c r="I52" s="500">
        <v>26.001000000000001</v>
      </c>
      <c r="J52" s="501">
        <v>3.2700614512740747</v>
      </c>
      <c r="K52" s="1035">
        <f>SUM(I52:J52)</f>
        <v>29.271061451274075</v>
      </c>
    </row>
    <row r="53" spans="2:11">
      <c r="B53" s="1033"/>
      <c r="C53" s="1025"/>
      <c r="D53" s="1029"/>
      <c r="E53" s="1025" t="s">
        <v>609</v>
      </c>
      <c r="F53" s="1034" t="s">
        <v>428</v>
      </c>
      <c r="G53" s="500">
        <v>0.96300000000000008</v>
      </c>
      <c r="H53" s="501">
        <v>0.1036854077419978</v>
      </c>
      <c r="I53" s="500">
        <v>1.391</v>
      </c>
      <c r="J53" s="501">
        <v>0.17494155912165832</v>
      </c>
      <c r="K53" s="1035">
        <f>SUM(I53:J53)</f>
        <v>1.5659415591216583</v>
      </c>
    </row>
    <row r="54" spans="2:11">
      <c r="B54" s="1033"/>
      <c r="C54" s="1025"/>
      <c r="D54" s="1029"/>
      <c r="E54" s="1025" t="s">
        <v>610</v>
      </c>
      <c r="F54" s="1034" t="s">
        <v>428</v>
      </c>
      <c r="G54" s="500">
        <v>3.8520000000000003</v>
      </c>
      <c r="H54" s="501">
        <v>0.41474163096799121</v>
      </c>
      <c r="I54" s="500">
        <v>4.3869999999999996</v>
      </c>
      <c r="J54" s="501">
        <v>0.55173876338369165</v>
      </c>
      <c r="K54" s="1035">
        <f>SUM(I54:J54)</f>
        <v>4.9387387633836912</v>
      </c>
    </row>
    <row r="55" spans="2:11">
      <c r="B55" s="1033"/>
      <c r="C55" s="1025"/>
      <c r="D55" s="1029"/>
      <c r="E55" s="1025" t="s">
        <v>467</v>
      </c>
      <c r="F55" s="1034" t="s">
        <v>428</v>
      </c>
      <c r="G55" s="500">
        <v>12.946999999999999</v>
      </c>
      <c r="H55" s="501">
        <v>1.3939927040868592</v>
      </c>
      <c r="I55" s="500">
        <v>13.803000000000001</v>
      </c>
      <c r="J55" s="501">
        <v>1.7359585482072251</v>
      </c>
      <c r="K55" s="1035">
        <f>SUM(I55:J55)</f>
        <v>15.538958548207226</v>
      </c>
    </row>
    <row r="56" spans="2:11">
      <c r="B56" s="1033"/>
      <c r="C56" s="1025"/>
      <c r="D56" s="1029"/>
      <c r="E56" s="1025" t="s">
        <v>468</v>
      </c>
      <c r="F56" s="1034" t="s">
        <v>428</v>
      </c>
      <c r="G56" s="1038"/>
      <c r="H56" s="1039"/>
      <c r="I56" s="1038"/>
      <c r="J56" s="1039"/>
    </row>
    <row r="57" spans="2:11">
      <c r="B57" s="1033"/>
      <c r="C57" s="1025"/>
      <c r="D57" s="1029"/>
      <c r="E57" s="1025" t="s">
        <v>600</v>
      </c>
      <c r="F57" s="1034" t="s">
        <v>428</v>
      </c>
      <c r="G57" s="1038"/>
      <c r="H57" s="1039"/>
      <c r="I57" s="1038"/>
      <c r="J57" s="1039"/>
    </row>
    <row r="58" spans="2:11">
      <c r="B58" s="1033"/>
      <c r="C58" s="1025"/>
      <c r="D58" s="1025"/>
      <c r="E58" s="1025" t="s">
        <v>345</v>
      </c>
      <c r="F58" s="1034" t="s">
        <v>428</v>
      </c>
      <c r="G58" s="500">
        <v>0</v>
      </c>
      <c r="H58" s="501">
        <v>0</v>
      </c>
      <c r="I58" s="500">
        <v>0</v>
      </c>
      <c r="J58" s="501">
        <v>0</v>
      </c>
      <c r="K58" s="1035">
        <f>SUM(I58:J58)</f>
        <v>0</v>
      </c>
    </row>
    <row r="59" spans="2:11">
      <c r="B59" s="1033"/>
      <c r="C59" s="1025"/>
      <c r="D59" s="1025"/>
      <c r="E59" s="1025" t="s">
        <v>215</v>
      </c>
      <c r="F59" s="1034" t="s">
        <v>428</v>
      </c>
      <c r="G59" s="500">
        <v>0</v>
      </c>
      <c r="H59" s="501">
        <v>0</v>
      </c>
      <c r="I59" s="500">
        <v>0</v>
      </c>
      <c r="J59" s="501">
        <v>0</v>
      </c>
      <c r="K59" s="1035">
        <f>SUM(I59:J59)</f>
        <v>0</v>
      </c>
    </row>
    <row r="60" spans="2:11">
      <c r="B60" s="1033"/>
      <c r="C60" s="1025"/>
      <c r="D60" s="1029"/>
      <c r="E60" s="1025" t="s">
        <v>216</v>
      </c>
      <c r="F60" s="1034" t="s">
        <v>428</v>
      </c>
      <c r="G60" s="500">
        <v>0</v>
      </c>
      <c r="H60" s="501">
        <v>0</v>
      </c>
      <c r="I60" s="500">
        <v>0</v>
      </c>
      <c r="J60" s="501">
        <v>0</v>
      </c>
      <c r="K60" s="1035">
        <f>SUM(I60:J60)</f>
        <v>0</v>
      </c>
    </row>
    <row r="61" spans="2:11">
      <c r="B61" s="1033"/>
      <c r="C61" s="1025"/>
      <c r="D61" s="1029"/>
      <c r="E61" s="1025" t="s">
        <v>217</v>
      </c>
      <c r="F61" s="1034" t="s">
        <v>428</v>
      </c>
      <c r="G61" s="500">
        <v>0</v>
      </c>
      <c r="H61" s="501">
        <v>0</v>
      </c>
      <c r="I61" s="500">
        <v>0</v>
      </c>
      <c r="J61" s="501">
        <v>0</v>
      </c>
      <c r="K61" s="1035">
        <f>SUM(I61:J61)</f>
        <v>0</v>
      </c>
    </row>
    <row r="62" spans="2:11">
      <c r="B62" s="1033"/>
      <c r="C62" s="1025"/>
      <c r="D62" s="1029"/>
      <c r="E62" s="1025" t="s">
        <v>220</v>
      </c>
      <c r="F62" s="1034" t="s">
        <v>428</v>
      </c>
      <c r="G62" s="500">
        <v>0</v>
      </c>
      <c r="H62" s="501">
        <v>0</v>
      </c>
      <c r="I62" s="500">
        <v>0</v>
      </c>
      <c r="J62" s="501">
        <v>0</v>
      </c>
      <c r="K62" s="1035">
        <f>SUM(I62:J62)</f>
        <v>0</v>
      </c>
    </row>
    <row r="63" spans="2:11">
      <c r="B63" s="1033"/>
      <c r="C63" s="1025"/>
      <c r="D63" s="1029"/>
      <c r="E63" s="1025" t="s">
        <v>348</v>
      </c>
      <c r="F63" s="1034" t="s">
        <v>428</v>
      </c>
      <c r="G63" s="1038"/>
      <c r="H63" s="1039"/>
      <c r="I63" s="1038"/>
      <c r="J63" s="1039"/>
    </row>
    <row r="64" spans="2:11">
      <c r="B64" s="1033"/>
      <c r="C64" s="1025"/>
      <c r="D64" s="1029"/>
      <c r="E64" s="1025" t="s">
        <v>225</v>
      </c>
      <c r="F64" s="1034" t="s">
        <v>428</v>
      </c>
      <c r="G64" s="1038"/>
      <c r="H64" s="1039"/>
      <c r="I64" s="1038"/>
      <c r="J64" s="1039"/>
    </row>
    <row r="65" spans="2:11">
      <c r="B65" s="1033"/>
      <c r="C65" s="1025"/>
      <c r="D65" s="1029"/>
      <c r="E65" s="1025"/>
      <c r="F65" s="1045"/>
      <c r="G65" s="1036"/>
      <c r="H65" s="1037"/>
      <c r="I65" s="1036"/>
      <c r="J65" s="1037"/>
    </row>
    <row r="66" spans="2:11">
      <c r="B66" s="1033"/>
      <c r="C66" s="1025"/>
      <c r="D66" s="1029" t="s">
        <v>226</v>
      </c>
      <c r="E66" s="1025"/>
      <c r="F66" s="1045"/>
      <c r="G66" s="1036"/>
      <c r="H66" s="1037"/>
      <c r="I66" s="1036"/>
      <c r="J66" s="1037"/>
    </row>
    <row r="67" spans="2:11">
      <c r="B67" s="1033"/>
      <c r="C67" s="1025"/>
      <c r="D67" s="1029"/>
      <c r="E67" s="1025" t="s">
        <v>227</v>
      </c>
      <c r="F67" s="1034" t="s">
        <v>428</v>
      </c>
      <c r="G67" s="500">
        <v>3.1029999999999998</v>
      </c>
      <c r="H67" s="501">
        <v>0.33409742494643729</v>
      </c>
      <c r="I67" s="500">
        <v>3.1029999999999998</v>
      </c>
      <c r="J67" s="501">
        <v>0.39025424727139163</v>
      </c>
      <c r="K67" s="1035">
        <f>SUM(I67:J67)</f>
        <v>3.4932542472713912</v>
      </c>
    </row>
    <row r="68" spans="2:11">
      <c r="B68" s="1033"/>
      <c r="C68" s="1025"/>
      <c r="D68" s="1029"/>
      <c r="E68" s="1025" t="s">
        <v>228</v>
      </c>
      <c r="F68" s="1034" t="s">
        <v>428</v>
      </c>
      <c r="G68" s="500">
        <v>9.3089999999999993</v>
      </c>
      <c r="H68" s="501">
        <v>1.0022922748393119</v>
      </c>
      <c r="I68" s="500">
        <v>10.058</v>
      </c>
      <c r="J68" s="501">
        <v>1.2649620428796833</v>
      </c>
      <c r="K68" s="1035">
        <f>SUM(I68:J68)</f>
        <v>11.322962042879682</v>
      </c>
    </row>
    <row r="69" spans="2:11">
      <c r="B69" s="1033"/>
      <c r="C69" s="1025"/>
      <c r="D69" s="1029"/>
      <c r="E69" s="1025" t="s">
        <v>229</v>
      </c>
      <c r="F69" s="1034" t="s">
        <v>428</v>
      </c>
      <c r="G69" s="500">
        <v>0</v>
      </c>
      <c r="H69" s="501">
        <v>0</v>
      </c>
      <c r="I69" s="500">
        <v>0</v>
      </c>
      <c r="J69" s="501">
        <v>0</v>
      </c>
      <c r="K69" s="1035">
        <f>SUM(I69:J69)</f>
        <v>0</v>
      </c>
    </row>
    <row r="70" spans="2:11">
      <c r="B70" s="1033"/>
      <c r="C70" s="1025"/>
      <c r="D70" s="1029"/>
      <c r="E70" s="1025" t="s">
        <v>230</v>
      </c>
      <c r="F70" s="1034" t="s">
        <v>428</v>
      </c>
      <c r="G70" s="500">
        <v>0</v>
      </c>
      <c r="H70" s="501">
        <v>0</v>
      </c>
      <c r="I70" s="500">
        <v>0</v>
      </c>
      <c r="J70" s="501">
        <v>0</v>
      </c>
      <c r="K70" s="1035">
        <f>SUM(I70:J70)</f>
        <v>0</v>
      </c>
    </row>
    <row r="71" spans="2:11" ht="13.5" thickBot="1">
      <c r="B71" s="1018"/>
      <c r="C71" s="1019"/>
      <c r="D71" s="1019"/>
      <c r="E71" s="1019"/>
      <c r="F71" s="502"/>
      <c r="G71" s="1040"/>
      <c r="H71" s="1041"/>
      <c r="I71" s="1040"/>
      <c r="J71" s="1041"/>
    </row>
    <row r="72" spans="2:11">
      <c r="B72" s="1042"/>
      <c r="C72" s="1043" t="s">
        <v>244</v>
      </c>
      <c r="D72" s="1043"/>
      <c r="E72" s="1044"/>
      <c r="F72" s="1045"/>
      <c r="G72" s="1036"/>
      <c r="H72" s="1037"/>
      <c r="I72" s="1036"/>
      <c r="J72" s="1037"/>
    </row>
    <row r="73" spans="2:11">
      <c r="B73" s="1033"/>
      <c r="C73" s="1025"/>
      <c r="D73" s="1029" t="s">
        <v>788</v>
      </c>
      <c r="E73" s="1025"/>
      <c r="F73" s="1034"/>
      <c r="G73" s="1036"/>
      <c r="H73" s="1037"/>
      <c r="I73" s="1036"/>
      <c r="J73" s="1037"/>
    </row>
    <row r="74" spans="2:11">
      <c r="B74" s="1033"/>
      <c r="C74" s="1025"/>
      <c r="D74" s="1025"/>
      <c r="E74" s="1025" t="s">
        <v>245</v>
      </c>
      <c r="F74" s="1034" t="s">
        <v>717</v>
      </c>
      <c r="G74" s="500">
        <v>73.723000000000013</v>
      </c>
      <c r="H74" s="501">
        <v>7.9376939926929424</v>
      </c>
      <c r="I74" s="500">
        <v>82.818000000000012</v>
      </c>
      <c r="J74" s="501">
        <v>10.415751289243351</v>
      </c>
      <c r="K74" s="1035">
        <f>SUM(I74:J74)</f>
        <v>93.233751289243358</v>
      </c>
    </row>
    <row r="75" spans="2:11">
      <c r="B75" s="1033"/>
      <c r="C75" s="1025"/>
      <c r="D75" s="1029"/>
      <c r="E75" s="1025" t="s">
        <v>246</v>
      </c>
      <c r="F75" s="1034" t="s">
        <v>717</v>
      </c>
      <c r="G75" s="500">
        <v>116.416</v>
      </c>
      <c r="H75" s="501">
        <v>12.534413735921511</v>
      </c>
      <c r="I75" s="500">
        <v>131.93099999999998</v>
      </c>
      <c r="J75" s="501">
        <v>16.592534030538822</v>
      </c>
      <c r="K75" s="1035">
        <f>SUM(I75:J75)</f>
        <v>148.5235340305388</v>
      </c>
    </row>
    <row r="76" spans="2:11">
      <c r="B76" s="1033"/>
      <c r="C76" s="1025"/>
      <c r="D76" s="1029"/>
      <c r="E76" s="1025" t="s">
        <v>247</v>
      </c>
      <c r="F76" s="1034" t="s">
        <v>717</v>
      </c>
      <c r="G76" s="500">
        <v>147.125</v>
      </c>
      <c r="H76" s="501">
        <v>15.840826182805218</v>
      </c>
      <c r="I76" s="500">
        <v>156.22</v>
      </c>
      <c r="J76" s="501">
        <v>19.647282793663166</v>
      </c>
      <c r="K76" s="1035">
        <f>SUM(I76:J76)</f>
        <v>175.86728279366315</v>
      </c>
    </row>
    <row r="77" spans="2:11">
      <c r="B77" s="1033"/>
      <c r="C77" s="1025"/>
      <c r="D77" s="1029"/>
      <c r="E77" s="1025" t="s">
        <v>248</v>
      </c>
      <c r="F77" s="1034" t="s">
        <v>717</v>
      </c>
      <c r="G77" s="500">
        <v>147.125</v>
      </c>
      <c r="H77" s="501">
        <v>15.840826182805218</v>
      </c>
      <c r="I77" s="500">
        <v>156.22</v>
      </c>
      <c r="J77" s="501">
        <v>19.647282793663166</v>
      </c>
      <c r="K77" s="1035">
        <f>SUM(I77:J77)</f>
        <v>175.86728279366315</v>
      </c>
    </row>
    <row r="78" spans="2:11">
      <c r="B78" s="1033"/>
      <c r="C78" s="1025"/>
      <c r="D78" s="1029"/>
      <c r="E78" s="1025"/>
      <c r="F78" s="1034"/>
      <c r="G78" s="1036"/>
      <c r="H78" s="1037"/>
      <c r="I78" s="1036"/>
      <c r="J78" s="1037"/>
    </row>
    <row r="79" spans="2:11">
      <c r="B79" s="1033"/>
      <c r="C79" s="1025"/>
      <c r="D79" s="1029" t="s">
        <v>429</v>
      </c>
      <c r="E79" s="1025"/>
      <c r="F79" s="1034"/>
      <c r="G79" s="1036"/>
      <c r="H79" s="1037"/>
      <c r="I79" s="1036"/>
      <c r="J79" s="1037"/>
    </row>
    <row r="80" spans="2:11">
      <c r="B80" s="1033"/>
      <c r="C80" s="1025"/>
      <c r="D80" s="1025"/>
      <c r="E80" s="1025" t="s">
        <v>249</v>
      </c>
      <c r="F80" s="1034" t="s">
        <v>428</v>
      </c>
      <c r="G80" s="500">
        <v>0</v>
      </c>
      <c r="H80" s="501">
        <v>0</v>
      </c>
      <c r="I80" s="500">
        <v>0</v>
      </c>
      <c r="J80" s="501">
        <v>0</v>
      </c>
      <c r="K80" s="1035">
        <f>SUM(I80:J80)</f>
        <v>0</v>
      </c>
    </row>
    <row r="81" spans="2:11">
      <c r="B81" s="1033"/>
      <c r="C81" s="1025"/>
      <c r="D81" s="1025"/>
      <c r="E81" s="1025" t="s">
        <v>250</v>
      </c>
      <c r="F81" s="1034" t="s">
        <v>428</v>
      </c>
      <c r="G81" s="500">
        <v>0</v>
      </c>
      <c r="H81" s="501">
        <v>0</v>
      </c>
      <c r="I81" s="500">
        <v>0</v>
      </c>
      <c r="J81" s="501">
        <v>0</v>
      </c>
      <c r="K81" s="1035">
        <f>SUM(I81:J81)</f>
        <v>0</v>
      </c>
    </row>
    <row r="82" spans="2:11">
      <c r="B82" s="1033"/>
      <c r="C82" s="1025"/>
      <c r="D82" s="1029"/>
      <c r="E82" s="1025" t="s">
        <v>251</v>
      </c>
      <c r="F82" s="1034" t="s">
        <v>428</v>
      </c>
      <c r="G82" s="500">
        <v>0</v>
      </c>
      <c r="H82" s="501">
        <v>0</v>
      </c>
      <c r="I82" s="500">
        <v>0</v>
      </c>
      <c r="J82" s="501">
        <v>0</v>
      </c>
      <c r="K82" s="1035">
        <f>SUM(I82:J82)</f>
        <v>0</v>
      </c>
    </row>
    <row r="83" spans="2:11">
      <c r="B83" s="1033"/>
      <c r="C83" s="1025"/>
      <c r="D83" s="1029"/>
      <c r="E83" s="1025" t="s">
        <v>252</v>
      </c>
      <c r="F83" s="1034" t="s">
        <v>428</v>
      </c>
      <c r="G83" s="500">
        <v>0</v>
      </c>
      <c r="H83" s="501">
        <v>0</v>
      </c>
      <c r="I83" s="500">
        <v>0</v>
      </c>
      <c r="J83" s="501">
        <v>0</v>
      </c>
      <c r="K83" s="1035">
        <f>SUM(I83:J83)</f>
        <v>0</v>
      </c>
    </row>
    <row r="84" spans="2:11">
      <c r="B84" s="1033"/>
      <c r="C84" s="1025"/>
      <c r="D84" s="1025"/>
      <c r="E84" s="1025"/>
      <c r="F84" s="1034"/>
      <c r="G84" s="1036"/>
      <c r="H84" s="1037"/>
      <c r="I84" s="1036"/>
      <c r="J84" s="1037"/>
    </row>
    <row r="85" spans="2:11">
      <c r="B85" s="1023"/>
      <c r="C85" s="1025"/>
      <c r="D85" s="1029" t="s">
        <v>454</v>
      </c>
      <c r="E85" s="1025"/>
      <c r="F85" s="1034"/>
      <c r="G85" s="1036"/>
      <c r="H85" s="1037"/>
      <c r="I85" s="1036"/>
      <c r="J85" s="1037"/>
    </row>
    <row r="86" spans="2:11">
      <c r="B86" s="1023"/>
      <c r="C86" s="1025"/>
      <c r="D86" s="1029"/>
      <c r="E86" s="1025" t="s">
        <v>116</v>
      </c>
      <c r="F86" s="1034" t="s">
        <v>717</v>
      </c>
      <c r="G86" s="500">
        <v>210.57600000000002</v>
      </c>
      <c r="H86" s="501">
        <v>22.672542492916854</v>
      </c>
      <c r="I86" s="500">
        <v>216.35399999999998</v>
      </c>
      <c r="J86" s="501">
        <v>27.210140964922548</v>
      </c>
      <c r="K86" s="1035">
        <f t="shared" ref="K86:K91" si="0">SUM(I86:J86)</f>
        <v>243.56414096492253</v>
      </c>
    </row>
    <row r="87" spans="2:11">
      <c r="B87" s="1023"/>
      <c r="C87" s="1025"/>
      <c r="D87" s="1029"/>
      <c r="E87" s="1025" t="s">
        <v>117</v>
      </c>
      <c r="F87" s="1034" t="s">
        <v>717</v>
      </c>
      <c r="G87" s="500">
        <v>210.57600000000002</v>
      </c>
      <c r="H87" s="501">
        <v>22.672542492916854</v>
      </c>
      <c r="I87" s="500">
        <v>216.35399999999998</v>
      </c>
      <c r="J87" s="501">
        <v>27.210140964922548</v>
      </c>
      <c r="K87" s="1035">
        <f t="shared" si="0"/>
        <v>243.56414096492253</v>
      </c>
    </row>
    <row r="88" spans="2:11">
      <c r="B88" s="1023"/>
      <c r="C88" s="1025"/>
      <c r="D88" s="1029"/>
      <c r="E88" s="1025" t="s">
        <v>118</v>
      </c>
      <c r="F88" s="1034" t="s">
        <v>717</v>
      </c>
      <c r="G88" s="500">
        <v>0</v>
      </c>
      <c r="H88" s="501">
        <v>0</v>
      </c>
      <c r="I88" s="500">
        <v>0</v>
      </c>
      <c r="J88" s="501">
        <v>0</v>
      </c>
      <c r="K88" s="1035">
        <f t="shared" si="0"/>
        <v>0</v>
      </c>
    </row>
    <row r="89" spans="2:11">
      <c r="B89" s="1023"/>
      <c r="C89" s="1025"/>
      <c r="D89" s="1029"/>
      <c r="E89" s="1025" t="s">
        <v>257</v>
      </c>
      <c r="F89" s="1034" t="s">
        <v>717</v>
      </c>
      <c r="G89" s="500">
        <v>1003.874</v>
      </c>
      <c r="H89" s="501">
        <v>108.08627727060259</v>
      </c>
      <c r="I89" s="500">
        <v>1015.4300000000001</v>
      </c>
      <c r="J89" s="501">
        <v>127.70733815881057</v>
      </c>
      <c r="K89" s="1035">
        <f t="shared" si="0"/>
        <v>1143.1373381588107</v>
      </c>
    </row>
    <row r="90" spans="2:11">
      <c r="B90" s="1023"/>
      <c r="C90" s="1025"/>
      <c r="D90" s="1029"/>
      <c r="E90" s="1025" t="s">
        <v>129</v>
      </c>
      <c r="F90" s="1034" t="s">
        <v>717</v>
      </c>
      <c r="G90" s="500">
        <v>1003.874</v>
      </c>
      <c r="H90" s="501">
        <v>108.08627727060259</v>
      </c>
      <c r="I90" s="500">
        <v>1015.4300000000001</v>
      </c>
      <c r="J90" s="501">
        <v>127.70733815881057</v>
      </c>
      <c r="K90" s="1035">
        <f t="shared" si="0"/>
        <v>1143.1373381588107</v>
      </c>
    </row>
    <row r="91" spans="2:11">
      <c r="B91" s="1023"/>
      <c r="C91" s="1025"/>
      <c r="D91" s="1029"/>
      <c r="E91" s="1025" t="s">
        <v>130</v>
      </c>
      <c r="F91" s="1034" t="s">
        <v>717</v>
      </c>
      <c r="G91" s="500">
        <v>0</v>
      </c>
      <c r="H91" s="501">
        <v>0</v>
      </c>
      <c r="I91" s="500">
        <v>0</v>
      </c>
      <c r="J91" s="501">
        <v>0</v>
      </c>
      <c r="K91" s="1035">
        <f t="shared" si="0"/>
        <v>0</v>
      </c>
    </row>
    <row r="92" spans="2:11">
      <c r="B92" s="1023"/>
      <c r="C92" s="1025"/>
      <c r="D92" s="1025"/>
      <c r="E92" s="1025"/>
      <c r="F92" s="1034"/>
      <c r="G92" s="1036"/>
      <c r="H92" s="1037"/>
      <c r="I92" s="1036"/>
      <c r="J92" s="1037"/>
    </row>
    <row r="93" spans="2:11">
      <c r="B93" s="1023"/>
      <c r="C93" s="1025"/>
      <c r="D93" s="1029" t="s">
        <v>596</v>
      </c>
      <c r="E93" s="1025"/>
      <c r="F93" s="1034"/>
      <c r="G93" s="1036"/>
      <c r="H93" s="1037"/>
      <c r="I93" s="1036"/>
      <c r="J93" s="1037"/>
    </row>
    <row r="94" spans="2:11">
      <c r="B94" s="1023"/>
      <c r="C94" s="1025"/>
      <c r="D94" s="1025"/>
      <c r="E94" s="1025" t="s">
        <v>83</v>
      </c>
      <c r="F94" s="1034" t="s">
        <v>717</v>
      </c>
      <c r="G94" s="500">
        <v>0</v>
      </c>
      <c r="H94" s="501">
        <v>0</v>
      </c>
      <c r="I94" s="500">
        <v>0</v>
      </c>
      <c r="J94" s="501">
        <v>0</v>
      </c>
      <c r="K94" s="1035">
        <f>SUM(I94:J94)</f>
        <v>0</v>
      </c>
    </row>
    <row r="95" spans="2:11">
      <c r="B95" s="1023"/>
      <c r="C95" s="1025"/>
      <c r="D95" s="1029"/>
      <c r="E95" s="1025"/>
      <c r="F95" s="1034"/>
      <c r="G95" s="1036"/>
      <c r="H95" s="1037"/>
      <c r="I95" s="1036"/>
      <c r="J95" s="1037"/>
    </row>
    <row r="96" spans="2:11">
      <c r="B96" s="1023"/>
      <c r="C96" s="1025"/>
      <c r="D96" s="1029" t="s">
        <v>319</v>
      </c>
      <c r="E96" s="1025"/>
      <c r="F96" s="1034"/>
      <c r="G96" s="1036"/>
      <c r="H96" s="1037"/>
      <c r="I96" s="1036"/>
      <c r="J96" s="1037"/>
    </row>
    <row r="97" spans="2:11">
      <c r="B97" s="1023"/>
      <c r="C97" s="1025"/>
      <c r="D97" s="1029"/>
      <c r="E97" s="1044" t="s">
        <v>84</v>
      </c>
      <c r="F97" s="1034" t="s">
        <v>428</v>
      </c>
      <c r="G97" s="500">
        <v>152.79600000000002</v>
      </c>
      <c r="H97" s="501">
        <v>16.451418028396983</v>
      </c>
      <c r="I97" s="500">
        <v>155.685</v>
      </c>
      <c r="J97" s="501">
        <v>19.579997578616375</v>
      </c>
      <c r="K97" s="1035">
        <f>SUM(I97:J97)</f>
        <v>175.26499757861637</v>
      </c>
    </row>
    <row r="98" spans="2:11">
      <c r="B98" s="1023"/>
      <c r="C98" s="1025"/>
      <c r="D98" s="1029"/>
      <c r="E98" s="1044" t="s">
        <v>85</v>
      </c>
      <c r="F98" s="1034" t="s">
        <v>428</v>
      </c>
      <c r="G98" s="500">
        <v>152.79600000000002</v>
      </c>
      <c r="H98" s="501">
        <v>16.451418028396983</v>
      </c>
      <c r="I98" s="500">
        <v>155.685</v>
      </c>
      <c r="J98" s="501">
        <v>19.579997578616375</v>
      </c>
      <c r="K98" s="1035">
        <f>SUM(I98:J98)</f>
        <v>175.26499757861637</v>
      </c>
    </row>
    <row r="99" spans="2:11">
      <c r="B99" s="1023"/>
      <c r="C99" s="1025"/>
      <c r="D99" s="1029"/>
      <c r="E99" s="1044" t="s">
        <v>86</v>
      </c>
      <c r="F99" s="1034" t="s">
        <v>428</v>
      </c>
      <c r="G99" s="500">
        <v>0</v>
      </c>
      <c r="H99" s="501">
        <v>0</v>
      </c>
      <c r="I99" s="500">
        <v>0</v>
      </c>
      <c r="J99" s="501">
        <v>0</v>
      </c>
      <c r="K99" s="1035">
        <f>SUM(I99:J99)</f>
        <v>0</v>
      </c>
    </row>
    <row r="100" spans="2:11">
      <c r="B100" s="1023"/>
      <c r="C100" s="1025"/>
      <c r="D100" s="1029"/>
      <c r="E100" s="1044" t="s">
        <v>87</v>
      </c>
      <c r="F100" s="1034" t="s">
        <v>428</v>
      </c>
      <c r="G100" s="500">
        <v>0</v>
      </c>
      <c r="H100" s="501">
        <v>0</v>
      </c>
      <c r="I100" s="500">
        <v>0</v>
      </c>
      <c r="J100" s="501">
        <v>0</v>
      </c>
      <c r="K100" s="1035">
        <f>SUM(I100:J100)</f>
        <v>0</v>
      </c>
    </row>
    <row r="101" spans="2:11">
      <c r="B101" s="1023"/>
      <c r="C101" s="1025"/>
      <c r="D101" s="1029"/>
      <c r="E101" s="1044" t="s">
        <v>88</v>
      </c>
      <c r="F101" s="1034" t="s">
        <v>428</v>
      </c>
      <c r="G101" s="500">
        <v>488.77600000000001</v>
      </c>
      <c r="H101" s="501">
        <v>52.626104729493989</v>
      </c>
      <c r="I101" s="500">
        <v>495.303</v>
      </c>
      <c r="J101" s="501">
        <v>62.29265209031972</v>
      </c>
      <c r="K101" s="1035">
        <f>SUM(I101:J101)</f>
        <v>557.59565209031973</v>
      </c>
    </row>
    <row r="102" spans="2:11">
      <c r="B102" s="1023"/>
      <c r="C102" s="1025"/>
      <c r="D102" s="1029"/>
      <c r="E102" s="1044" t="s">
        <v>89</v>
      </c>
      <c r="F102" s="1034" t="s">
        <v>428</v>
      </c>
      <c r="G102" s="1038"/>
      <c r="H102" s="1039"/>
      <c r="I102" s="1038"/>
      <c r="J102" s="1039"/>
    </row>
    <row r="103" spans="2:11">
      <c r="B103" s="1023"/>
      <c r="C103" s="1025"/>
      <c r="D103" s="1029"/>
      <c r="E103" s="1044" t="s">
        <v>90</v>
      </c>
      <c r="F103" s="1034" t="s">
        <v>428</v>
      </c>
      <c r="G103" s="500">
        <v>575.98099999999999</v>
      </c>
      <c r="H103" s="501">
        <v>62.015394430574894</v>
      </c>
      <c r="I103" s="500">
        <v>587.32299999999998</v>
      </c>
      <c r="J103" s="501">
        <v>73.865709078367885</v>
      </c>
      <c r="K103" s="1035">
        <f>SUM(I103:J103)</f>
        <v>661.18870907836788</v>
      </c>
    </row>
    <row r="104" spans="2:11">
      <c r="B104" s="1023"/>
      <c r="C104" s="1025"/>
      <c r="D104" s="1029"/>
      <c r="E104" s="1044" t="s">
        <v>91</v>
      </c>
      <c r="F104" s="1034" t="s">
        <v>428</v>
      </c>
      <c r="G104" s="1038"/>
      <c r="H104" s="1039"/>
      <c r="I104" s="1038"/>
      <c r="J104" s="1039"/>
    </row>
    <row r="105" spans="2:11">
      <c r="B105" s="1023"/>
      <c r="C105" s="1025"/>
      <c r="D105" s="1029"/>
      <c r="E105" s="1025"/>
      <c r="F105" s="1034"/>
      <c r="G105" s="1036"/>
      <c r="H105" s="1037"/>
      <c r="I105" s="1036"/>
      <c r="J105" s="1037"/>
    </row>
    <row r="106" spans="2:11">
      <c r="B106" s="1023"/>
      <c r="C106" s="1025"/>
      <c r="D106" s="1029" t="s">
        <v>226</v>
      </c>
      <c r="E106" s="1025"/>
      <c r="F106" s="1034"/>
      <c r="G106" s="1036"/>
      <c r="H106" s="1037"/>
      <c r="I106" s="1036"/>
      <c r="J106" s="1037"/>
    </row>
    <row r="107" spans="2:11">
      <c r="B107" s="1023"/>
      <c r="C107" s="1025"/>
      <c r="D107" s="1025"/>
      <c r="E107" s="1044" t="s">
        <v>92</v>
      </c>
      <c r="F107" s="1034" t="s">
        <v>428</v>
      </c>
      <c r="G107" s="500">
        <v>433.45700000000005</v>
      </c>
      <c r="H107" s="501">
        <v>46.669954084759233</v>
      </c>
      <c r="I107" s="500">
        <v>448.22299999999996</v>
      </c>
      <c r="J107" s="501">
        <v>56.371553166202048</v>
      </c>
      <c r="K107" s="1035">
        <f>SUM(I107:J107)</f>
        <v>504.59455316620199</v>
      </c>
    </row>
    <row r="108" spans="2:11">
      <c r="B108" s="1023"/>
      <c r="C108" s="1025"/>
      <c r="D108" s="1025"/>
      <c r="E108" s="1044" t="s">
        <v>93</v>
      </c>
      <c r="F108" s="1034" t="s">
        <v>428</v>
      </c>
      <c r="G108" s="500">
        <v>446.404</v>
      </c>
      <c r="H108" s="501">
        <v>48.063946788846089</v>
      </c>
      <c r="I108" s="500">
        <v>481.39299999999997</v>
      </c>
      <c r="J108" s="501">
        <v>60.543236499103138</v>
      </c>
      <c r="K108" s="1035">
        <f>SUM(I108:J108)</f>
        <v>541.93623649910307</v>
      </c>
    </row>
    <row r="109" spans="2:11">
      <c r="B109" s="1023"/>
      <c r="C109" s="1025"/>
      <c r="D109" s="1025"/>
      <c r="E109" s="1025" t="s">
        <v>94</v>
      </c>
      <c r="F109" s="1034" t="s">
        <v>428</v>
      </c>
      <c r="G109" s="1038"/>
      <c r="H109" s="1039"/>
      <c r="I109" s="1038"/>
      <c r="J109" s="1039"/>
      <c r="K109" s="1035"/>
    </row>
    <row r="110" spans="2:11">
      <c r="B110" s="1023"/>
      <c r="C110" s="1025"/>
      <c r="D110" s="1025"/>
      <c r="E110" s="1044" t="s">
        <v>274</v>
      </c>
      <c r="F110" s="1034" t="s">
        <v>428</v>
      </c>
      <c r="G110" s="500">
        <v>1778.5540000000001</v>
      </c>
      <c r="H110" s="501">
        <v>191.49542749860973</v>
      </c>
      <c r="I110" s="500">
        <v>1880.9530000000002</v>
      </c>
      <c r="J110" s="501">
        <v>236.56135906151013</v>
      </c>
      <c r="K110" s="1035">
        <f>SUM(I110:J110)</f>
        <v>2117.5143590615103</v>
      </c>
    </row>
    <row r="111" spans="2:11">
      <c r="B111" s="1023"/>
      <c r="C111" s="1025"/>
      <c r="D111" s="1029"/>
      <c r="E111" s="1025" t="s">
        <v>275</v>
      </c>
      <c r="F111" s="1034" t="s">
        <v>428</v>
      </c>
      <c r="G111" s="1038"/>
      <c r="H111" s="1039"/>
      <c r="I111" s="1038"/>
      <c r="J111" s="1039"/>
    </row>
    <row r="112" spans="2:11" ht="13.5" thickBot="1">
      <c r="B112" s="1018"/>
      <c r="C112" s="1019"/>
      <c r="D112" s="1019"/>
      <c r="E112" s="1019"/>
      <c r="F112" s="502"/>
      <c r="G112" s="1046"/>
      <c r="H112" s="1047"/>
      <c r="I112" s="1046"/>
      <c r="J112" s="1047"/>
    </row>
    <row r="113" spans="2:11">
      <c r="B113" s="1042"/>
      <c r="C113" s="1043" t="s">
        <v>276</v>
      </c>
      <c r="D113" s="1043"/>
      <c r="E113" s="1044"/>
      <c r="F113" s="1045"/>
      <c r="G113" s="1036"/>
      <c r="H113" s="1037"/>
      <c r="I113" s="1036"/>
      <c r="J113" s="1037"/>
    </row>
    <row r="114" spans="2:11">
      <c r="B114" s="1023"/>
      <c r="C114" s="1025"/>
      <c r="D114" s="1029" t="s">
        <v>788</v>
      </c>
      <c r="E114" s="1025"/>
      <c r="F114" s="1034"/>
      <c r="G114" s="1036"/>
      <c r="H114" s="1037"/>
      <c r="I114" s="1036"/>
      <c r="J114" s="1037"/>
    </row>
    <row r="115" spans="2:11">
      <c r="B115" s="1023"/>
      <c r="C115" s="1025"/>
      <c r="D115" s="1029"/>
      <c r="E115" s="1025" t="s">
        <v>277</v>
      </c>
      <c r="F115" s="1034" t="s">
        <v>717</v>
      </c>
      <c r="G115" s="500">
        <v>549.55200000000002</v>
      </c>
      <c r="H115" s="501">
        <v>59.169806018100076</v>
      </c>
      <c r="I115" s="500">
        <v>601.66099999999994</v>
      </c>
      <c r="J115" s="501">
        <v>75.668952841621902</v>
      </c>
      <c r="K115" s="1035">
        <f>SUM(I115:J115)</f>
        <v>677.32995284162189</v>
      </c>
    </row>
    <row r="116" spans="2:11">
      <c r="B116" s="1023"/>
      <c r="C116" s="1025"/>
      <c r="D116" s="1029"/>
      <c r="E116" s="1025" t="s">
        <v>278</v>
      </c>
      <c r="F116" s="1034" t="s">
        <v>717</v>
      </c>
      <c r="G116" s="500">
        <v>929.83</v>
      </c>
      <c r="H116" s="501">
        <v>100.11402147532898</v>
      </c>
      <c r="I116" s="500">
        <v>1033.941</v>
      </c>
      <c r="J116" s="501">
        <v>130.03540659942956</v>
      </c>
      <c r="K116" s="1035">
        <f>SUM(I116:J116)</f>
        <v>1163.9764065994295</v>
      </c>
    </row>
    <row r="117" spans="2:11">
      <c r="B117" s="1023"/>
      <c r="C117" s="1025"/>
      <c r="D117" s="1029"/>
      <c r="E117" s="1044"/>
      <c r="F117" s="1034"/>
      <c r="G117" s="1036"/>
      <c r="H117" s="1037"/>
      <c r="I117" s="1036"/>
      <c r="J117" s="1037"/>
    </row>
    <row r="118" spans="2:11">
      <c r="B118" s="1023"/>
      <c r="C118" s="1025"/>
      <c r="D118" s="1029" t="s">
        <v>429</v>
      </c>
      <c r="E118" s="1025"/>
      <c r="F118" s="1045"/>
      <c r="G118" s="1036"/>
      <c r="H118" s="1037"/>
      <c r="I118" s="1036"/>
      <c r="J118" s="1037"/>
    </row>
    <row r="119" spans="2:11">
      <c r="B119" s="1023"/>
      <c r="C119" s="1025"/>
      <c r="D119" s="1029"/>
      <c r="E119" s="1025" t="s">
        <v>279</v>
      </c>
      <c r="F119" s="1034" t="s">
        <v>428</v>
      </c>
      <c r="G119" s="500">
        <v>0</v>
      </c>
      <c r="H119" s="501">
        <v>0</v>
      </c>
      <c r="I119" s="500">
        <v>0</v>
      </c>
      <c r="J119" s="501">
        <v>0</v>
      </c>
      <c r="K119" s="1035">
        <f>SUM(I119:J119)</f>
        <v>0</v>
      </c>
    </row>
    <row r="120" spans="2:11">
      <c r="B120" s="1023"/>
      <c r="C120" s="1025"/>
      <c r="D120" s="1029"/>
      <c r="E120" s="1025" t="s">
        <v>280</v>
      </c>
      <c r="F120" s="1034" t="s">
        <v>428</v>
      </c>
      <c r="G120" s="500">
        <v>0</v>
      </c>
      <c r="H120" s="501">
        <v>0</v>
      </c>
      <c r="I120" s="500">
        <v>0</v>
      </c>
      <c r="J120" s="501">
        <v>0</v>
      </c>
      <c r="K120" s="1035">
        <f>SUM(I120:J120)</f>
        <v>0</v>
      </c>
    </row>
    <row r="121" spans="2:11">
      <c r="B121" s="1023"/>
      <c r="C121" s="1025"/>
      <c r="D121" s="1029"/>
      <c r="E121" s="1044" t="s">
        <v>143</v>
      </c>
      <c r="F121" s="1034" t="s">
        <v>428</v>
      </c>
      <c r="G121" s="500">
        <v>0</v>
      </c>
      <c r="H121" s="501">
        <v>0</v>
      </c>
      <c r="I121" s="500">
        <v>0</v>
      </c>
      <c r="J121" s="501">
        <v>0</v>
      </c>
      <c r="K121" s="1035">
        <f>SUM(I121:J121)</f>
        <v>0</v>
      </c>
    </row>
    <row r="122" spans="2:11">
      <c r="B122" s="1023"/>
      <c r="C122" s="1025"/>
      <c r="D122" s="1025"/>
      <c r="E122" s="1025"/>
      <c r="F122" s="1034"/>
      <c r="G122" s="1036"/>
      <c r="H122" s="1037"/>
      <c r="I122" s="1036"/>
      <c r="J122" s="1037"/>
    </row>
    <row r="123" spans="2:11">
      <c r="B123" s="1023"/>
      <c r="C123" s="1025"/>
      <c r="D123" s="1029" t="s">
        <v>454</v>
      </c>
      <c r="E123" s="1025"/>
      <c r="F123" s="1045"/>
      <c r="G123" s="1036"/>
      <c r="H123" s="1037"/>
      <c r="I123" s="1036"/>
      <c r="J123" s="1037"/>
    </row>
    <row r="124" spans="2:11">
      <c r="B124" s="1023"/>
      <c r="C124" s="1025"/>
      <c r="D124" s="1025"/>
      <c r="E124" s="1025" t="s">
        <v>393</v>
      </c>
      <c r="F124" s="1034" t="s">
        <v>717</v>
      </c>
      <c r="G124" s="500">
        <v>1031.587</v>
      </c>
      <c r="H124" s="501">
        <v>111.07011289340008</v>
      </c>
      <c r="I124" s="500">
        <v>1043.25</v>
      </c>
      <c r="J124" s="501">
        <v>131.20616934124374</v>
      </c>
      <c r="K124" s="1035">
        <f>SUM(I124:J124)</f>
        <v>1174.4561693412438</v>
      </c>
    </row>
    <row r="125" spans="2:11">
      <c r="B125" s="1023"/>
      <c r="C125" s="1025"/>
      <c r="D125" s="1025"/>
      <c r="E125" s="1025" t="s">
        <v>392</v>
      </c>
      <c r="F125" s="1034" t="s">
        <v>717</v>
      </c>
      <c r="G125" s="500">
        <v>1031.587</v>
      </c>
      <c r="H125" s="501">
        <v>111.07011289340008</v>
      </c>
      <c r="I125" s="500">
        <v>1043.25</v>
      </c>
      <c r="J125" s="501">
        <v>131.20616934124374</v>
      </c>
      <c r="K125" s="1035">
        <f>SUM(I125:J125)</f>
        <v>1174.4561693412438</v>
      </c>
    </row>
    <row r="126" spans="2:11">
      <c r="B126" s="1023"/>
      <c r="C126" s="1025"/>
      <c r="D126" s="1025"/>
      <c r="E126" s="1025" t="s">
        <v>356</v>
      </c>
      <c r="F126" s="1034" t="s">
        <v>717</v>
      </c>
      <c r="G126" s="500">
        <v>0</v>
      </c>
      <c r="H126" s="501">
        <v>0</v>
      </c>
      <c r="I126" s="500">
        <v>0</v>
      </c>
      <c r="J126" s="501">
        <v>0</v>
      </c>
      <c r="K126" s="1035">
        <f>SUM(I126:J126)</f>
        <v>0</v>
      </c>
    </row>
    <row r="127" spans="2:11">
      <c r="B127" s="1023"/>
      <c r="C127" s="1025"/>
      <c r="D127" s="1025"/>
      <c r="E127" s="1025"/>
      <c r="F127" s="1030"/>
      <c r="G127" s="1036"/>
      <c r="H127" s="1037"/>
      <c r="I127" s="1036"/>
      <c r="J127" s="1037"/>
    </row>
    <row r="128" spans="2:11">
      <c r="B128" s="1023"/>
      <c r="C128" s="1025"/>
      <c r="D128" s="1029" t="s">
        <v>596</v>
      </c>
      <c r="E128" s="1025"/>
      <c r="F128" s="1030"/>
      <c r="G128" s="1036"/>
      <c r="H128" s="1037"/>
      <c r="I128" s="1036"/>
      <c r="J128" s="1037"/>
    </row>
    <row r="129" spans="2:11">
      <c r="B129" s="1023"/>
      <c r="C129" s="1025"/>
      <c r="D129" s="1025"/>
      <c r="E129" s="1044" t="s">
        <v>357</v>
      </c>
      <c r="F129" s="1034" t="s">
        <v>717</v>
      </c>
      <c r="G129" s="500">
        <v>0</v>
      </c>
      <c r="H129" s="501">
        <v>0</v>
      </c>
      <c r="I129" s="500">
        <v>0</v>
      </c>
      <c r="J129" s="501">
        <v>0</v>
      </c>
      <c r="K129" s="1035">
        <f>SUM(I129:J129)</f>
        <v>0</v>
      </c>
    </row>
    <row r="130" spans="2:11">
      <c r="B130" s="1023"/>
      <c r="C130" s="1025"/>
      <c r="D130" s="1025"/>
      <c r="E130" s="1025"/>
      <c r="F130" s="1030"/>
      <c r="G130" s="1036"/>
      <c r="H130" s="1037"/>
      <c r="I130" s="1036"/>
      <c r="J130" s="1037"/>
    </row>
    <row r="131" spans="2:11">
      <c r="B131" s="1023"/>
      <c r="C131" s="1025"/>
      <c r="D131" s="1029" t="s">
        <v>319</v>
      </c>
      <c r="E131" s="1025"/>
      <c r="F131" s="1030"/>
      <c r="G131" s="1036"/>
      <c r="H131" s="1037"/>
      <c r="I131" s="1036"/>
      <c r="J131" s="1037"/>
    </row>
    <row r="132" spans="2:11">
      <c r="B132" s="1023"/>
      <c r="C132" s="1025"/>
      <c r="D132" s="1025"/>
      <c r="E132" s="1025" t="s">
        <v>358</v>
      </c>
      <c r="F132" s="1034" t="s">
        <v>428</v>
      </c>
      <c r="G132" s="500">
        <v>919.98599999999999</v>
      </c>
      <c r="H132" s="501">
        <v>99.054126196188548</v>
      </c>
      <c r="I132" s="500">
        <v>931.221</v>
      </c>
      <c r="J132" s="501">
        <v>117.11664531044556</v>
      </c>
      <c r="K132" s="1035">
        <f>SUM(I132:J132)</f>
        <v>1048.3376453104456</v>
      </c>
    </row>
    <row r="133" spans="2:11">
      <c r="B133" s="1023"/>
      <c r="C133" s="1025"/>
      <c r="D133" s="1025"/>
      <c r="E133" s="1025" t="s">
        <v>359</v>
      </c>
      <c r="F133" s="1034" t="s">
        <v>428</v>
      </c>
      <c r="G133" s="1038"/>
      <c r="H133" s="1039"/>
      <c r="I133" s="1038"/>
      <c r="J133" s="1039"/>
    </row>
    <row r="134" spans="2:11">
      <c r="B134" s="1023"/>
      <c r="C134" s="1025"/>
      <c r="D134" s="1025"/>
      <c r="E134" s="1025"/>
      <c r="F134" s="1030"/>
      <c r="G134" s="1036"/>
      <c r="H134" s="1037"/>
      <c r="I134" s="1036"/>
      <c r="J134" s="1037"/>
    </row>
    <row r="135" spans="2:11">
      <c r="B135" s="1023"/>
      <c r="C135" s="1025"/>
      <c r="D135" s="1029" t="s">
        <v>226</v>
      </c>
      <c r="E135" s="1025"/>
      <c r="F135" s="1034"/>
      <c r="G135" s="1036"/>
      <c r="H135" s="1037"/>
      <c r="I135" s="1036"/>
      <c r="J135" s="1037"/>
    </row>
    <row r="136" spans="2:11">
      <c r="B136" s="1023"/>
      <c r="C136" s="1025"/>
      <c r="D136" s="1025"/>
      <c r="E136" s="1044" t="s">
        <v>360</v>
      </c>
      <c r="F136" s="1034" t="s">
        <v>428</v>
      </c>
      <c r="G136" s="500">
        <v>1796.53</v>
      </c>
      <c r="H136" s="501">
        <v>193.430888443127</v>
      </c>
      <c r="I136" s="500">
        <v>1880.9530000000002</v>
      </c>
      <c r="J136" s="501">
        <v>236.56135906151013</v>
      </c>
      <c r="K136" s="1035">
        <f>SUM(I136:J136)</f>
        <v>2117.5143590615103</v>
      </c>
    </row>
    <row r="137" spans="2:11">
      <c r="B137" s="1023"/>
      <c r="C137" s="1025"/>
      <c r="D137" s="1025"/>
      <c r="E137" s="1044" t="s">
        <v>361</v>
      </c>
      <c r="F137" s="1034" t="s">
        <v>428</v>
      </c>
      <c r="G137" s="1038"/>
      <c r="H137" s="1039"/>
      <c r="I137" s="1038"/>
      <c r="J137" s="1039"/>
    </row>
    <row r="138" spans="2:11" ht="13.5" thickBot="1">
      <c r="B138" s="1018"/>
      <c r="C138" s="1019"/>
      <c r="D138" s="1019"/>
      <c r="E138" s="1019"/>
      <c r="F138" s="502"/>
      <c r="G138" s="1046"/>
      <c r="H138" s="1047"/>
      <c r="I138" s="1046"/>
      <c r="J138" s="1047"/>
    </row>
    <row r="139" spans="2:11">
      <c r="B139" s="1042"/>
      <c r="C139" s="1043" t="s">
        <v>366</v>
      </c>
      <c r="D139" s="1043"/>
      <c r="E139" s="1044"/>
      <c r="F139" s="1045"/>
      <c r="G139" s="1036"/>
      <c r="H139" s="1037"/>
      <c r="I139" s="1036"/>
      <c r="J139" s="1037"/>
    </row>
    <row r="140" spans="2:11">
      <c r="B140" s="1023"/>
      <c r="C140" s="1025"/>
      <c r="D140" s="1029" t="s">
        <v>367</v>
      </c>
      <c r="E140" s="1025"/>
      <c r="F140" s="1034"/>
      <c r="G140" s="1036"/>
      <c r="H140" s="1037"/>
      <c r="I140" s="1036"/>
      <c r="J140" s="1037"/>
    </row>
    <row r="141" spans="2:11">
      <c r="B141" s="1023"/>
      <c r="C141" s="1025"/>
      <c r="D141" s="1025"/>
      <c r="E141" s="1044" t="s">
        <v>368</v>
      </c>
      <c r="F141" s="1034" t="s">
        <v>428</v>
      </c>
      <c r="G141" s="1038"/>
      <c r="H141" s="1039"/>
      <c r="I141" s="1038"/>
      <c r="J141" s="1039"/>
    </row>
    <row r="142" spans="2:11">
      <c r="B142" s="1023"/>
      <c r="C142" s="1025"/>
      <c r="D142" s="1025"/>
      <c r="E142" s="1044" t="s">
        <v>494</v>
      </c>
      <c r="F142" s="1034" t="s">
        <v>428</v>
      </c>
      <c r="G142" s="1038"/>
      <c r="H142" s="1039"/>
      <c r="I142" s="1038"/>
      <c r="J142" s="1039"/>
    </row>
    <row r="143" spans="2:11">
      <c r="B143" s="1023"/>
      <c r="C143" s="1044"/>
      <c r="D143" s="1029"/>
      <c r="E143" s="1025"/>
      <c r="F143" s="1034"/>
      <c r="G143" s="1036"/>
      <c r="H143" s="1037"/>
      <c r="I143" s="1036"/>
      <c r="J143" s="1037"/>
    </row>
    <row r="144" spans="2:11">
      <c r="B144" s="1023"/>
      <c r="C144" s="1025"/>
      <c r="D144" s="1029" t="s">
        <v>495</v>
      </c>
      <c r="E144" s="1025"/>
      <c r="F144" s="1034"/>
      <c r="G144" s="1036"/>
      <c r="H144" s="1037"/>
      <c r="I144" s="1036"/>
      <c r="J144" s="1037"/>
    </row>
    <row r="145" spans="2:11">
      <c r="B145" s="1023"/>
      <c r="C145" s="1025"/>
      <c r="D145" s="1025"/>
      <c r="E145" s="1044" t="s">
        <v>370</v>
      </c>
      <c r="F145" s="1034" t="s">
        <v>428</v>
      </c>
      <c r="G145" s="1038"/>
      <c r="H145" s="1039"/>
      <c r="I145" s="1038"/>
      <c r="J145" s="1039"/>
    </row>
    <row r="146" spans="2:11">
      <c r="B146" s="1023"/>
      <c r="C146" s="1025"/>
      <c r="D146" s="1025"/>
      <c r="E146" s="1044" t="s">
        <v>371</v>
      </c>
      <c r="F146" s="1034" t="s">
        <v>428</v>
      </c>
      <c r="G146" s="1038"/>
      <c r="H146" s="1039"/>
      <c r="I146" s="1038"/>
      <c r="J146" s="1039"/>
    </row>
    <row r="147" spans="2:11" ht="13.5" thickBot="1">
      <c r="B147" s="1018"/>
      <c r="C147" s="1019"/>
      <c r="D147" s="1019"/>
      <c r="E147" s="1019"/>
      <c r="F147" s="502"/>
      <c r="G147" s="1048"/>
      <c r="H147" s="1049"/>
      <c r="I147" s="1048"/>
      <c r="J147" s="1049"/>
    </row>
    <row r="148" spans="2:11" ht="13.5" thickBot="1">
      <c r="B148" s="1044"/>
      <c r="C148" s="1044"/>
      <c r="D148" s="1044"/>
      <c r="E148" s="1044"/>
      <c r="F148" s="1044"/>
      <c r="G148" s="419"/>
      <c r="H148" s="419"/>
      <c r="I148" s="419"/>
      <c r="J148" s="419"/>
    </row>
    <row r="149" spans="2:11">
      <c r="B149" s="1050"/>
      <c r="C149" s="1051" t="s">
        <v>372</v>
      </c>
      <c r="D149" s="1051"/>
      <c r="E149" s="1052"/>
      <c r="F149" s="1053"/>
      <c r="G149" s="1054"/>
      <c r="H149" s="1055"/>
      <c r="I149" s="1054"/>
      <c r="J149" s="1055"/>
    </row>
    <row r="150" spans="2:11">
      <c r="B150" s="1033"/>
      <c r="C150" s="1025"/>
      <c r="D150" s="1029"/>
      <c r="E150" s="1029" t="s">
        <v>608</v>
      </c>
      <c r="F150" s="1034"/>
      <c r="G150" s="503"/>
      <c r="H150" s="504"/>
      <c r="I150" s="503"/>
      <c r="J150" s="504"/>
    </row>
    <row r="151" spans="2:11">
      <c r="B151" s="1033"/>
      <c r="C151" s="1025"/>
      <c r="D151" s="1029"/>
      <c r="E151" s="1056" t="s">
        <v>373</v>
      </c>
      <c r="F151" s="1034" t="s">
        <v>428</v>
      </c>
      <c r="G151" s="500">
        <v>24.182000000000002</v>
      </c>
      <c r="H151" s="501">
        <v>2.6036557944101673</v>
      </c>
      <c r="I151" s="500">
        <v>26.001000000000001</v>
      </c>
      <c r="J151" s="501">
        <v>3.2700614512740747</v>
      </c>
      <c r="K151" s="1035">
        <f>SUM(I151:J151)</f>
        <v>29.271061451274075</v>
      </c>
    </row>
    <row r="152" spans="2:11">
      <c r="B152" s="1033"/>
      <c r="C152" s="1025"/>
      <c r="D152" s="1029"/>
      <c r="E152" s="1056" t="s">
        <v>374</v>
      </c>
      <c r="F152" s="1034" t="s">
        <v>428</v>
      </c>
      <c r="G152" s="500">
        <v>6.0990000000000002</v>
      </c>
      <c r="H152" s="501">
        <v>0.6566742490326527</v>
      </c>
      <c r="I152" s="500">
        <v>6.6340000000000003</v>
      </c>
      <c r="J152" s="501">
        <v>0.83433666658021666</v>
      </c>
      <c r="K152" s="1035">
        <f>SUM(I152:J152)</f>
        <v>7.4683366665802167</v>
      </c>
    </row>
    <row r="153" spans="2:11">
      <c r="B153" s="1033"/>
      <c r="C153" s="1025"/>
      <c r="D153" s="1029"/>
      <c r="E153" s="1029" t="s">
        <v>217</v>
      </c>
      <c r="F153" s="1034"/>
      <c r="G153" s="503"/>
      <c r="H153" s="504"/>
      <c r="I153" s="503"/>
      <c r="J153" s="504"/>
    </row>
    <row r="154" spans="2:11">
      <c r="B154" s="1033"/>
      <c r="C154" s="1025"/>
      <c r="D154" s="1029"/>
      <c r="E154" s="1056" t="s">
        <v>373</v>
      </c>
      <c r="F154" s="1034" t="s">
        <v>428</v>
      </c>
      <c r="G154" s="500">
        <v>0</v>
      </c>
      <c r="H154" s="501">
        <v>0</v>
      </c>
      <c r="I154" s="500">
        <v>0</v>
      </c>
      <c r="J154" s="501">
        <v>0</v>
      </c>
      <c r="K154" s="1035">
        <f>SUM(I154:J154)</f>
        <v>0</v>
      </c>
    </row>
    <row r="155" spans="2:11" ht="13.5" thickBot="1">
      <c r="B155" s="1057"/>
      <c r="C155" s="1058"/>
      <c r="D155" s="1059"/>
      <c r="E155" s="1060" t="s">
        <v>374</v>
      </c>
      <c r="F155" s="1061" t="s">
        <v>428</v>
      </c>
      <c r="G155" s="505">
        <v>0</v>
      </c>
      <c r="H155" s="506">
        <v>0</v>
      </c>
      <c r="I155" s="505">
        <v>0</v>
      </c>
      <c r="J155" s="506">
        <v>0</v>
      </c>
      <c r="K155" s="1035">
        <f>SUM(I155:J155)</f>
        <v>0</v>
      </c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>
      <selection sqref="A1:IV65536"/>
    </sheetView>
  </sheetViews>
  <sheetFormatPr defaultColWidth="8.85546875" defaultRowHeight="12.75"/>
  <cols>
    <col min="1" max="2" width="8.85546875" customWidth="1"/>
    <col min="3" max="3" width="19" customWidth="1"/>
  </cols>
  <sheetData>
    <row r="1" spans="1:38">
      <c r="A1" s="896" t="s">
        <v>544</v>
      </c>
      <c r="F1" s="891" t="s">
        <v>774</v>
      </c>
      <c r="H1" t="s">
        <v>111</v>
      </c>
    </row>
    <row r="3" spans="1:38">
      <c r="A3" s="896" t="s">
        <v>557</v>
      </c>
    </row>
    <row r="5" spans="1:38">
      <c r="C5" s="507" t="s">
        <v>112</v>
      </c>
      <c r="D5" s="508"/>
      <c r="E5" s="508"/>
      <c r="F5" s="508"/>
      <c r="G5" s="508"/>
      <c r="H5" s="508"/>
      <c r="I5" s="507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9"/>
    </row>
    <row r="6" spans="1:38">
      <c r="C6" s="510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1"/>
      <c r="AG6" s="511"/>
      <c r="AH6" s="511"/>
      <c r="AI6" s="511"/>
      <c r="AJ6" s="511"/>
      <c r="AK6" s="511"/>
      <c r="AL6" s="512"/>
    </row>
    <row r="7" spans="1:38" ht="12.75" customHeight="1">
      <c r="C7" s="510"/>
      <c r="D7" s="1495" t="s">
        <v>104</v>
      </c>
      <c r="E7" s="1496"/>
      <c r="F7" s="1496"/>
      <c r="G7" s="1496"/>
      <c r="H7" s="1496"/>
      <c r="I7" s="1496"/>
      <c r="J7" s="1496"/>
      <c r="K7" s="1496"/>
      <c r="L7" s="1496"/>
      <c r="M7" s="1496"/>
      <c r="N7" s="1496"/>
      <c r="O7" s="1496"/>
      <c r="P7" s="1496"/>
      <c r="Q7" s="1496"/>
      <c r="R7" s="1496"/>
      <c r="S7" s="1496"/>
      <c r="T7" s="1496"/>
      <c r="U7" s="1496"/>
      <c r="V7" s="1496"/>
      <c r="W7" s="1496"/>
      <c r="X7" s="1497"/>
      <c r="Y7" s="1492" t="s">
        <v>184</v>
      </c>
      <c r="Z7" s="1492" t="s">
        <v>185</v>
      </c>
      <c r="AA7" s="1492" t="s">
        <v>459</v>
      </c>
      <c r="AB7" s="1492" t="s">
        <v>460</v>
      </c>
      <c r="AC7" s="1492" t="s">
        <v>444</v>
      </c>
      <c r="AD7" s="1492" t="s">
        <v>586</v>
      </c>
      <c r="AE7" s="1492" t="s">
        <v>445</v>
      </c>
      <c r="AF7" s="1492" t="s">
        <v>446</v>
      </c>
      <c r="AG7" s="1492" t="s">
        <v>447</v>
      </c>
      <c r="AH7" s="1492" t="s">
        <v>327</v>
      </c>
      <c r="AI7" s="1492" t="s">
        <v>329</v>
      </c>
      <c r="AJ7" s="1492" t="s">
        <v>330</v>
      </c>
      <c r="AK7" s="1483" t="s">
        <v>342</v>
      </c>
      <c r="AL7" s="513"/>
    </row>
    <row r="8" spans="1:38">
      <c r="C8" s="510"/>
      <c r="D8" s="1486" t="s">
        <v>338</v>
      </c>
      <c r="E8" s="1487"/>
      <c r="F8" s="1487"/>
      <c r="G8" s="1487"/>
      <c r="H8" s="1487"/>
      <c r="I8" s="1488"/>
      <c r="J8" s="1489" t="s">
        <v>180</v>
      </c>
      <c r="K8" s="1490"/>
      <c r="L8" s="1490"/>
      <c r="M8" s="1490"/>
      <c r="N8" s="1490"/>
      <c r="O8" s="1490"/>
      <c r="P8" s="1490"/>
      <c r="Q8" s="1490"/>
      <c r="R8" s="1490"/>
      <c r="S8" s="1490"/>
      <c r="T8" s="1490"/>
      <c r="U8" s="1490"/>
      <c r="V8" s="1490"/>
      <c r="W8" s="1490"/>
      <c r="X8" s="1491"/>
      <c r="Y8" s="1493"/>
      <c r="Z8" s="1493"/>
      <c r="AA8" s="1493"/>
      <c r="AB8" s="1493"/>
      <c r="AC8" s="1493"/>
      <c r="AD8" s="1493"/>
      <c r="AE8" s="1493"/>
      <c r="AF8" s="1493"/>
      <c r="AG8" s="1493"/>
      <c r="AH8" s="1493"/>
      <c r="AI8" s="1493"/>
      <c r="AJ8" s="1493"/>
      <c r="AK8" s="1484"/>
      <c r="AL8" s="513"/>
    </row>
    <row r="9" spans="1:38" s="1007" customFormat="1" ht="131.25">
      <c r="C9" s="534" t="s">
        <v>218</v>
      </c>
      <c r="D9" s="535" t="s">
        <v>322</v>
      </c>
      <c r="E9" s="535" t="s">
        <v>178</v>
      </c>
      <c r="F9" s="535" t="s">
        <v>179</v>
      </c>
      <c r="G9" s="535" t="s">
        <v>760</v>
      </c>
      <c r="H9" s="535" t="s">
        <v>38</v>
      </c>
      <c r="I9" s="535" t="s">
        <v>762</v>
      </c>
      <c r="J9" s="535" t="s">
        <v>587</v>
      </c>
      <c r="K9" s="536" t="s">
        <v>588</v>
      </c>
      <c r="L9" s="536" t="s">
        <v>589</v>
      </c>
      <c r="M9" s="536" t="s">
        <v>590</v>
      </c>
      <c r="N9" s="536" t="s">
        <v>591</v>
      </c>
      <c r="O9" s="536" t="s">
        <v>592</v>
      </c>
      <c r="P9" s="536" t="s">
        <v>783</v>
      </c>
      <c r="Q9" s="536" t="s">
        <v>784</v>
      </c>
      <c r="R9" s="536" t="s">
        <v>470</v>
      </c>
      <c r="S9" s="536" t="s">
        <v>346</v>
      </c>
      <c r="T9" s="536" t="s">
        <v>469</v>
      </c>
      <c r="U9" s="536" t="s">
        <v>601</v>
      </c>
      <c r="V9" s="536" t="s">
        <v>219</v>
      </c>
      <c r="W9" s="536" t="s">
        <v>729</v>
      </c>
      <c r="X9" s="536" t="s">
        <v>183</v>
      </c>
      <c r="Y9" s="1494"/>
      <c r="Z9" s="1494"/>
      <c r="AA9" s="1494"/>
      <c r="AB9" s="1494"/>
      <c r="AC9" s="1494"/>
      <c r="AD9" s="1494"/>
      <c r="AE9" s="1494"/>
      <c r="AF9" s="1494"/>
      <c r="AG9" s="1494"/>
      <c r="AH9" s="1494"/>
      <c r="AI9" s="1494"/>
      <c r="AJ9" s="1494"/>
      <c r="AK9" s="1485"/>
      <c r="AL9" s="537"/>
    </row>
    <row r="10" spans="1:38">
      <c r="C10" s="514"/>
      <c r="D10" s="515" t="s">
        <v>687</v>
      </c>
      <c r="E10" s="515" t="s">
        <v>687</v>
      </c>
      <c r="F10" s="515" t="s">
        <v>687</v>
      </c>
      <c r="G10" s="515" t="s">
        <v>687</v>
      </c>
      <c r="H10" s="515" t="s">
        <v>687</v>
      </c>
      <c r="I10" s="515" t="s">
        <v>687</v>
      </c>
      <c r="J10" s="515" t="s">
        <v>687</v>
      </c>
      <c r="K10" s="515" t="s">
        <v>687</v>
      </c>
      <c r="L10" s="515" t="s">
        <v>687</v>
      </c>
      <c r="M10" s="515" t="s">
        <v>687</v>
      </c>
      <c r="N10" s="515" t="s">
        <v>687</v>
      </c>
      <c r="O10" s="515" t="s">
        <v>687</v>
      </c>
      <c r="P10" s="515" t="s">
        <v>687</v>
      </c>
      <c r="Q10" s="515" t="s">
        <v>687</v>
      </c>
      <c r="R10" s="515" t="s">
        <v>687</v>
      </c>
      <c r="S10" s="515" t="s">
        <v>687</v>
      </c>
      <c r="T10" s="515" t="s">
        <v>687</v>
      </c>
      <c r="U10" s="515" t="s">
        <v>687</v>
      </c>
      <c r="V10" s="515" t="s">
        <v>687</v>
      </c>
      <c r="W10" s="515" t="s">
        <v>687</v>
      </c>
      <c r="X10" s="515" t="s">
        <v>687</v>
      </c>
      <c r="Y10" s="515" t="s">
        <v>687</v>
      </c>
      <c r="Z10" s="515" t="s">
        <v>687</v>
      </c>
      <c r="AA10" s="515" t="s">
        <v>687</v>
      </c>
      <c r="AB10" s="515" t="s">
        <v>687</v>
      </c>
      <c r="AC10" s="515" t="s">
        <v>687</v>
      </c>
      <c r="AD10" s="515" t="s">
        <v>687</v>
      </c>
      <c r="AE10" s="515" t="s">
        <v>687</v>
      </c>
      <c r="AF10" s="515" t="s">
        <v>687</v>
      </c>
      <c r="AG10" s="515" t="s">
        <v>687</v>
      </c>
      <c r="AH10" s="515" t="s">
        <v>687</v>
      </c>
      <c r="AI10" s="515" t="s">
        <v>687</v>
      </c>
      <c r="AJ10" s="515" t="s">
        <v>687</v>
      </c>
      <c r="AK10" s="515" t="s">
        <v>687</v>
      </c>
      <c r="AL10" s="512"/>
    </row>
    <row r="11" spans="1:38">
      <c r="C11" s="516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/>
      <c r="AJ11" s="517"/>
      <c r="AK11" s="517"/>
      <c r="AL11" s="512"/>
    </row>
    <row r="12" spans="1:38">
      <c r="C12" s="518" t="s">
        <v>221</v>
      </c>
      <c r="D12" s="519">
        <v>46.459524808852009</v>
      </c>
      <c r="E12" s="519">
        <v>62.531667485618783</v>
      </c>
      <c r="F12" s="519">
        <v>2.3969412916799993</v>
      </c>
      <c r="G12" s="519">
        <v>26.514424209436648</v>
      </c>
      <c r="H12" s="519">
        <v>11.606716180984</v>
      </c>
      <c r="I12" s="519">
        <v>3.1208690599999995</v>
      </c>
      <c r="J12" s="519">
        <v>0.63889207162799966</v>
      </c>
      <c r="K12" s="519">
        <v>5.1305774955097965</v>
      </c>
      <c r="L12" s="519">
        <v>2.2167176620892537</v>
      </c>
      <c r="M12" s="519">
        <v>16.939612814221448</v>
      </c>
      <c r="N12" s="519">
        <v>4.4300162415596507</v>
      </c>
      <c r="O12" s="519">
        <v>1.5094657008872003</v>
      </c>
      <c r="P12" s="519">
        <v>1.3239399267640004</v>
      </c>
      <c r="Q12" s="519">
        <v>1.562325762189239</v>
      </c>
      <c r="R12" s="519">
        <v>6.1510443854799997</v>
      </c>
      <c r="S12" s="519">
        <v>10.240069047105548</v>
      </c>
      <c r="T12" s="519">
        <v>4.5836090382398558</v>
      </c>
      <c r="U12" s="519">
        <v>1.4397993171236436</v>
      </c>
      <c r="V12" s="519">
        <v>2.0706365899867683</v>
      </c>
      <c r="W12" s="519">
        <v>7.5444930721556567</v>
      </c>
      <c r="X12" s="519">
        <v>1.6451252035656032</v>
      </c>
      <c r="Y12" s="519">
        <v>1.32151902</v>
      </c>
      <c r="Z12" s="519">
        <v>9.5</v>
      </c>
      <c r="AA12" s="519">
        <v>0.79378199999999999</v>
      </c>
      <c r="AB12" s="519">
        <v>9.751431000299192</v>
      </c>
      <c r="AC12" s="519">
        <v>-8.3266726846886741E-16</v>
      </c>
      <c r="AD12" s="519">
        <v>1.0145090392</v>
      </c>
      <c r="AE12" s="519">
        <v>4.3032873328058328</v>
      </c>
      <c r="AF12" s="519">
        <v>41.912756859700004</v>
      </c>
      <c r="AG12" s="519">
        <v>27.091992000000001</v>
      </c>
      <c r="AH12" s="519">
        <v>4.4000000000000004</v>
      </c>
      <c r="AI12" s="519">
        <v>-9.5</v>
      </c>
      <c r="AJ12" s="519">
        <v>2.3542553829179269</v>
      </c>
      <c r="AK12" s="519">
        <v>313</v>
      </c>
      <c r="AL12" s="520"/>
    </row>
    <row r="13" spans="1:38">
      <c r="C13" s="518" t="s">
        <v>222</v>
      </c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521"/>
      <c r="AK13" s="522">
        <v>0</v>
      </c>
      <c r="AL13" s="520"/>
    </row>
    <row r="14" spans="1:38">
      <c r="C14" s="518" t="s">
        <v>221</v>
      </c>
      <c r="D14" s="519">
        <v>46.459524808852009</v>
      </c>
      <c r="E14" s="519">
        <v>62.531667485618783</v>
      </c>
      <c r="F14" s="519">
        <v>2.3969412916799993</v>
      </c>
      <c r="G14" s="519">
        <v>26.514424209436648</v>
      </c>
      <c r="H14" s="519">
        <v>11.606716180984</v>
      </c>
      <c r="I14" s="519">
        <v>3.1208690599999995</v>
      </c>
      <c r="J14" s="519">
        <v>0.63889207162799966</v>
      </c>
      <c r="K14" s="519">
        <v>5.1305774955097965</v>
      </c>
      <c r="L14" s="519">
        <v>2.2167176620892537</v>
      </c>
      <c r="M14" s="519">
        <v>16.939612814221448</v>
      </c>
      <c r="N14" s="519">
        <v>4.4300162415596507</v>
      </c>
      <c r="O14" s="519">
        <v>1.5094657008872003</v>
      </c>
      <c r="P14" s="519">
        <v>1.3239399267640004</v>
      </c>
      <c r="Q14" s="519">
        <v>1.562325762189239</v>
      </c>
      <c r="R14" s="519">
        <v>6.1510443854799997</v>
      </c>
      <c r="S14" s="519">
        <v>10.240069047105548</v>
      </c>
      <c r="T14" s="519">
        <v>4.5836090382398558</v>
      </c>
      <c r="U14" s="519">
        <v>1.4397993171236436</v>
      </c>
      <c r="V14" s="519">
        <v>2.0706365899867683</v>
      </c>
      <c r="W14" s="519">
        <v>7.5444930721556567</v>
      </c>
      <c r="X14" s="519">
        <v>1.6451252035656032</v>
      </c>
      <c r="Y14" s="519">
        <v>1.32151902</v>
      </c>
      <c r="Z14" s="519">
        <v>9.5</v>
      </c>
      <c r="AA14" s="519">
        <v>0.79378199999999999</v>
      </c>
      <c r="AB14" s="519">
        <v>9.751431000299192</v>
      </c>
      <c r="AC14" s="519">
        <v>-8.3266726846886741E-16</v>
      </c>
      <c r="AD14" s="519">
        <v>1.0145090392</v>
      </c>
      <c r="AE14" s="519">
        <v>4.3032873328058328</v>
      </c>
      <c r="AF14" s="519">
        <v>41.912756859700004</v>
      </c>
      <c r="AG14" s="519">
        <v>27.091992000000001</v>
      </c>
      <c r="AH14" s="519">
        <v>4.4000000000000004</v>
      </c>
      <c r="AI14" s="519">
        <v>-9.5</v>
      </c>
      <c r="AJ14" s="519">
        <v>2.3542553829179269</v>
      </c>
      <c r="AK14" s="519">
        <v>313</v>
      </c>
      <c r="AL14" s="520"/>
    </row>
    <row r="15" spans="1:38">
      <c r="C15" s="518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20"/>
    </row>
    <row r="16" spans="1:38">
      <c r="C16" s="518" t="s">
        <v>223</v>
      </c>
      <c r="D16" s="519">
        <v>14.151282694386488</v>
      </c>
      <c r="E16" s="519">
        <v>41.901947565729692</v>
      </c>
      <c r="F16" s="519">
        <v>2.5346743360699997</v>
      </c>
      <c r="G16" s="519">
        <v>29.351257701719597</v>
      </c>
      <c r="H16" s="519">
        <v>11.519941237081493</v>
      </c>
      <c r="I16" s="519">
        <v>5.8257634456637231</v>
      </c>
      <c r="J16" s="519">
        <v>1.3252198300408482</v>
      </c>
      <c r="K16" s="519">
        <v>3.7900776636320539</v>
      </c>
      <c r="L16" s="519">
        <v>4.791652885966827</v>
      </c>
      <c r="M16" s="519">
        <v>16.963168868641358</v>
      </c>
      <c r="N16" s="519">
        <v>4.4092795317044633</v>
      </c>
      <c r="O16" s="519">
        <v>1.8923039644686004</v>
      </c>
      <c r="P16" s="519">
        <v>1.9938320736628832</v>
      </c>
      <c r="Q16" s="519">
        <v>1.5195982432433788</v>
      </c>
      <c r="R16" s="519">
        <v>4.8615322519232107</v>
      </c>
      <c r="S16" s="519">
        <v>13.529966622211505</v>
      </c>
      <c r="T16" s="519">
        <v>4.2317714531526214</v>
      </c>
      <c r="U16" s="519">
        <v>1.9208223019260779</v>
      </c>
      <c r="V16" s="519">
        <v>2.2641922279217139</v>
      </c>
      <c r="W16" s="519">
        <v>7.1645215567985527</v>
      </c>
      <c r="X16" s="519">
        <v>1.8087584738886002</v>
      </c>
      <c r="Y16" s="519">
        <v>1.5637426000000001</v>
      </c>
      <c r="Z16" s="519">
        <v>0</v>
      </c>
      <c r="AA16" s="519">
        <v>5.3809152985718995</v>
      </c>
      <c r="AB16" s="519">
        <v>15.699185752649853</v>
      </c>
      <c r="AC16" s="519">
        <v>0</v>
      </c>
      <c r="AD16" s="519">
        <v>0</v>
      </c>
      <c r="AE16" s="519">
        <v>1.8407559641693809</v>
      </c>
      <c r="AF16" s="519">
        <v>40.602506950469994</v>
      </c>
      <c r="AG16" s="519">
        <v>26.111617219999999</v>
      </c>
      <c r="AH16" s="519">
        <v>4.5662790900000001</v>
      </c>
      <c r="AI16" s="519">
        <v>0</v>
      </c>
      <c r="AJ16" s="519">
        <v>-5.7906823056947019</v>
      </c>
      <c r="AK16" s="519">
        <v>267.72588550000012</v>
      </c>
      <c r="AL16" s="523"/>
    </row>
    <row r="17" spans="3:38">
      <c r="C17" s="518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  <c r="AK17" s="519"/>
      <c r="AL17" s="523"/>
    </row>
    <row r="18" spans="3:38">
      <c r="C18" s="518" t="s">
        <v>224</v>
      </c>
      <c r="D18" s="519">
        <v>17.394742274489687</v>
      </c>
      <c r="E18" s="519">
        <v>35.088115916993331</v>
      </c>
      <c r="F18" s="519">
        <v>1.9914601539999999</v>
      </c>
      <c r="G18" s="519">
        <v>27.186515151318229</v>
      </c>
      <c r="H18" s="519">
        <v>10.780594265829606</v>
      </c>
      <c r="I18" s="519">
        <v>3.2645322649343638</v>
      </c>
      <c r="J18" s="519">
        <v>0.42116821067413113</v>
      </c>
      <c r="K18" s="519">
        <v>7.2462549143267321</v>
      </c>
      <c r="L18" s="519">
        <v>6.1037403167946209</v>
      </c>
      <c r="M18" s="519">
        <v>11.676644510200507</v>
      </c>
      <c r="N18" s="519">
        <v>3.7007240906480638</v>
      </c>
      <c r="O18" s="519">
        <v>1.9451231500906572</v>
      </c>
      <c r="P18" s="519">
        <v>1.4674598631707632</v>
      </c>
      <c r="Q18" s="519">
        <v>2.007539016691029</v>
      </c>
      <c r="R18" s="519">
        <v>4.1312202910262137</v>
      </c>
      <c r="S18" s="519">
        <v>7.0587166141664746</v>
      </c>
      <c r="T18" s="519">
        <v>4.89466808916952</v>
      </c>
      <c r="U18" s="519">
        <v>1.2662056907617996</v>
      </c>
      <c r="V18" s="519">
        <v>2.0034273403142651</v>
      </c>
      <c r="W18" s="519">
        <v>6.7695236474636857</v>
      </c>
      <c r="X18" s="519">
        <v>2.2294360003843123</v>
      </c>
      <c r="Y18" s="519">
        <v>5.8295019999999997</v>
      </c>
      <c r="Z18" s="519">
        <v>45.6</v>
      </c>
      <c r="AA18" s="519">
        <v>9.2171990705459876</v>
      </c>
      <c r="AB18" s="519">
        <v>8.6510472243001466</v>
      </c>
      <c r="AC18" s="519">
        <v>0</v>
      </c>
      <c r="AD18" s="519">
        <v>0</v>
      </c>
      <c r="AE18" s="519">
        <v>0</v>
      </c>
      <c r="AF18" s="519">
        <v>42.388523990000003</v>
      </c>
      <c r="AG18" s="519">
        <v>25.863890000000001</v>
      </c>
      <c r="AH18" s="519">
        <v>4.7382850099999994</v>
      </c>
      <c r="AI18" s="519">
        <v>-45.6</v>
      </c>
      <c r="AJ18" s="519">
        <v>-5.0462590682941197</v>
      </c>
      <c r="AK18" s="519">
        <v>250.27</v>
      </c>
      <c r="AL18" s="523"/>
    </row>
    <row r="19" spans="3:38">
      <c r="C19" s="524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0"/>
    </row>
    <row r="20" spans="3:38">
      <c r="C20" s="511"/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6"/>
      <c r="AK20" s="526"/>
      <c r="AL20" s="520"/>
    </row>
    <row r="21" spans="3:38">
      <c r="C21" s="527" t="s">
        <v>194</v>
      </c>
      <c r="D21" s="527"/>
      <c r="E21" s="527"/>
      <c r="F21" s="528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30"/>
      <c r="S21" s="527"/>
      <c r="T21" s="527"/>
      <c r="U21" s="527"/>
      <c r="V21" s="527"/>
      <c r="W21" s="527"/>
      <c r="X21" s="527"/>
      <c r="Y21" s="527"/>
      <c r="Z21" s="527"/>
      <c r="AA21" s="527"/>
      <c r="AB21" s="526"/>
      <c r="AC21" s="526"/>
      <c r="AD21" s="526"/>
      <c r="AE21" s="526"/>
      <c r="AF21" s="526"/>
      <c r="AG21" s="526"/>
      <c r="AH21" s="526"/>
      <c r="AI21" s="526"/>
      <c r="AJ21" s="526"/>
      <c r="AK21" s="526"/>
      <c r="AL21" s="520"/>
    </row>
    <row r="22" spans="3:38" ht="12.75" customHeight="1">
      <c r="C22" s="527">
        <v>1</v>
      </c>
      <c r="D22" s="1481" t="s">
        <v>23</v>
      </c>
      <c r="E22" s="1482"/>
      <c r="F22" s="1482"/>
      <c r="G22" s="1482"/>
      <c r="H22" s="1482"/>
      <c r="I22" s="1482"/>
      <c r="J22" s="1482"/>
      <c r="K22" s="1482"/>
      <c r="L22" s="1482"/>
      <c r="M22" s="1482"/>
      <c r="N22" s="1482"/>
      <c r="O22" s="1482"/>
      <c r="P22" s="1482"/>
      <c r="Q22" s="1482"/>
      <c r="R22" s="1482"/>
      <c r="S22" s="1482"/>
      <c r="T22" s="1482"/>
      <c r="U22" s="1482"/>
      <c r="V22" s="1482"/>
      <c r="W22" s="1482"/>
      <c r="X22" s="1482"/>
      <c r="Y22" s="1482"/>
      <c r="Z22" s="1482"/>
      <c r="AA22" s="1482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0"/>
    </row>
    <row r="23" spans="3:38" ht="12.75" customHeight="1">
      <c r="C23" s="527">
        <v>2</v>
      </c>
      <c r="D23" s="1481" t="s">
        <v>113</v>
      </c>
      <c r="E23" s="1482"/>
      <c r="F23" s="1482"/>
      <c r="G23" s="1482"/>
      <c r="H23" s="1482"/>
      <c r="I23" s="1482"/>
      <c r="J23" s="1482"/>
      <c r="K23" s="1482"/>
      <c r="L23" s="1482"/>
      <c r="M23" s="1482"/>
      <c r="N23" s="1482"/>
      <c r="O23" s="1482"/>
      <c r="P23" s="1482"/>
      <c r="Q23" s="1482"/>
      <c r="R23" s="1482"/>
      <c r="S23" s="1482"/>
      <c r="T23" s="1482"/>
      <c r="U23" s="1482"/>
      <c r="V23" s="1482"/>
      <c r="W23" s="1482"/>
      <c r="X23" s="1482"/>
      <c r="Y23" s="1482"/>
      <c r="Z23" s="1482"/>
      <c r="AA23" s="1482"/>
      <c r="AB23" s="526"/>
      <c r="AC23" s="526"/>
      <c r="AD23" s="526"/>
      <c r="AE23" s="526"/>
      <c r="AF23" s="526"/>
      <c r="AG23" s="526"/>
      <c r="AH23" s="526"/>
      <c r="AI23" s="526"/>
      <c r="AJ23" s="526"/>
      <c r="AK23" s="526"/>
      <c r="AL23" s="520"/>
    </row>
    <row r="24" spans="3:38" ht="12.75" customHeight="1">
      <c r="C24" s="527">
        <v>3</v>
      </c>
      <c r="D24" s="1481" t="s">
        <v>53</v>
      </c>
      <c r="E24" s="1482"/>
      <c r="F24" s="1482"/>
      <c r="G24" s="1482"/>
      <c r="H24" s="1482"/>
      <c r="I24" s="1482"/>
      <c r="J24" s="1482"/>
      <c r="K24" s="1482"/>
      <c r="L24" s="1482"/>
      <c r="M24" s="1482"/>
      <c r="N24" s="1482"/>
      <c r="O24" s="1482"/>
      <c r="P24" s="1482"/>
      <c r="Q24" s="1482"/>
      <c r="R24" s="1482"/>
      <c r="S24" s="1482"/>
      <c r="T24" s="1482"/>
      <c r="U24" s="1482"/>
      <c r="V24" s="1482"/>
      <c r="W24" s="1482"/>
      <c r="X24" s="1482"/>
      <c r="Y24" s="1482"/>
      <c r="Z24" s="1482"/>
      <c r="AA24" s="1482"/>
      <c r="AB24" s="526"/>
      <c r="AC24" s="526"/>
      <c r="AD24" s="526"/>
      <c r="AE24" s="526"/>
      <c r="AF24" s="526"/>
      <c r="AG24" s="526"/>
      <c r="AH24" s="526"/>
      <c r="AI24" s="526"/>
      <c r="AJ24" s="526"/>
      <c r="AK24" s="526"/>
      <c r="AL24" s="520"/>
    </row>
    <row r="25" spans="3:38" ht="12.75" customHeight="1">
      <c r="C25" s="527">
        <v>4</v>
      </c>
      <c r="D25" s="1481" t="s">
        <v>114</v>
      </c>
      <c r="E25" s="1482"/>
      <c r="F25" s="1482"/>
      <c r="G25" s="1482"/>
      <c r="H25" s="1482"/>
      <c r="I25" s="1482"/>
      <c r="J25" s="1482"/>
      <c r="K25" s="1482"/>
      <c r="L25" s="1482"/>
      <c r="M25" s="1482"/>
      <c r="N25" s="1482"/>
      <c r="O25" s="1482"/>
      <c r="P25" s="1482"/>
      <c r="Q25" s="1482"/>
      <c r="R25" s="1482"/>
      <c r="S25" s="1482"/>
      <c r="T25" s="1482"/>
      <c r="U25" s="1482"/>
      <c r="V25" s="1482"/>
      <c r="W25" s="1482"/>
      <c r="X25" s="1482"/>
      <c r="Y25" s="1482"/>
      <c r="Z25" s="1482"/>
      <c r="AA25" s="1482"/>
      <c r="AB25" s="526"/>
      <c r="AC25" s="526"/>
      <c r="AD25" s="526"/>
      <c r="AE25" s="526"/>
      <c r="AF25" s="526"/>
      <c r="AG25" s="526"/>
      <c r="AH25" s="526"/>
      <c r="AI25" s="526"/>
      <c r="AJ25" s="526"/>
      <c r="AK25" s="526"/>
      <c r="AL25" s="520"/>
    </row>
    <row r="26" spans="3:38" ht="12.75" customHeight="1">
      <c r="C26" s="527">
        <v>5</v>
      </c>
      <c r="D26" s="1481" t="s">
        <v>115</v>
      </c>
      <c r="E26" s="1482"/>
      <c r="F26" s="1482"/>
      <c r="G26" s="1482"/>
      <c r="H26" s="1482"/>
      <c r="I26" s="1482"/>
      <c r="J26" s="1482"/>
      <c r="K26" s="1482"/>
      <c r="L26" s="1482"/>
      <c r="M26" s="1482"/>
      <c r="N26" s="1482"/>
      <c r="O26" s="1482"/>
      <c r="P26" s="1482"/>
      <c r="Q26" s="1482"/>
      <c r="R26" s="1482"/>
      <c r="S26" s="1482"/>
      <c r="T26" s="1482"/>
      <c r="U26" s="1482"/>
      <c r="V26" s="1482"/>
      <c r="W26" s="1482"/>
      <c r="X26" s="1482"/>
      <c r="Y26" s="1482"/>
      <c r="Z26" s="1482"/>
      <c r="AA26" s="1482"/>
      <c r="AB26" s="526"/>
      <c r="AC26" s="526"/>
      <c r="AD26" s="526"/>
      <c r="AE26" s="526"/>
      <c r="AF26" s="526"/>
      <c r="AG26" s="526"/>
      <c r="AH26" s="526"/>
      <c r="AI26" s="526"/>
      <c r="AJ26" s="526"/>
      <c r="AK26" s="526"/>
      <c r="AL26" s="520"/>
    </row>
    <row r="27" spans="3:38">
      <c r="C27" s="531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3"/>
    </row>
  </sheetData>
  <mergeCells count="21">
    <mergeCell ref="AK7:AK9"/>
    <mergeCell ref="D8:I8"/>
    <mergeCell ref="J8:X8"/>
    <mergeCell ref="AF7:AF9"/>
    <mergeCell ref="AG7:AG9"/>
    <mergeCell ref="AH7:AH9"/>
    <mergeCell ref="AI7:AI9"/>
    <mergeCell ref="AB7:AB9"/>
    <mergeCell ref="AC7:AC9"/>
    <mergeCell ref="AJ7:AJ9"/>
    <mergeCell ref="AE7:AE9"/>
    <mergeCell ref="D7:X7"/>
    <mergeCell ref="Y7:Y9"/>
    <mergeCell ref="Z7:Z9"/>
    <mergeCell ref="AD7:AD9"/>
    <mergeCell ref="AA7:AA9"/>
    <mergeCell ref="D26:AA26"/>
    <mergeCell ref="D22:AA22"/>
    <mergeCell ref="D23:AA23"/>
    <mergeCell ref="D24:AA24"/>
    <mergeCell ref="D25:AA25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="70" workbookViewId="0">
      <selection sqref="A1:IV65536"/>
    </sheetView>
  </sheetViews>
  <sheetFormatPr defaultColWidth="8.85546875" defaultRowHeight="12.75"/>
  <cols>
    <col min="1" max="2" width="8.85546875" customWidth="1"/>
    <col min="3" max="3" width="29.85546875" customWidth="1"/>
    <col min="4" max="4" width="8.85546875" customWidth="1"/>
    <col min="5" max="5" width="25.42578125" customWidth="1"/>
    <col min="6" max="6" width="13.42578125" customWidth="1"/>
  </cols>
  <sheetData>
    <row r="1" spans="1:18">
      <c r="A1" s="896" t="s">
        <v>544</v>
      </c>
      <c r="E1" s="891" t="s">
        <v>774</v>
      </c>
    </row>
    <row r="2" spans="1:18">
      <c r="A2" s="896"/>
    </row>
    <row r="3" spans="1:18">
      <c r="A3" s="896" t="s">
        <v>557</v>
      </c>
    </row>
    <row r="5" spans="1:18" ht="16.5" thickBot="1">
      <c r="A5" s="977" t="s">
        <v>529</v>
      </c>
      <c r="B5" s="545"/>
      <c r="C5" s="545"/>
      <c r="D5" s="546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</row>
    <row r="6" spans="1:18" ht="13.5" thickBot="1">
      <c r="A6" s="545"/>
      <c r="B6" s="545"/>
      <c r="C6" s="545"/>
      <c r="D6" s="546"/>
      <c r="E6" s="545"/>
      <c r="F6" s="545"/>
      <c r="G6" s="545"/>
      <c r="H6" s="545"/>
      <c r="I6" s="545"/>
      <c r="J6" s="545"/>
      <c r="K6" s="545"/>
      <c r="L6" s="545"/>
      <c r="M6" s="1558" t="s">
        <v>106</v>
      </c>
      <c r="N6" s="1559"/>
      <c r="O6" s="1559"/>
      <c r="P6" s="1559"/>
      <c r="Q6" s="1560"/>
      <c r="R6" s="545"/>
    </row>
    <row r="7" spans="1:18" s="980" customFormat="1" ht="13.5" customHeight="1" thickBot="1">
      <c r="A7" s="978"/>
      <c r="B7" s="978"/>
      <c r="C7" s="978"/>
      <c r="D7" s="979"/>
      <c r="E7" s="1561" t="s">
        <v>530</v>
      </c>
      <c r="F7" s="1562"/>
      <c r="G7" s="1563"/>
      <c r="H7" s="652"/>
      <c r="I7" s="1564" t="s">
        <v>531</v>
      </c>
      <c r="J7" s="1565"/>
      <c r="K7" s="1566"/>
      <c r="L7" s="978"/>
      <c r="M7" s="1567" t="s">
        <v>530</v>
      </c>
      <c r="N7" s="1568"/>
      <c r="O7" s="1569"/>
      <c r="P7" s="653"/>
      <c r="Q7" s="1573" t="s">
        <v>760</v>
      </c>
      <c r="R7" s="979"/>
    </row>
    <row r="8" spans="1:18" ht="26.25" thickBot="1">
      <c r="A8" s="547"/>
      <c r="B8" s="547"/>
      <c r="C8" s="547"/>
      <c r="D8" s="549"/>
      <c r="E8" s="654"/>
      <c r="F8" s="655" t="s">
        <v>532</v>
      </c>
      <c r="G8" s="656"/>
      <c r="H8" s="652"/>
      <c r="I8" s="657" t="s">
        <v>532</v>
      </c>
      <c r="J8" s="543"/>
      <c r="K8" s="658" t="s">
        <v>533</v>
      </c>
      <c r="L8" s="538"/>
      <c r="M8" s="1570"/>
      <c r="N8" s="1571"/>
      <c r="O8" s="1572"/>
      <c r="P8" s="538"/>
      <c r="Q8" s="1574"/>
      <c r="R8" s="551"/>
    </row>
    <row r="9" spans="1:18" ht="16.5" thickBot="1">
      <c r="A9" s="1552" t="s">
        <v>534</v>
      </c>
      <c r="B9" s="1553"/>
      <c r="C9" s="1554"/>
      <c r="D9" s="552"/>
      <c r="E9" s="981" t="s">
        <v>535</v>
      </c>
      <c r="F9" s="982" t="s">
        <v>547</v>
      </c>
      <c r="G9" s="983" t="s">
        <v>548</v>
      </c>
      <c r="H9" s="984"/>
      <c r="I9" s="657" t="s">
        <v>548</v>
      </c>
      <c r="J9" s="790"/>
      <c r="K9" s="985" t="s">
        <v>548</v>
      </c>
      <c r="L9" s="538"/>
      <c r="M9" s="986" t="s">
        <v>535</v>
      </c>
      <c r="N9" s="987" t="s">
        <v>547</v>
      </c>
      <c r="O9" s="988" t="s">
        <v>548</v>
      </c>
      <c r="P9" s="538"/>
      <c r="Q9" s="985" t="s">
        <v>548</v>
      </c>
      <c r="R9" s="551"/>
    </row>
    <row r="10" spans="1:18" ht="16.5" thickBot="1">
      <c r="A10" s="1555"/>
      <c r="B10" s="1556"/>
      <c r="C10" s="1557"/>
      <c r="D10" s="552"/>
      <c r="E10" s="989" t="s">
        <v>687</v>
      </c>
      <c r="F10" s="990" t="s">
        <v>687</v>
      </c>
      <c r="G10" s="991" t="s">
        <v>687</v>
      </c>
      <c r="H10" s="652"/>
      <c r="I10" s="992" t="s">
        <v>687</v>
      </c>
      <c r="J10" s="790"/>
      <c r="K10" s="992" t="s">
        <v>687</v>
      </c>
      <c r="L10" s="538"/>
      <c r="M10" s="993" t="s">
        <v>687</v>
      </c>
      <c r="N10" s="994" t="s">
        <v>687</v>
      </c>
      <c r="O10" s="992" t="s">
        <v>687</v>
      </c>
      <c r="P10" s="538"/>
      <c r="Q10" s="992" t="s">
        <v>687</v>
      </c>
      <c r="R10" s="551"/>
    </row>
    <row r="11" spans="1:18" ht="14.25" customHeight="1">
      <c r="A11" s="1532" t="s">
        <v>549</v>
      </c>
      <c r="B11" s="1534" t="s">
        <v>633</v>
      </c>
      <c r="C11" s="1535"/>
      <c r="D11" s="555"/>
      <c r="E11" s="1536">
        <v>0</v>
      </c>
      <c r="F11" s="1538">
        <v>0.36181519995774197</v>
      </c>
      <c r="G11" s="1540">
        <f>SUM(E11:F11)</f>
        <v>0.36181519995774197</v>
      </c>
      <c r="H11" s="556"/>
      <c r="I11" s="557">
        <v>0.44431694812253475</v>
      </c>
      <c r="J11" s="549"/>
      <c r="K11" s="557">
        <v>0</v>
      </c>
      <c r="L11" s="551"/>
      <c r="M11" s="551"/>
      <c r="N11" s="551"/>
      <c r="O11" s="551"/>
      <c r="P11" s="551"/>
      <c r="Q11" s="551"/>
      <c r="R11" s="551"/>
    </row>
    <row r="12" spans="1:18" ht="14.25">
      <c r="A12" s="1533"/>
      <c r="B12" s="1541" t="s">
        <v>634</v>
      </c>
      <c r="C12" s="1542"/>
      <c r="D12" s="555"/>
      <c r="E12" s="1537"/>
      <c r="F12" s="1539"/>
      <c r="G12" s="1527"/>
      <c r="H12" s="556"/>
      <c r="I12" s="560">
        <v>4.7953367704089898</v>
      </c>
      <c r="J12" s="549"/>
      <c r="K12" s="560">
        <v>0</v>
      </c>
      <c r="L12" s="551"/>
      <c r="M12" s="551"/>
      <c r="N12" s="551"/>
      <c r="O12" s="551"/>
      <c r="P12" s="551"/>
      <c r="Q12" s="551"/>
      <c r="R12" s="551"/>
    </row>
    <row r="13" spans="1:18" ht="14.25" customHeight="1">
      <c r="A13" s="1543" t="s">
        <v>487</v>
      </c>
      <c r="B13" s="1546" t="s">
        <v>785</v>
      </c>
      <c r="C13" s="1547"/>
      <c r="D13" s="555"/>
      <c r="E13" s="561">
        <v>0.39717937245801499</v>
      </c>
      <c r="F13" s="995">
        <v>0.118111357439522</v>
      </c>
      <c r="G13" s="562">
        <f>SUM(E13:F13)</f>
        <v>0.51529072989753699</v>
      </c>
      <c r="H13" s="556"/>
      <c r="I13" s="560">
        <v>1.19960729316716</v>
      </c>
      <c r="J13" s="549"/>
      <c r="K13" s="560">
        <v>0.20706630150757177</v>
      </c>
      <c r="L13" s="551"/>
      <c r="M13" s="551"/>
      <c r="N13" s="551"/>
      <c r="O13" s="551"/>
      <c r="P13" s="551"/>
      <c r="Q13" s="551"/>
      <c r="R13" s="551"/>
    </row>
    <row r="14" spans="1:18" ht="14.25" customHeight="1">
      <c r="A14" s="1544"/>
      <c r="B14" s="1528" t="s">
        <v>550</v>
      </c>
      <c r="C14" s="1529"/>
      <c r="D14" s="555"/>
      <c r="E14" s="1548">
        <v>0.229663769257235</v>
      </c>
      <c r="F14" s="1550">
        <v>0.112411254057019</v>
      </c>
      <c r="G14" s="1525">
        <f>SUM(E14:F14)</f>
        <v>0.34207502331425399</v>
      </c>
      <c r="H14" s="556"/>
      <c r="I14" s="560">
        <v>9.2383940591736491E-3</v>
      </c>
      <c r="J14" s="549"/>
      <c r="K14" s="560">
        <v>0</v>
      </c>
      <c r="L14" s="551"/>
      <c r="M14" s="551"/>
      <c r="N14" s="551"/>
      <c r="O14" s="551"/>
      <c r="P14" s="551"/>
      <c r="Q14" s="551"/>
      <c r="R14" s="551"/>
    </row>
    <row r="15" spans="1:18" ht="14.25" customHeight="1">
      <c r="A15" s="1544"/>
      <c r="B15" s="1528" t="s">
        <v>551</v>
      </c>
      <c r="C15" s="1529"/>
      <c r="D15" s="555"/>
      <c r="E15" s="1549">
        <v>0</v>
      </c>
      <c r="F15" s="1551">
        <v>0</v>
      </c>
      <c r="G15" s="1526"/>
      <c r="H15" s="556"/>
      <c r="I15" s="560">
        <v>9.2962537572156698</v>
      </c>
      <c r="J15" s="549"/>
      <c r="K15" s="560">
        <v>0</v>
      </c>
      <c r="L15" s="551"/>
      <c r="M15" s="551"/>
      <c r="N15" s="551"/>
      <c r="O15" s="551"/>
      <c r="P15" s="551"/>
      <c r="Q15" s="551"/>
      <c r="R15" s="551"/>
    </row>
    <row r="16" spans="1:18" ht="15" customHeight="1" thickBot="1">
      <c r="A16" s="1545"/>
      <c r="B16" s="1530" t="s">
        <v>787</v>
      </c>
      <c r="C16" s="1531"/>
      <c r="D16" s="555"/>
      <c r="E16" s="1537">
        <v>0</v>
      </c>
      <c r="F16" s="1539">
        <v>0</v>
      </c>
      <c r="G16" s="1527"/>
      <c r="H16" s="556"/>
      <c r="I16" s="563">
        <v>0.20110809962398224</v>
      </c>
      <c r="J16" s="549"/>
      <c r="K16" s="563">
        <v>0</v>
      </c>
      <c r="L16" s="551"/>
      <c r="M16" s="551"/>
      <c r="N16" s="551"/>
      <c r="O16" s="551"/>
      <c r="P16" s="551"/>
      <c r="Q16" s="551"/>
      <c r="R16" s="551"/>
    </row>
    <row r="17" spans="1:18" ht="14.25" customHeight="1">
      <c r="A17" s="1507" t="s">
        <v>552</v>
      </c>
      <c r="B17" s="1510" t="s">
        <v>788</v>
      </c>
      <c r="C17" s="1511"/>
      <c r="D17" s="564"/>
      <c r="E17" s="561">
        <v>2.6450309304946802E-2</v>
      </c>
      <c r="F17" s="995">
        <v>0.32631011622364703</v>
      </c>
      <c r="G17" s="562">
        <f t="shared" ref="G17:G27" si="0">SUM(E17:F17)</f>
        <v>0.35276042552859382</v>
      </c>
      <c r="H17" s="556"/>
      <c r="I17" s="557">
        <v>1.9214642911566087</v>
      </c>
      <c r="J17" s="549"/>
      <c r="K17" s="565">
        <v>0.1739622662704251</v>
      </c>
      <c r="L17" s="551"/>
      <c r="M17" s="551"/>
      <c r="N17" s="551"/>
      <c r="O17" s="551"/>
      <c r="P17" s="551"/>
      <c r="Q17" s="551"/>
      <c r="R17" s="551"/>
    </row>
    <row r="18" spans="1:18" ht="14.25" customHeight="1">
      <c r="A18" s="1508"/>
      <c r="B18" s="1512" t="s">
        <v>648</v>
      </c>
      <c r="C18" s="1513"/>
      <c r="D18" s="566"/>
      <c r="E18" s="578">
        <v>0</v>
      </c>
      <c r="F18" s="996">
        <v>0.15632920001592032</v>
      </c>
      <c r="G18" s="567">
        <f t="shared" si="0"/>
        <v>0.15632920001592032</v>
      </c>
      <c r="H18" s="556"/>
      <c r="I18" s="560">
        <v>4.34436105494588</v>
      </c>
      <c r="J18" s="549"/>
      <c r="K18" s="560">
        <v>0</v>
      </c>
      <c r="L18" s="551"/>
      <c r="M18" s="551"/>
      <c r="N18" s="551"/>
      <c r="O18" s="551"/>
      <c r="P18" s="551"/>
      <c r="Q18" s="551"/>
      <c r="R18" s="551"/>
    </row>
    <row r="19" spans="1:18" ht="15" customHeight="1" thickBot="1">
      <c r="A19" s="1509"/>
      <c r="B19" s="1514" t="s">
        <v>297</v>
      </c>
      <c r="C19" s="1515"/>
      <c r="D19" s="564"/>
      <c r="E19" s="997">
        <v>0.52095547972967593</v>
      </c>
      <c r="F19" s="998">
        <v>3.7559833450097067</v>
      </c>
      <c r="G19" s="570">
        <f t="shared" si="0"/>
        <v>4.2769388247393829</v>
      </c>
      <c r="H19" s="556"/>
      <c r="I19" s="563">
        <v>0.55050054364771606</v>
      </c>
      <c r="J19" s="549"/>
      <c r="K19" s="571">
        <v>0</v>
      </c>
      <c r="L19" s="551"/>
      <c r="M19" s="551"/>
      <c r="N19" s="551"/>
      <c r="O19" s="551"/>
      <c r="P19" s="551"/>
      <c r="Q19" s="551"/>
      <c r="R19" s="551"/>
    </row>
    <row r="20" spans="1:18" ht="14.25" customHeight="1">
      <c r="A20" s="1516" t="s">
        <v>808</v>
      </c>
      <c r="B20" s="1518" t="s">
        <v>788</v>
      </c>
      <c r="C20" s="1519"/>
      <c r="D20" s="564"/>
      <c r="E20" s="577">
        <v>0</v>
      </c>
      <c r="F20" s="999">
        <v>0</v>
      </c>
      <c r="G20" s="572">
        <f t="shared" si="0"/>
        <v>0</v>
      </c>
      <c r="H20" s="556"/>
      <c r="I20" s="557">
        <v>0.45049410821776609</v>
      </c>
      <c r="J20" s="549"/>
      <c r="K20" s="557">
        <v>0</v>
      </c>
      <c r="L20" s="551"/>
      <c r="M20" s="551"/>
      <c r="N20" s="551"/>
      <c r="O20" s="551"/>
      <c r="P20" s="551"/>
      <c r="Q20" s="551"/>
      <c r="R20" s="551"/>
    </row>
    <row r="21" spans="1:18" ht="14.25" customHeight="1">
      <c r="A21" s="1507"/>
      <c r="B21" s="558" t="s">
        <v>298</v>
      </c>
      <c r="C21" s="573"/>
      <c r="D21" s="574"/>
      <c r="E21" s="561">
        <v>0</v>
      </c>
      <c r="F21" s="995">
        <v>0</v>
      </c>
      <c r="G21" s="562">
        <f t="shared" si="0"/>
        <v>0</v>
      </c>
      <c r="H21" s="556"/>
      <c r="I21" s="565">
        <v>1.2794757770246144E-4</v>
      </c>
      <c r="J21" s="549"/>
      <c r="K21" s="565">
        <v>0</v>
      </c>
      <c r="L21" s="551"/>
      <c r="M21" s="551"/>
      <c r="N21" s="551"/>
      <c r="O21" s="551"/>
      <c r="P21" s="551"/>
      <c r="Q21" s="551"/>
      <c r="R21" s="551"/>
    </row>
    <row r="22" spans="1:18" ht="14.25" customHeight="1">
      <c r="A22" s="1508"/>
      <c r="B22" s="558" t="s">
        <v>299</v>
      </c>
      <c r="C22" s="573"/>
      <c r="D22" s="574"/>
      <c r="E22" s="578">
        <v>0</v>
      </c>
      <c r="F22" s="996">
        <v>0</v>
      </c>
      <c r="G22" s="567">
        <f t="shared" si="0"/>
        <v>0</v>
      </c>
      <c r="H22" s="556"/>
      <c r="I22" s="560">
        <v>0.50689587057303287</v>
      </c>
      <c r="J22" s="549"/>
      <c r="K22" s="560">
        <v>0</v>
      </c>
      <c r="L22" s="551"/>
      <c r="M22" s="551"/>
      <c r="N22" s="551"/>
      <c r="O22" s="551"/>
      <c r="P22" s="551"/>
      <c r="Q22" s="551"/>
      <c r="R22" s="551"/>
    </row>
    <row r="23" spans="1:18" ht="15" customHeight="1" thickBot="1">
      <c r="A23" s="1517"/>
      <c r="B23" s="1514" t="s">
        <v>297</v>
      </c>
      <c r="C23" s="1515"/>
      <c r="D23" s="574"/>
      <c r="E23" s="568">
        <v>3.4253363869449022E-2</v>
      </c>
      <c r="F23" s="569">
        <v>0.54131910307239062</v>
      </c>
      <c r="G23" s="575">
        <f t="shared" si="0"/>
        <v>0.57557246694183961</v>
      </c>
      <c r="H23" s="556"/>
      <c r="I23" s="563">
        <v>1.3595209014202313E-4</v>
      </c>
      <c r="J23" s="549"/>
      <c r="K23" s="563">
        <v>0</v>
      </c>
      <c r="L23" s="551"/>
      <c r="M23" s="551"/>
      <c r="N23" s="551"/>
      <c r="O23" s="551"/>
      <c r="P23" s="551"/>
      <c r="Q23" s="551"/>
      <c r="R23" s="551"/>
    </row>
    <row r="24" spans="1:18" ht="14.25" customHeight="1">
      <c r="A24" s="1520" t="s">
        <v>806</v>
      </c>
      <c r="B24" s="1522" t="s">
        <v>788</v>
      </c>
      <c r="C24" s="1523"/>
      <c r="D24" s="576"/>
      <c r="E24" s="577">
        <v>0.14570113797854389</v>
      </c>
      <c r="F24" s="1000">
        <v>1.9379218620848797</v>
      </c>
      <c r="G24" s="562">
        <f t="shared" si="0"/>
        <v>2.0836230000634237</v>
      </c>
      <c r="H24" s="556"/>
      <c r="I24" s="565">
        <v>2.7840239766498171E-3</v>
      </c>
      <c r="J24" s="549"/>
      <c r="K24" s="565">
        <v>5.2674322220031544E-3</v>
      </c>
      <c r="L24" s="551"/>
      <c r="M24" s="577">
        <v>0</v>
      </c>
      <c r="N24" s="999">
        <v>0</v>
      </c>
      <c r="O24" s="572">
        <f>SUM(M24:N24)</f>
        <v>0</v>
      </c>
      <c r="P24" s="551"/>
      <c r="Q24" s="557">
        <v>0</v>
      </c>
      <c r="R24" s="551"/>
    </row>
    <row r="25" spans="1:18" ht="14.25" customHeight="1">
      <c r="A25" s="1521"/>
      <c r="B25" s="558" t="s">
        <v>298</v>
      </c>
      <c r="C25" s="559"/>
      <c r="D25" s="574"/>
      <c r="E25" s="578">
        <v>9.7464896642148011E-2</v>
      </c>
      <c r="F25" s="1001">
        <v>0.13435964818256071</v>
      </c>
      <c r="G25" s="567">
        <f t="shared" si="0"/>
        <v>0.23182454482470871</v>
      </c>
      <c r="H25" s="556"/>
      <c r="I25" s="560">
        <v>0.61958612229318499</v>
      </c>
      <c r="J25" s="549"/>
      <c r="K25" s="560">
        <v>0</v>
      </c>
      <c r="L25" s="551"/>
      <c r="M25" s="578">
        <v>0</v>
      </c>
      <c r="N25" s="996">
        <v>0</v>
      </c>
      <c r="O25" s="567">
        <f>SUM(M25:N25)</f>
        <v>0</v>
      </c>
      <c r="P25" s="551"/>
      <c r="Q25" s="560">
        <v>0</v>
      </c>
      <c r="R25" s="551"/>
    </row>
    <row r="26" spans="1:18" ht="14.25" customHeight="1">
      <c r="A26" s="1521"/>
      <c r="B26" s="558" t="s">
        <v>299</v>
      </c>
      <c r="C26" s="559"/>
      <c r="D26" s="574"/>
      <c r="E26" s="578">
        <v>0</v>
      </c>
      <c r="F26" s="1001">
        <v>0</v>
      </c>
      <c r="G26" s="567">
        <f t="shared" si="0"/>
        <v>0</v>
      </c>
      <c r="H26" s="556"/>
      <c r="I26" s="560">
        <v>0</v>
      </c>
      <c r="J26" s="549"/>
      <c r="K26" s="560">
        <v>0</v>
      </c>
      <c r="L26" s="551"/>
      <c r="M26" s="578">
        <v>0</v>
      </c>
      <c r="N26" s="996">
        <v>0</v>
      </c>
      <c r="O26" s="567">
        <f>SUM(M26:N26)</f>
        <v>0</v>
      </c>
      <c r="P26" s="551"/>
      <c r="Q26" s="560">
        <v>0</v>
      </c>
      <c r="R26" s="551"/>
    </row>
    <row r="27" spans="1:18" ht="15" customHeight="1" thickBot="1">
      <c r="A27" s="1521"/>
      <c r="B27" s="1514" t="s">
        <v>297</v>
      </c>
      <c r="C27" s="1515"/>
      <c r="D27" s="574"/>
      <c r="E27" s="997">
        <v>0.21059578286325348</v>
      </c>
      <c r="F27" s="1002">
        <v>1.2008979828373454</v>
      </c>
      <c r="G27" s="570">
        <f t="shared" si="0"/>
        <v>1.4114937657005988</v>
      </c>
      <c r="H27" s="556"/>
      <c r="I27" s="571">
        <v>1.5441425698751693E-3</v>
      </c>
      <c r="J27" s="549"/>
      <c r="K27" s="571">
        <v>0</v>
      </c>
      <c r="L27" s="551"/>
      <c r="M27" s="568">
        <v>0</v>
      </c>
      <c r="N27" s="569">
        <v>0</v>
      </c>
      <c r="O27" s="575">
        <f>SUM(M27:N27)</f>
        <v>0</v>
      </c>
      <c r="P27" s="551"/>
      <c r="Q27" s="563">
        <v>0</v>
      </c>
      <c r="R27" s="551"/>
    </row>
    <row r="28" spans="1:18" ht="15" customHeight="1" thickBot="1">
      <c r="A28" s="1498" t="s">
        <v>300</v>
      </c>
      <c r="B28" s="1524"/>
      <c r="C28" s="579"/>
      <c r="D28" s="574"/>
      <c r="E28" s="582">
        <v>0</v>
      </c>
      <c r="F28" s="1003">
        <v>0</v>
      </c>
      <c r="G28" s="580">
        <f>SUM(E28:F28)</f>
        <v>0</v>
      </c>
      <c r="H28" s="556"/>
      <c r="I28" s="581">
        <v>0</v>
      </c>
      <c r="J28" s="549"/>
      <c r="K28" s="581">
        <v>0</v>
      </c>
      <c r="L28" s="551"/>
      <c r="M28" s="582">
        <v>0</v>
      </c>
      <c r="N28" s="1003">
        <v>0</v>
      </c>
      <c r="O28" s="580">
        <f>SUM(M28:N28)</f>
        <v>0</v>
      </c>
      <c r="P28" s="551"/>
      <c r="Q28" s="581">
        <v>0</v>
      </c>
      <c r="R28" s="551"/>
    </row>
    <row r="29" spans="1:18" ht="15.75" customHeight="1" thickBot="1">
      <c r="A29" s="1498" t="s">
        <v>418</v>
      </c>
      <c r="B29" s="1499"/>
      <c r="C29" s="1500"/>
      <c r="D29" s="583"/>
      <c r="E29" s="584"/>
      <c r="F29" s="585"/>
      <c r="G29" s="586"/>
      <c r="H29" s="587"/>
      <c r="I29" s="588">
        <v>5.7302192640935399</v>
      </c>
      <c r="J29" s="549"/>
      <c r="K29" s="588">
        <v>0</v>
      </c>
      <c r="L29" s="589"/>
      <c r="M29" s="590"/>
      <c r="N29" s="591"/>
      <c r="O29" s="586"/>
      <c r="P29" s="589"/>
      <c r="Q29" s="592"/>
      <c r="R29" s="589"/>
    </row>
    <row r="30" spans="1:18" ht="15.75" customHeight="1" thickBot="1">
      <c r="A30" s="1498" t="s">
        <v>553</v>
      </c>
      <c r="B30" s="1499"/>
      <c r="C30" s="1500"/>
      <c r="D30" s="583"/>
      <c r="E30" s="584"/>
      <c r="F30" s="1004">
        <v>0</v>
      </c>
      <c r="G30" s="570">
        <f>SUM(E30:F30)</f>
        <v>0</v>
      </c>
      <c r="H30" s="587"/>
      <c r="I30" s="593"/>
      <c r="J30" s="549"/>
      <c r="K30" s="594"/>
      <c r="L30" s="589"/>
      <c r="M30" s="584"/>
      <c r="N30" s="585"/>
      <c r="O30" s="586"/>
      <c r="P30" s="589"/>
      <c r="Q30" s="595"/>
      <c r="R30" s="589"/>
    </row>
    <row r="31" spans="1:18" ht="15.75" customHeight="1" thickBot="1">
      <c r="A31" s="1498" t="s">
        <v>554</v>
      </c>
      <c r="B31" s="1499"/>
      <c r="C31" s="1500"/>
      <c r="D31" s="583"/>
      <c r="E31" s="584"/>
      <c r="F31" s="1004"/>
      <c r="G31" s="580">
        <f>SUM(E31:F31)</f>
        <v>0</v>
      </c>
      <c r="H31" s="587"/>
      <c r="I31" s="593"/>
      <c r="J31" s="549"/>
      <c r="K31" s="594"/>
      <c r="L31" s="589"/>
      <c r="M31" s="584"/>
      <c r="N31" s="585"/>
      <c r="O31" s="586"/>
      <c r="P31" s="589"/>
      <c r="Q31" s="595"/>
      <c r="R31" s="589"/>
    </row>
    <row r="32" spans="1:18" ht="15.75" customHeight="1" thickBot="1">
      <c r="A32" s="1498" t="s">
        <v>555</v>
      </c>
      <c r="B32" s="1499"/>
      <c r="C32" s="1500"/>
      <c r="D32" s="583"/>
      <c r="E32" s="584"/>
      <c r="F32" s="585"/>
      <c r="G32" s="586"/>
      <c r="H32" s="587"/>
      <c r="I32" s="588">
        <v>-2.22315</v>
      </c>
      <c r="J32" s="549"/>
      <c r="K32" s="594"/>
      <c r="L32" s="589"/>
      <c r="M32" s="584"/>
      <c r="N32" s="585"/>
      <c r="O32" s="586"/>
      <c r="P32" s="589"/>
      <c r="Q32" s="595"/>
      <c r="R32" s="589"/>
    </row>
    <row r="33" spans="1:18" ht="15.75" customHeight="1" thickBot="1">
      <c r="A33" s="1498" t="s">
        <v>556</v>
      </c>
      <c r="B33" s="1499"/>
      <c r="C33" s="1500"/>
      <c r="D33" s="583"/>
      <c r="E33" s="584"/>
      <c r="F33" s="1005">
        <v>1.198993</v>
      </c>
      <c r="G33" s="580">
        <f>SUM(E33:F33)</f>
        <v>1.198993</v>
      </c>
      <c r="H33" s="587"/>
      <c r="I33" s="594"/>
      <c r="J33" s="549"/>
      <c r="K33" s="594"/>
      <c r="L33" s="589"/>
      <c r="M33" s="584"/>
      <c r="N33" s="585"/>
      <c r="O33" s="586"/>
      <c r="P33" s="589"/>
      <c r="Q33" s="595"/>
      <c r="R33" s="589"/>
    </row>
    <row r="34" spans="1:18" ht="15.75" thickBot="1">
      <c r="A34" s="596" t="s">
        <v>809</v>
      </c>
      <c r="B34" s="597"/>
      <c r="C34" s="598"/>
      <c r="D34" s="599"/>
      <c r="E34" s="600">
        <f>SUM(E11:E33)</f>
        <v>1.6622641121032671</v>
      </c>
      <c r="F34" s="600">
        <f>SUM(F11:F33)</f>
        <v>9.8444520688807344</v>
      </c>
      <c r="G34" s="600">
        <f>SUM(G11:G33)</f>
        <v>11.506716180984</v>
      </c>
      <c r="H34" s="601"/>
      <c r="I34" s="600">
        <f>SUM(I11:I33)</f>
        <v>27.850824583739605</v>
      </c>
      <c r="J34" s="599"/>
      <c r="K34" s="600">
        <f>SUM(K11:K33)</f>
        <v>0.38629600000000003</v>
      </c>
      <c r="L34" s="602"/>
      <c r="M34" s="600">
        <f>SUM(M11:M31)</f>
        <v>0</v>
      </c>
      <c r="N34" s="600">
        <f>SUM(N11:N31)</f>
        <v>0</v>
      </c>
      <c r="O34" s="600">
        <f>SUM(O11:O31)</f>
        <v>0</v>
      </c>
      <c r="P34" s="602"/>
      <c r="Q34" s="600">
        <f>SUM(Q11:Q31)</f>
        <v>0</v>
      </c>
      <c r="R34" s="602"/>
    </row>
    <row r="35" spans="1:18" ht="15" thickBot="1">
      <c r="A35" s="551"/>
      <c r="B35" s="551"/>
      <c r="C35" s="551"/>
      <c r="D35" s="603"/>
      <c r="E35" s="551"/>
      <c r="F35" s="551"/>
      <c r="G35" s="604"/>
      <c r="H35" s="551"/>
      <c r="I35" s="604"/>
      <c r="J35" s="538"/>
      <c r="K35" s="604"/>
      <c r="L35" s="551"/>
      <c r="M35" s="551"/>
      <c r="N35" s="551"/>
      <c r="O35" s="551"/>
      <c r="P35" s="551"/>
      <c r="Q35" s="551"/>
      <c r="R35" s="551"/>
    </row>
    <row r="36" spans="1:18" ht="30.75" thickBot="1">
      <c r="A36" s="605"/>
      <c r="B36" s="605"/>
      <c r="C36" s="606"/>
      <c r="D36" s="607"/>
      <c r="E36" s="608" t="s">
        <v>431</v>
      </c>
      <c r="F36" s="609"/>
      <c r="G36" s="609"/>
      <c r="H36" s="609"/>
      <c r="I36" s="554" t="s">
        <v>532</v>
      </c>
      <c r="J36" s="599"/>
      <c r="K36" s="550" t="s">
        <v>533</v>
      </c>
      <c r="L36" s="610"/>
      <c r="M36" s="602"/>
      <c r="N36" s="602"/>
      <c r="O36" s="602"/>
      <c r="P36" s="602"/>
      <c r="Q36" s="602"/>
      <c r="R36" s="602"/>
    </row>
    <row r="37" spans="1:18" ht="15.75" thickBot="1">
      <c r="A37" s="602"/>
      <c r="B37" s="610"/>
      <c r="C37" s="610"/>
      <c r="D37" s="610"/>
      <c r="E37" s="611"/>
      <c r="F37" s="609"/>
      <c r="G37" s="609"/>
      <c r="H37" s="612"/>
      <c r="I37" s="553" t="s">
        <v>687</v>
      </c>
      <c r="J37" s="599"/>
      <c r="K37" s="554" t="s">
        <v>687</v>
      </c>
      <c r="L37" s="602"/>
      <c r="M37" s="602"/>
      <c r="N37" s="602"/>
      <c r="O37" s="602"/>
      <c r="P37" s="602"/>
      <c r="Q37" s="602"/>
      <c r="R37" s="602"/>
    </row>
    <row r="38" spans="1:18" ht="14.25">
      <c r="A38" s="551"/>
      <c r="B38" s="603"/>
      <c r="C38" s="603"/>
      <c r="D38" s="603"/>
      <c r="E38" s="613" t="s">
        <v>432</v>
      </c>
      <c r="F38" s="614"/>
      <c r="G38" s="614"/>
      <c r="H38" s="615"/>
      <c r="I38" s="616">
        <v>7.6046734961971971</v>
      </c>
      <c r="J38" s="549"/>
      <c r="K38" s="565">
        <v>0.38629600000000003</v>
      </c>
      <c r="L38" s="551"/>
      <c r="M38" s="551"/>
      <c r="N38" s="551"/>
      <c r="O38" s="551"/>
      <c r="P38" s="551"/>
      <c r="Q38" s="551"/>
      <c r="R38" s="551"/>
    </row>
    <row r="39" spans="1:18" ht="15" thickBot="1">
      <c r="A39" s="551"/>
      <c r="B39" s="603"/>
      <c r="C39" s="603"/>
      <c r="D39" s="603"/>
      <c r="E39" s="617" t="s">
        <v>433</v>
      </c>
      <c r="F39" s="618"/>
      <c r="G39" s="618"/>
      <c r="H39" s="619"/>
      <c r="I39" s="620">
        <v>20.246151087542405</v>
      </c>
      <c r="J39" s="549"/>
      <c r="K39" s="571">
        <v>0</v>
      </c>
      <c r="L39" s="551"/>
      <c r="M39" s="551"/>
      <c r="N39" s="551"/>
      <c r="O39" s="551"/>
      <c r="P39" s="551"/>
      <c r="Q39" s="551"/>
      <c r="R39" s="551"/>
    </row>
    <row r="40" spans="1:18" ht="16.5" thickBot="1">
      <c r="A40" s="551"/>
      <c r="B40" s="599"/>
      <c r="C40" s="599"/>
      <c r="D40" s="599"/>
      <c r="E40" s="621" t="s">
        <v>434</v>
      </c>
      <c r="F40" s="622"/>
      <c r="G40" s="622"/>
      <c r="H40" s="623"/>
      <c r="I40" s="580">
        <f>SUM(I38:I39)</f>
        <v>27.850824583739602</v>
      </c>
      <c r="J40" s="549"/>
      <c r="K40" s="580">
        <f>SUM(K38:K39)</f>
        <v>0.38629600000000003</v>
      </c>
      <c r="L40" s="551"/>
      <c r="M40" s="551"/>
      <c r="N40" s="551"/>
      <c r="O40" s="551"/>
      <c r="P40" s="551"/>
      <c r="Q40" s="551"/>
      <c r="R40" s="551"/>
    </row>
    <row r="41" spans="1:18" ht="15" thickBot="1">
      <c r="A41" s="551"/>
      <c r="B41" s="551"/>
      <c r="C41" s="551"/>
      <c r="D41" s="603"/>
      <c r="E41" s="551"/>
      <c r="F41" s="551"/>
      <c r="G41" s="551"/>
      <c r="H41" s="551"/>
      <c r="I41" s="604"/>
      <c r="J41" s="527"/>
      <c r="K41" s="604"/>
      <c r="L41" s="551"/>
      <c r="M41" s="551"/>
      <c r="N41" s="551"/>
      <c r="O41" s="551"/>
      <c r="P41" s="551"/>
      <c r="Q41" s="551"/>
      <c r="R41" s="551"/>
    </row>
    <row r="42" spans="1:18" ht="20.25">
      <c r="A42" s="538"/>
      <c r="B42" s="548"/>
      <c r="C42" s="1501" t="s">
        <v>762</v>
      </c>
      <c r="D42" s="624"/>
      <c r="E42" s="624"/>
      <c r="F42" s="625"/>
      <c r="G42" s="626"/>
      <c r="H42" s="549"/>
      <c r="I42" s="538"/>
      <c r="J42" s="538"/>
      <c r="K42" s="538"/>
      <c r="L42" s="538"/>
      <c r="M42" s="1503" t="s">
        <v>762</v>
      </c>
      <c r="N42" s="1504"/>
      <c r="O42" s="627"/>
      <c r="P42" s="538"/>
      <c r="Q42" s="538"/>
      <c r="R42" s="538"/>
    </row>
    <row r="43" spans="1:18" ht="21" thickBot="1">
      <c r="A43" s="538"/>
      <c r="B43" s="548"/>
      <c r="C43" s="1502"/>
      <c r="D43" s="628"/>
      <c r="E43" s="628"/>
      <c r="F43" s="629"/>
      <c r="G43" s="630" t="s">
        <v>687</v>
      </c>
      <c r="H43" s="549"/>
      <c r="I43" s="538"/>
      <c r="J43" s="538"/>
      <c r="K43" s="538"/>
      <c r="L43" s="538"/>
      <c r="M43" s="1505"/>
      <c r="N43" s="1506"/>
      <c r="O43" s="553" t="s">
        <v>687</v>
      </c>
      <c r="P43" s="538"/>
      <c r="Q43" s="538"/>
      <c r="R43" s="538"/>
    </row>
    <row r="44" spans="1:18" ht="15" thickBot="1">
      <c r="A44" s="538"/>
      <c r="B44" s="631"/>
      <c r="C44" s="632" t="s">
        <v>803</v>
      </c>
      <c r="D44" s="633"/>
      <c r="E44" s="633"/>
      <c r="F44" s="634"/>
      <c r="G44" s="616">
        <v>2.6698203074440059</v>
      </c>
      <c r="H44" s="549"/>
      <c r="I44" s="538"/>
      <c r="J44" s="538"/>
      <c r="K44" s="538"/>
      <c r="L44" s="538"/>
      <c r="M44" s="635" t="s">
        <v>806</v>
      </c>
      <c r="N44" s="636"/>
      <c r="O44" s="588">
        <v>0</v>
      </c>
      <c r="P44" s="538"/>
      <c r="Q44" s="538"/>
      <c r="R44" s="538"/>
    </row>
    <row r="45" spans="1:18" ht="14.25">
      <c r="A45" s="538"/>
      <c r="B45" s="631"/>
      <c r="C45" s="637" t="s">
        <v>802</v>
      </c>
      <c r="D45" s="638"/>
      <c r="E45" s="638"/>
      <c r="F45" s="639"/>
      <c r="G45" s="1006">
        <v>3.8399956961413602</v>
      </c>
      <c r="H45" s="549"/>
      <c r="I45" s="538"/>
      <c r="J45" s="538"/>
      <c r="K45" s="538"/>
      <c r="L45" s="538"/>
      <c r="M45" s="538"/>
      <c r="N45" s="538"/>
      <c r="O45" s="538"/>
      <c r="P45" s="538"/>
      <c r="Q45" s="538"/>
      <c r="R45" s="538"/>
    </row>
    <row r="46" spans="1:18" ht="14.25">
      <c r="A46" s="538"/>
      <c r="B46" s="631"/>
      <c r="C46" s="637" t="s">
        <v>808</v>
      </c>
      <c r="D46" s="638"/>
      <c r="E46" s="638"/>
      <c r="F46" s="639"/>
      <c r="G46" s="1006">
        <v>0.60219434135132166</v>
      </c>
      <c r="H46" s="549"/>
      <c r="I46" s="538"/>
      <c r="J46" s="538"/>
      <c r="K46" s="538"/>
      <c r="L46" s="538"/>
      <c r="M46" s="538"/>
      <c r="N46" s="538"/>
      <c r="O46" s="538"/>
      <c r="P46" s="538"/>
      <c r="Q46" s="538"/>
      <c r="R46" s="538"/>
    </row>
    <row r="47" spans="1:18" ht="15" thickBot="1">
      <c r="A47" s="538"/>
      <c r="B47" s="631"/>
      <c r="C47" s="640" t="s">
        <v>806</v>
      </c>
      <c r="D47" s="641"/>
      <c r="E47" s="641"/>
      <c r="F47" s="642"/>
      <c r="G47" s="620">
        <v>0.20885871506331286</v>
      </c>
      <c r="H47" s="549"/>
      <c r="I47" s="538"/>
      <c r="J47" s="538"/>
      <c r="K47" s="538"/>
      <c r="L47" s="538"/>
      <c r="M47" s="538"/>
      <c r="N47" s="538"/>
      <c r="O47" s="538"/>
      <c r="P47" s="538"/>
      <c r="Q47" s="538"/>
      <c r="R47" s="538"/>
    </row>
    <row r="48" spans="1:18" ht="15.75" thickBot="1">
      <c r="A48" s="538"/>
      <c r="B48" s="643"/>
      <c r="C48" s="644" t="s">
        <v>567</v>
      </c>
      <c r="D48" s="645"/>
      <c r="E48" s="645"/>
      <c r="F48" s="646"/>
      <c r="G48" s="647">
        <f>SUM(G44:G47)</f>
        <v>7.3208690599999997</v>
      </c>
      <c r="H48" s="549"/>
      <c r="I48" s="538"/>
      <c r="J48" s="538"/>
      <c r="K48" s="538"/>
      <c r="L48" s="538"/>
      <c r="M48" s="538"/>
      <c r="N48" s="538"/>
      <c r="O48" s="538"/>
      <c r="P48" s="538"/>
      <c r="Q48" s="538"/>
      <c r="R48" s="538"/>
    </row>
    <row r="49" spans="1:18" ht="15">
      <c r="A49" s="648"/>
      <c r="B49" s="648"/>
      <c r="C49" s="648"/>
      <c r="D49" s="648"/>
      <c r="E49" s="648"/>
      <c r="F49" s="648"/>
      <c r="G49" s="604"/>
      <c r="H49" s="649"/>
      <c r="I49" s="650"/>
      <c r="J49" s="650"/>
      <c r="K49" s="650"/>
      <c r="L49" s="651"/>
      <c r="M49" s="551"/>
      <c r="N49" s="551"/>
      <c r="O49" s="551"/>
      <c r="P49" s="551"/>
      <c r="Q49" s="551"/>
      <c r="R49" s="551"/>
    </row>
  </sheetData>
  <mergeCells count="38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B28"/>
    <mergeCell ref="A29:C29"/>
    <mergeCell ref="A31:C31"/>
    <mergeCell ref="A32:C32"/>
    <mergeCell ref="A33:C33"/>
    <mergeCell ref="C42:C43"/>
    <mergeCell ref="M42:N43"/>
  </mergeCells>
  <phoneticPr fontId="0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showGridLines="0" tabSelected="1" zoomScaleNormal="100" workbookViewId="0">
      <selection activeCell="A39" sqref="A39"/>
    </sheetView>
  </sheetViews>
  <sheetFormatPr defaultColWidth="15.28515625" defaultRowHeight="12.75"/>
  <sheetData>
    <row r="3" spans="1:7" ht="25.5">
      <c r="C3" s="246" t="s">
        <v>691</v>
      </c>
      <c r="D3" s="884">
        <v>9.9000000000000005E-2</v>
      </c>
    </row>
    <row r="4" spans="1:7" ht="25.5">
      <c r="C4" s="246" t="s">
        <v>5</v>
      </c>
      <c r="D4" s="885">
        <v>0.54</v>
      </c>
    </row>
    <row r="7" spans="1:7" ht="15.75">
      <c r="A7" s="883" t="s">
        <v>6</v>
      </c>
    </row>
    <row r="8" spans="1:7" ht="14.25">
      <c r="A8" s="878"/>
    </row>
    <row r="9" spans="1:7" ht="14.25">
      <c r="A9" s="382" t="s">
        <v>27</v>
      </c>
    </row>
    <row r="10" spans="1:7" ht="25.5">
      <c r="B10" s="879" t="s">
        <v>28</v>
      </c>
      <c r="C10" s="879" t="s">
        <v>29</v>
      </c>
      <c r="D10" s="879" t="s">
        <v>30</v>
      </c>
      <c r="E10" s="879" t="s">
        <v>31</v>
      </c>
      <c r="F10" s="879" t="s">
        <v>32</v>
      </c>
    </row>
    <row r="11" spans="1:7" ht="14.25">
      <c r="A11" s="880" t="s">
        <v>33</v>
      </c>
      <c r="B11" s="881"/>
      <c r="C11" s="882">
        <f>'Allocation Summary'!C9*(1-'Allocation Summary'!C10*'Splits and results'!D3)+'Allocation Summary'!B9</f>
        <v>0.28423066541611597</v>
      </c>
      <c r="D11" s="1400">
        <f>'Allocation Summary'!C9+'Allocation Summary'!D9+('Allocation Summary'!E9*(1-D4*'Allocation Summary'!E10))+'Allocation Summary'!B9</f>
        <v>0.46957858297225374</v>
      </c>
      <c r="E11" s="1400">
        <f>('Allocation Summary'!D9 + 'Allocation Summary'!E9  *(1-D4* 'Allocation Summary'!E10))/(1-'Allocation Summary'!C9-'Allocation Summary'!B9)</f>
        <v>0.24912887048479104</v>
      </c>
      <c r="F11" s="882">
        <f>'Allocation Summary'!E9*(1-D4*'Allocation Summary'!E10)/(1-'Allocation Summary'!B9-'Allocation Summary'!C9-'Allocation Summary'!D9)</f>
        <v>0.15574460117461075</v>
      </c>
      <c r="G11" s="878"/>
    </row>
    <row r="12" spans="1:7">
      <c r="C12" s="1402">
        <f>C11-'[1]Splits and results'!C11</f>
        <v>1.5132588101925859E-2</v>
      </c>
      <c r="D12" s="1402"/>
      <c r="E12" s="1402"/>
      <c r="F12" s="1402"/>
    </row>
    <row r="13" spans="1:7">
      <c r="C13" s="1401"/>
      <c r="D13" s="1401"/>
      <c r="E13" s="1401"/>
      <c r="F13" s="1401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80" workbookViewId="0">
      <selection sqref="A1:IV6553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35.140625" customWidth="1"/>
  </cols>
  <sheetData>
    <row r="1" spans="1:14">
      <c r="A1" s="896" t="s">
        <v>544</v>
      </c>
      <c r="E1" s="891" t="s">
        <v>774</v>
      </c>
    </row>
    <row r="2" spans="1:14">
      <c r="A2" s="896"/>
    </row>
    <row r="3" spans="1:14">
      <c r="A3" s="896" t="s">
        <v>557</v>
      </c>
    </row>
    <row r="5" spans="1:14" ht="20.25">
      <c r="A5" s="544" t="s">
        <v>734</v>
      </c>
      <c r="B5" s="545"/>
      <c r="C5" s="545"/>
      <c r="D5" s="546"/>
      <c r="E5" s="545"/>
      <c r="F5" s="545"/>
      <c r="G5" s="545"/>
      <c r="H5" s="545"/>
      <c r="I5" s="545"/>
      <c r="J5" s="545"/>
      <c r="K5" s="545"/>
      <c r="L5" s="545"/>
      <c r="M5" s="659"/>
      <c r="N5" s="659"/>
    </row>
    <row r="6" spans="1:14" ht="21" thickBot="1">
      <c r="A6" s="544"/>
      <c r="B6" s="545"/>
      <c r="C6" s="545"/>
      <c r="D6" s="546"/>
      <c r="E6" s="545"/>
      <c r="F6" s="545"/>
      <c r="G6" s="545"/>
      <c r="H6" s="545"/>
      <c r="I6" s="545"/>
      <c r="J6" s="545"/>
      <c r="K6" s="545"/>
      <c r="L6" s="545"/>
      <c r="M6" s="659"/>
      <c r="N6" s="659"/>
    </row>
    <row r="7" spans="1:14" ht="18.75" thickBot="1">
      <c r="A7" s="551"/>
      <c r="B7" s="551"/>
      <c r="C7" s="660" t="s">
        <v>611</v>
      </c>
      <c r="D7" s="661"/>
      <c r="E7" s="661"/>
      <c r="F7" s="661"/>
      <c r="G7" s="661"/>
      <c r="H7" s="661"/>
      <c r="I7" s="661"/>
      <c r="J7" s="661"/>
      <c r="K7" s="661"/>
      <c r="L7" s="662"/>
      <c r="M7" s="551"/>
      <c r="N7" s="551"/>
    </row>
    <row r="8" spans="1:14" ht="98.25" customHeight="1" thickBot="1">
      <c r="A8" s="551"/>
      <c r="B8" s="551"/>
      <c r="C8" s="663" t="s">
        <v>612</v>
      </c>
      <c r="D8" s="664"/>
      <c r="E8" s="665" t="s">
        <v>613</v>
      </c>
      <c r="F8" s="666" t="s">
        <v>614</v>
      </c>
      <c r="G8" s="666" t="s">
        <v>615</v>
      </c>
      <c r="H8" s="667" t="s">
        <v>689</v>
      </c>
      <c r="I8" s="666" t="s">
        <v>690</v>
      </c>
      <c r="J8" s="668" t="s">
        <v>543</v>
      </c>
      <c r="K8" s="669" t="s">
        <v>471</v>
      </c>
      <c r="L8" s="670" t="s">
        <v>809</v>
      </c>
      <c r="M8" s="551"/>
      <c r="N8" s="551"/>
    </row>
    <row r="9" spans="1:14" ht="15.75" thickBot="1">
      <c r="A9" s="551"/>
      <c r="B9" s="551"/>
      <c r="C9" s="671"/>
      <c r="D9" s="672"/>
      <c r="E9" s="673" t="s">
        <v>687</v>
      </c>
      <c r="F9" s="674" t="s">
        <v>687</v>
      </c>
      <c r="G9" s="674" t="s">
        <v>687</v>
      </c>
      <c r="H9" s="673" t="s">
        <v>687</v>
      </c>
      <c r="I9" s="674" t="s">
        <v>687</v>
      </c>
      <c r="J9" s="674" t="s">
        <v>687</v>
      </c>
      <c r="K9" s="675" t="s">
        <v>687</v>
      </c>
      <c r="L9" s="676" t="s">
        <v>687</v>
      </c>
      <c r="M9" s="551"/>
      <c r="N9" s="551"/>
    </row>
    <row r="10" spans="1:14" ht="15">
      <c r="A10" s="551"/>
      <c r="B10" s="551"/>
      <c r="C10" s="677" t="s">
        <v>353</v>
      </c>
      <c r="D10" s="664"/>
      <c r="E10" s="678"/>
      <c r="F10" s="679"/>
      <c r="G10" s="679"/>
      <c r="H10" s="678"/>
      <c r="I10" s="679"/>
      <c r="J10" s="680"/>
      <c r="K10" s="680"/>
      <c r="L10" s="681">
        <f t="shared" ref="L10:L20" si="0">SUM(E10:K10)</f>
        <v>0</v>
      </c>
      <c r="M10" s="551"/>
      <c r="N10" s="551"/>
    </row>
    <row r="11" spans="1:14" ht="14.25">
      <c r="A11" s="551"/>
      <c r="B11" s="551"/>
      <c r="C11" s="1582" t="s">
        <v>354</v>
      </c>
      <c r="D11" s="1583"/>
      <c r="E11" s="974">
        <v>49.1</v>
      </c>
      <c r="F11" s="974">
        <v>0</v>
      </c>
      <c r="G11" s="974">
        <v>0</v>
      </c>
      <c r="H11" s="974">
        <v>10</v>
      </c>
      <c r="I11" s="682"/>
      <c r="J11" s="683"/>
      <c r="K11" s="684"/>
      <c r="L11" s="685">
        <f t="shared" si="0"/>
        <v>59.1</v>
      </c>
      <c r="M11" s="551"/>
      <c r="N11" s="551"/>
    </row>
    <row r="12" spans="1:14" ht="14.25">
      <c r="A12" s="551"/>
      <c r="B12" s="551"/>
      <c r="C12" s="1582" t="s">
        <v>355</v>
      </c>
      <c r="D12" s="1583"/>
      <c r="E12" s="974">
        <v>24.91</v>
      </c>
      <c r="F12" s="974">
        <v>0</v>
      </c>
      <c r="G12" s="974">
        <v>0</v>
      </c>
      <c r="H12" s="974">
        <v>7.25</v>
      </c>
      <c r="I12" s="682"/>
      <c r="J12" s="683"/>
      <c r="K12" s="684"/>
      <c r="L12" s="685">
        <f t="shared" si="0"/>
        <v>32.159999999999997</v>
      </c>
      <c r="M12" s="551"/>
      <c r="N12" s="551"/>
    </row>
    <row r="13" spans="1:14" ht="14.25">
      <c r="A13" s="551"/>
      <c r="B13" s="551"/>
      <c r="C13" s="1582" t="s">
        <v>484</v>
      </c>
      <c r="D13" s="1583"/>
      <c r="E13" s="974">
        <v>0.44</v>
      </c>
      <c r="F13" s="974">
        <v>0</v>
      </c>
      <c r="G13" s="974">
        <v>0</v>
      </c>
      <c r="H13" s="974">
        <v>0.2</v>
      </c>
      <c r="I13" s="682"/>
      <c r="J13" s="683"/>
      <c r="K13" s="684"/>
      <c r="L13" s="685">
        <f t="shared" si="0"/>
        <v>0.64</v>
      </c>
      <c r="M13" s="551"/>
      <c r="N13" s="551"/>
    </row>
    <row r="14" spans="1:14" ht="14.25">
      <c r="A14" s="551"/>
      <c r="B14" s="551"/>
      <c r="C14" s="1582" t="s">
        <v>485</v>
      </c>
      <c r="D14" s="1583"/>
      <c r="E14" s="974">
        <v>0</v>
      </c>
      <c r="F14" s="974">
        <v>0</v>
      </c>
      <c r="G14" s="974">
        <v>0</v>
      </c>
      <c r="H14" s="974">
        <v>0</v>
      </c>
      <c r="I14" s="682"/>
      <c r="J14" s="683"/>
      <c r="K14" s="684"/>
      <c r="L14" s="685">
        <f t="shared" si="0"/>
        <v>0</v>
      </c>
      <c r="M14" s="551"/>
      <c r="N14" s="551"/>
    </row>
    <row r="15" spans="1:14" ht="15">
      <c r="A15" s="551"/>
      <c r="B15" s="551"/>
      <c r="C15" s="686" t="s">
        <v>486</v>
      </c>
      <c r="D15" s="687"/>
      <c r="E15" s="688"/>
      <c r="F15" s="689"/>
      <c r="G15" s="689"/>
      <c r="H15" s="688"/>
      <c r="I15" s="682"/>
      <c r="J15" s="683"/>
      <c r="K15" s="684"/>
      <c r="L15" s="690">
        <f t="shared" si="0"/>
        <v>0</v>
      </c>
      <c r="M15" s="551"/>
      <c r="N15" s="551"/>
    </row>
    <row r="16" spans="1:14" ht="14.25">
      <c r="A16" s="551"/>
      <c r="B16" s="551"/>
      <c r="C16" s="691" t="s">
        <v>487</v>
      </c>
      <c r="D16" s="692"/>
      <c r="E16" s="693"/>
      <c r="F16" s="682"/>
      <c r="G16" s="682"/>
      <c r="H16" s="682"/>
      <c r="I16" s="974">
        <v>1.3</v>
      </c>
      <c r="J16" s="974">
        <v>0</v>
      </c>
      <c r="K16" s="684"/>
      <c r="L16" s="685">
        <f t="shared" si="0"/>
        <v>1.3</v>
      </c>
      <c r="M16" s="551"/>
      <c r="N16" s="551"/>
    </row>
    <row r="17" spans="1:14" ht="14.25">
      <c r="A17" s="551"/>
      <c r="B17" s="551"/>
      <c r="C17" s="691" t="s">
        <v>482</v>
      </c>
      <c r="D17" s="692"/>
      <c r="E17" s="693"/>
      <c r="F17" s="682"/>
      <c r="G17" s="682"/>
      <c r="H17" s="682"/>
      <c r="I17" s="974">
        <v>3.9</v>
      </c>
      <c r="J17" s="974">
        <v>0.8</v>
      </c>
      <c r="K17" s="684"/>
      <c r="L17" s="685">
        <f t="shared" si="0"/>
        <v>4.7</v>
      </c>
      <c r="M17" s="551"/>
      <c r="N17" s="551"/>
    </row>
    <row r="18" spans="1:14" ht="14.25">
      <c r="A18" s="551"/>
      <c r="B18" s="551"/>
      <c r="C18" s="691" t="s">
        <v>483</v>
      </c>
      <c r="D18" s="692"/>
      <c r="E18" s="693"/>
      <c r="F18" s="682"/>
      <c r="G18" s="682"/>
      <c r="H18" s="682"/>
      <c r="I18" s="974">
        <v>3.2173750667821648</v>
      </c>
      <c r="J18" s="974">
        <v>0.82835842627990319</v>
      </c>
      <c r="K18" s="684"/>
      <c r="L18" s="685">
        <f t="shared" si="0"/>
        <v>4.0457334930620679</v>
      </c>
      <c r="M18" s="551"/>
      <c r="N18" s="551"/>
    </row>
    <row r="19" spans="1:14" ht="14.25">
      <c r="A19" s="551"/>
      <c r="B19" s="551"/>
      <c r="C19" s="691" t="s">
        <v>472</v>
      </c>
      <c r="D19" s="692"/>
      <c r="E19" s="693"/>
      <c r="F19" s="682"/>
      <c r="G19" s="682"/>
      <c r="H19" s="682"/>
      <c r="I19" s="974">
        <v>24.1</v>
      </c>
      <c r="J19" s="974">
        <v>2.14</v>
      </c>
      <c r="K19" s="684"/>
      <c r="L19" s="685">
        <f t="shared" si="0"/>
        <v>26.240000000000002</v>
      </c>
      <c r="M19" s="551"/>
      <c r="N19" s="551"/>
    </row>
    <row r="20" spans="1:14" ht="15">
      <c r="A20" s="551"/>
      <c r="B20" s="551"/>
      <c r="C20" s="686" t="s">
        <v>471</v>
      </c>
      <c r="D20" s="694"/>
      <c r="E20" s="695"/>
      <c r="F20" s="696"/>
      <c r="G20" s="696"/>
      <c r="H20" s="696"/>
      <c r="I20" s="696"/>
      <c r="J20" s="684"/>
      <c r="K20" s="974">
        <v>0</v>
      </c>
      <c r="L20" s="685">
        <f t="shared" si="0"/>
        <v>0</v>
      </c>
      <c r="M20" s="551"/>
      <c r="N20" s="551"/>
    </row>
    <row r="21" spans="1:14" ht="15">
      <c r="A21" s="551"/>
      <c r="B21" s="551"/>
      <c r="C21" s="697" t="s">
        <v>473</v>
      </c>
      <c r="D21" s="698"/>
      <c r="E21" s="699">
        <f>SUM(E11:E20)</f>
        <v>74.45</v>
      </c>
      <c r="F21" s="699">
        <f t="shared" ref="F21:L21" si="1">SUM(F11:F20)</f>
        <v>0</v>
      </c>
      <c r="G21" s="699">
        <f t="shared" si="1"/>
        <v>0</v>
      </c>
      <c r="H21" s="699">
        <f t="shared" si="1"/>
        <v>17.45</v>
      </c>
      <c r="I21" s="699">
        <f t="shared" si="1"/>
        <v>32.517375066782165</v>
      </c>
      <c r="J21" s="699">
        <f t="shared" si="1"/>
        <v>3.7683584262799035</v>
      </c>
      <c r="K21" s="700">
        <f t="shared" si="1"/>
        <v>0</v>
      </c>
      <c r="L21" s="701">
        <f t="shared" si="1"/>
        <v>128.18573349306206</v>
      </c>
      <c r="M21" s="702"/>
      <c r="N21" s="551"/>
    </row>
    <row r="22" spans="1:14" ht="15">
      <c r="A22" s="551"/>
      <c r="B22" s="551"/>
      <c r="C22" s="703" t="s">
        <v>474</v>
      </c>
      <c r="D22" s="704"/>
      <c r="E22" s="974">
        <v>0</v>
      </c>
      <c r="F22" s="682"/>
      <c r="G22" s="974">
        <v>0</v>
      </c>
      <c r="H22" s="974">
        <v>0</v>
      </c>
      <c r="I22" s="974">
        <v>0</v>
      </c>
      <c r="J22" s="974">
        <v>0</v>
      </c>
      <c r="K22" s="974">
        <v>0</v>
      </c>
      <c r="L22" s="685">
        <f>SUM(E22:K22)</f>
        <v>0</v>
      </c>
      <c r="M22" s="702"/>
      <c r="N22" s="551"/>
    </row>
    <row r="23" spans="1:14" ht="15">
      <c r="A23" s="551"/>
      <c r="B23" s="551"/>
      <c r="C23" s="697" t="s">
        <v>475</v>
      </c>
      <c r="D23" s="698"/>
      <c r="E23" s="699">
        <f t="shared" ref="E23:K23" si="2">SUM(E21:E22)</f>
        <v>74.45</v>
      </c>
      <c r="F23" s="705">
        <f t="shared" si="2"/>
        <v>0</v>
      </c>
      <c r="G23" s="705">
        <f t="shared" si="2"/>
        <v>0</v>
      </c>
      <c r="H23" s="705">
        <f t="shared" si="2"/>
        <v>17.45</v>
      </c>
      <c r="I23" s="705">
        <f t="shared" si="2"/>
        <v>32.517375066782165</v>
      </c>
      <c r="J23" s="705">
        <f t="shared" si="2"/>
        <v>3.7683584262799035</v>
      </c>
      <c r="K23" s="706">
        <f t="shared" si="2"/>
        <v>0</v>
      </c>
      <c r="L23" s="701">
        <f>SUM(E23:K23)</f>
        <v>128.18573349306209</v>
      </c>
      <c r="M23" s="707"/>
      <c r="N23" s="551"/>
    </row>
    <row r="24" spans="1:14" ht="15.75" thickBot="1">
      <c r="A24" s="551"/>
      <c r="B24" s="551"/>
      <c r="C24" s="708" t="s">
        <v>476</v>
      </c>
      <c r="D24" s="709"/>
      <c r="E24" s="974">
        <v>-81.8</v>
      </c>
      <c r="F24" s="974">
        <v>0</v>
      </c>
      <c r="G24" s="974">
        <v>0</v>
      </c>
      <c r="H24" s="710"/>
      <c r="I24" s="711"/>
      <c r="J24" s="711"/>
      <c r="K24" s="974">
        <v>0</v>
      </c>
      <c r="L24" s="712">
        <f>SUM(E24:K24)</f>
        <v>-81.8</v>
      </c>
      <c r="M24" s="713"/>
      <c r="N24" s="551"/>
    </row>
    <row r="25" spans="1:14" ht="15.75" thickBot="1">
      <c r="A25" s="551"/>
      <c r="B25" s="551"/>
      <c r="C25" s="714" t="s">
        <v>477</v>
      </c>
      <c r="D25" s="715"/>
      <c r="E25" s="716">
        <f t="shared" ref="E25:K25" si="3">SUM(E23:E24)</f>
        <v>-7.3499999999999943</v>
      </c>
      <c r="F25" s="717">
        <f t="shared" si="3"/>
        <v>0</v>
      </c>
      <c r="G25" s="717">
        <f t="shared" si="3"/>
        <v>0</v>
      </c>
      <c r="H25" s="717">
        <f t="shared" si="3"/>
        <v>17.45</v>
      </c>
      <c r="I25" s="717">
        <f t="shared" si="3"/>
        <v>32.517375066782165</v>
      </c>
      <c r="J25" s="717">
        <f t="shared" si="3"/>
        <v>3.7683584262799035</v>
      </c>
      <c r="K25" s="718">
        <f t="shared" si="3"/>
        <v>0</v>
      </c>
      <c r="L25" s="719">
        <f>SUM(E25:K25)</f>
        <v>46.385733493062077</v>
      </c>
      <c r="M25" s="707"/>
      <c r="N25" s="551"/>
    </row>
    <row r="26" spans="1:14" ht="15.75" thickBot="1">
      <c r="A26" s="551"/>
      <c r="B26" s="551"/>
      <c r="C26" s="720"/>
      <c r="D26" s="720"/>
      <c r="E26" s="721"/>
      <c r="F26" s="721"/>
      <c r="G26" s="650"/>
      <c r="H26" s="722"/>
      <c r="I26" s="551"/>
      <c r="J26" s="551"/>
      <c r="K26" s="551"/>
      <c r="L26" s="551"/>
      <c r="M26" s="551"/>
      <c r="N26" s="551"/>
    </row>
    <row r="27" spans="1:14" ht="18.75" thickBot="1">
      <c r="A27" s="551"/>
      <c r="B27" s="551"/>
      <c r="C27" s="723" t="s">
        <v>490</v>
      </c>
      <c r="D27" s="724"/>
      <c r="E27" s="725"/>
      <c r="F27" s="725"/>
      <c r="G27" s="726"/>
      <c r="H27" s="551"/>
      <c r="I27" s="551"/>
      <c r="J27" s="551"/>
      <c r="K27" s="551"/>
      <c r="L27" s="602"/>
      <c r="M27" s="551"/>
      <c r="N27" s="551"/>
    </row>
    <row r="28" spans="1:14" ht="15.75" customHeight="1" thickBot="1">
      <c r="A28" s="551"/>
      <c r="B28" s="551"/>
      <c r="C28" s="677"/>
      <c r="D28" s="727"/>
      <c r="E28" s="1578" t="s">
        <v>577</v>
      </c>
      <c r="F28" s="1579"/>
      <c r="G28" s="728"/>
      <c r="H28" s="551"/>
      <c r="I28" s="551"/>
      <c r="J28" s="551"/>
      <c r="K28" s="551"/>
      <c r="L28" s="602"/>
      <c r="M28" s="551"/>
      <c r="N28" s="551"/>
    </row>
    <row r="29" spans="1:14" ht="45.75" thickBot="1">
      <c r="A29" s="551"/>
      <c r="B29" s="551"/>
      <c r="C29" s="729" t="s">
        <v>612</v>
      </c>
      <c r="D29" s="730"/>
      <c r="E29" s="731" t="s">
        <v>491</v>
      </c>
      <c r="F29" s="731" t="s">
        <v>630</v>
      </c>
      <c r="G29" s="732" t="s">
        <v>631</v>
      </c>
      <c r="H29" s="551"/>
      <c r="I29" s="551"/>
      <c r="J29" s="551"/>
      <c r="K29" s="551"/>
      <c r="L29" s="602"/>
      <c r="M29" s="551"/>
      <c r="N29" s="551"/>
    </row>
    <row r="30" spans="1:14" ht="15.75" thickBot="1">
      <c r="A30" s="551"/>
      <c r="B30" s="551"/>
      <c r="C30" s="733"/>
      <c r="D30" s="730"/>
      <c r="E30" s="554" t="s">
        <v>687</v>
      </c>
      <c r="F30" s="554" t="s">
        <v>687</v>
      </c>
      <c r="G30" s="554" t="s">
        <v>687</v>
      </c>
      <c r="H30" s="551"/>
      <c r="I30" s="551"/>
      <c r="J30" s="551"/>
      <c r="K30" s="551"/>
      <c r="L30" s="602"/>
      <c r="M30" s="551"/>
      <c r="N30" s="551"/>
    </row>
    <row r="31" spans="1:14" ht="15">
      <c r="A31" s="551"/>
      <c r="B31" s="551"/>
      <c r="C31" s="1580" t="s">
        <v>632</v>
      </c>
      <c r="D31" s="734" t="s">
        <v>633</v>
      </c>
      <c r="E31" s="974">
        <v>1.1213124016896909</v>
      </c>
      <c r="F31" s="975">
        <v>1.0171234508950289E-2</v>
      </c>
      <c r="G31" s="736">
        <f t="shared" ref="G31:G58" si="4">SUM(E31:F31)</f>
        <v>1.1314836361986411</v>
      </c>
      <c r="H31" s="551"/>
      <c r="I31" s="551"/>
      <c r="J31" s="551"/>
      <c r="K31" s="551"/>
      <c r="L31" s="602"/>
      <c r="M31" s="551"/>
      <c r="N31" s="551"/>
    </row>
    <row r="32" spans="1:14" ht="15.75" thickBot="1">
      <c r="A32" s="551"/>
      <c r="B32" s="551"/>
      <c r="C32" s="1581"/>
      <c r="D32" s="737" t="s">
        <v>634</v>
      </c>
      <c r="E32" s="934">
        <v>3.5</v>
      </c>
      <c r="F32" s="934">
        <v>0.1</v>
      </c>
      <c r="G32" s="739">
        <f t="shared" si="4"/>
        <v>3.6</v>
      </c>
      <c r="H32" s="551"/>
      <c r="I32" s="551"/>
      <c r="J32" s="551"/>
      <c r="K32" s="551"/>
      <c r="L32" s="602"/>
      <c r="M32" s="551"/>
      <c r="N32" s="551"/>
    </row>
    <row r="33" spans="1:14" ht="15">
      <c r="A33" s="551"/>
      <c r="B33" s="551"/>
      <c r="C33" s="1580" t="s">
        <v>635</v>
      </c>
      <c r="D33" s="734" t="s">
        <v>633</v>
      </c>
      <c r="E33" s="975">
        <v>0</v>
      </c>
      <c r="F33" s="975">
        <v>0</v>
      </c>
      <c r="G33" s="736">
        <f t="shared" si="4"/>
        <v>0</v>
      </c>
      <c r="H33" s="551"/>
      <c r="I33" s="551"/>
      <c r="J33" s="551"/>
      <c r="K33" s="551"/>
      <c r="L33" s="602"/>
      <c r="M33" s="551"/>
      <c r="N33" s="551"/>
    </row>
    <row r="34" spans="1:14" ht="15.75" thickBot="1">
      <c r="A34" s="551"/>
      <c r="B34" s="551"/>
      <c r="C34" s="1581"/>
      <c r="D34" s="737" t="s">
        <v>634</v>
      </c>
      <c r="E34" s="934">
        <v>0</v>
      </c>
      <c r="F34" s="934">
        <v>0</v>
      </c>
      <c r="G34" s="739">
        <f t="shared" si="4"/>
        <v>0</v>
      </c>
      <c r="H34" s="551"/>
      <c r="I34" s="551"/>
      <c r="J34" s="551"/>
      <c r="K34" s="551"/>
      <c r="L34" s="602"/>
      <c r="M34" s="551"/>
      <c r="N34" s="551"/>
    </row>
    <row r="35" spans="1:14" ht="15">
      <c r="A35" s="551"/>
      <c r="B35" s="551"/>
      <c r="C35" s="1575" t="s">
        <v>487</v>
      </c>
      <c r="D35" s="734" t="s">
        <v>785</v>
      </c>
      <c r="E35" s="975">
        <v>0.83168933444578297</v>
      </c>
      <c r="F35" s="975">
        <v>7.9609978999791425E-3</v>
      </c>
      <c r="G35" s="736">
        <f t="shared" si="4"/>
        <v>0.83965033234576214</v>
      </c>
      <c r="H35" s="551"/>
      <c r="I35" s="551"/>
      <c r="J35" s="551"/>
      <c r="K35" s="551"/>
      <c r="L35" s="602"/>
      <c r="M35" s="551"/>
      <c r="N35" s="551"/>
    </row>
    <row r="36" spans="1:14" ht="15">
      <c r="A36" s="551"/>
      <c r="B36" s="551"/>
      <c r="C36" s="1576"/>
      <c r="D36" s="740" t="s">
        <v>786</v>
      </c>
      <c r="E36" s="735">
        <v>3.9067448152387647</v>
      </c>
      <c r="F36" s="735">
        <v>0.10147681851144906</v>
      </c>
      <c r="G36" s="685">
        <f t="shared" si="4"/>
        <v>4.0082216337502139</v>
      </c>
      <c r="H36" s="551"/>
      <c r="I36" s="551"/>
      <c r="J36" s="551"/>
      <c r="K36" s="551"/>
      <c r="L36" s="602"/>
      <c r="M36" s="551"/>
      <c r="N36" s="551"/>
    </row>
    <row r="37" spans="1:14" ht="15.75" thickBot="1">
      <c r="A37" s="551"/>
      <c r="B37" s="551"/>
      <c r="C37" s="1577"/>
      <c r="D37" s="741" t="s">
        <v>787</v>
      </c>
      <c r="E37" s="738">
        <v>0.44802067462397693</v>
      </c>
      <c r="F37" s="738">
        <v>0.8448052869692545</v>
      </c>
      <c r="G37" s="739">
        <f t="shared" si="4"/>
        <v>1.2928259615932314</v>
      </c>
      <c r="H37" s="551"/>
      <c r="I37" s="551"/>
      <c r="J37" s="551"/>
      <c r="K37" s="551"/>
      <c r="L37" s="602"/>
      <c r="M37" s="551"/>
      <c r="N37" s="551"/>
    </row>
    <row r="38" spans="1:14" ht="15">
      <c r="A38" s="551"/>
      <c r="B38" s="551"/>
      <c r="C38" s="1575" t="s">
        <v>802</v>
      </c>
      <c r="D38" s="734" t="s">
        <v>788</v>
      </c>
      <c r="E38" s="972">
        <v>2.8</v>
      </c>
      <c r="F38" s="972">
        <v>0.1</v>
      </c>
      <c r="G38" s="736">
        <f t="shared" si="4"/>
        <v>2.9</v>
      </c>
      <c r="H38" s="551"/>
      <c r="I38" s="551"/>
      <c r="J38" s="551"/>
      <c r="K38" s="551"/>
      <c r="L38" s="602"/>
      <c r="M38" s="551"/>
      <c r="N38" s="551"/>
    </row>
    <row r="39" spans="1:14" ht="15">
      <c r="A39" s="551"/>
      <c r="B39" s="551"/>
      <c r="C39" s="1576"/>
      <c r="D39" s="740" t="s">
        <v>648</v>
      </c>
      <c r="E39" s="735">
        <v>3.1075738096423557</v>
      </c>
      <c r="F39" s="735">
        <v>2.0378510399683657E-2</v>
      </c>
      <c r="G39" s="685">
        <f t="shared" si="4"/>
        <v>3.1279523200420396</v>
      </c>
      <c r="H39" s="551"/>
      <c r="I39" s="551"/>
      <c r="J39" s="551"/>
      <c r="K39" s="551"/>
      <c r="L39" s="602"/>
      <c r="M39" s="551"/>
      <c r="N39" s="551"/>
    </row>
    <row r="40" spans="1:14" ht="15">
      <c r="A40" s="551"/>
      <c r="B40" s="551"/>
      <c r="C40" s="1576"/>
      <c r="D40" s="742" t="s">
        <v>649</v>
      </c>
      <c r="E40" s="735">
        <v>0</v>
      </c>
      <c r="F40" s="735">
        <v>0</v>
      </c>
      <c r="G40" s="685">
        <f t="shared" si="4"/>
        <v>0</v>
      </c>
      <c r="H40" s="551"/>
      <c r="I40" s="551"/>
      <c r="J40" s="551"/>
      <c r="K40" s="551"/>
      <c r="L40" s="602"/>
      <c r="M40" s="551"/>
      <c r="N40" s="551"/>
    </row>
    <row r="41" spans="1:14" ht="15">
      <c r="A41" s="551"/>
      <c r="B41" s="551"/>
      <c r="C41" s="1576"/>
      <c r="D41" s="742" t="s">
        <v>787</v>
      </c>
      <c r="E41" s="735">
        <v>5.612711767166652</v>
      </c>
      <c r="F41" s="735">
        <v>1.0011134157441124</v>
      </c>
      <c r="G41" s="685">
        <f t="shared" si="4"/>
        <v>6.6138251829107642</v>
      </c>
      <c r="H41" s="551"/>
      <c r="I41" s="551"/>
      <c r="J41" s="551"/>
      <c r="K41" s="551"/>
      <c r="L41" s="602"/>
      <c r="M41" s="551"/>
      <c r="N41" s="551"/>
    </row>
    <row r="42" spans="1:14" ht="15">
      <c r="A42" s="551"/>
      <c r="B42" s="551"/>
      <c r="C42" s="1576"/>
      <c r="D42" s="740" t="s">
        <v>508</v>
      </c>
      <c r="E42" s="976">
        <v>0.53103437507471163</v>
      </c>
      <c r="F42" s="976">
        <v>0.70512111305901981</v>
      </c>
      <c r="G42" s="685">
        <f t="shared" si="4"/>
        <v>1.2361554881337313</v>
      </c>
      <c r="H42" s="551"/>
      <c r="I42" s="551"/>
      <c r="J42" s="551"/>
      <c r="K42" s="551"/>
      <c r="L42" s="602"/>
      <c r="M42" s="551"/>
      <c r="N42" s="551"/>
    </row>
    <row r="43" spans="1:14" ht="15.75" thickBot="1">
      <c r="A43" s="551"/>
      <c r="B43" s="551"/>
      <c r="C43" s="1577"/>
      <c r="D43" s="737" t="s">
        <v>509</v>
      </c>
      <c r="E43" s="976">
        <v>1.9</v>
      </c>
      <c r="F43" s="976">
        <v>0.4</v>
      </c>
      <c r="G43" s="739">
        <f t="shared" si="4"/>
        <v>2.2999999999999998</v>
      </c>
      <c r="H43" s="551"/>
      <c r="I43" s="551"/>
      <c r="J43" s="551"/>
      <c r="K43" s="551"/>
      <c r="L43" s="602"/>
      <c r="M43" s="551"/>
      <c r="N43" s="551"/>
    </row>
    <row r="44" spans="1:14" ht="15">
      <c r="A44" s="551"/>
      <c r="B44" s="551"/>
      <c r="C44" s="1575" t="s">
        <v>808</v>
      </c>
      <c r="D44" s="734" t="s">
        <v>788</v>
      </c>
      <c r="E44" s="975">
        <v>1.0243794927017467</v>
      </c>
      <c r="F44" s="975">
        <v>0</v>
      </c>
      <c r="G44" s="736">
        <f t="shared" si="4"/>
        <v>1.0243794927017467</v>
      </c>
      <c r="H44" s="551"/>
      <c r="I44" s="551"/>
      <c r="J44" s="551"/>
      <c r="K44" s="551"/>
      <c r="L44" s="602"/>
      <c r="M44" s="551"/>
      <c r="N44" s="551"/>
    </row>
    <row r="45" spans="1:14" ht="15">
      <c r="A45" s="551"/>
      <c r="B45" s="551"/>
      <c r="C45" s="1576"/>
      <c r="D45" s="740" t="s">
        <v>648</v>
      </c>
      <c r="E45" s="972">
        <v>1.927075053930345</v>
      </c>
      <c r="F45" s="972">
        <v>2.1754858762321388E-2</v>
      </c>
      <c r="G45" s="685">
        <f t="shared" si="4"/>
        <v>1.9488299126926663</v>
      </c>
      <c r="H45" s="551"/>
      <c r="I45" s="551"/>
      <c r="J45" s="551"/>
      <c r="K45" s="551"/>
      <c r="L45" s="602"/>
      <c r="M45" s="551"/>
      <c r="N45" s="551"/>
    </row>
    <row r="46" spans="1:14" ht="15">
      <c r="A46" s="551"/>
      <c r="B46" s="551"/>
      <c r="C46" s="1576"/>
      <c r="D46" s="740" t="s">
        <v>649</v>
      </c>
      <c r="E46" s="735">
        <v>0</v>
      </c>
      <c r="F46" s="735">
        <v>0</v>
      </c>
      <c r="G46" s="685">
        <f t="shared" si="4"/>
        <v>0</v>
      </c>
      <c r="H46" s="551"/>
      <c r="I46" s="551"/>
      <c r="J46" s="551"/>
      <c r="K46" s="551"/>
      <c r="L46" s="602"/>
      <c r="M46" s="551"/>
      <c r="N46" s="551"/>
    </row>
    <row r="47" spans="1:14" ht="15">
      <c r="A47" s="551"/>
      <c r="B47" s="551"/>
      <c r="C47" s="1576"/>
      <c r="D47" s="740" t="s">
        <v>787</v>
      </c>
      <c r="E47" s="735">
        <v>1.1254418351098032</v>
      </c>
      <c r="F47" s="735">
        <v>0.1</v>
      </c>
      <c r="G47" s="685">
        <f t="shared" si="4"/>
        <v>1.2254418351098033</v>
      </c>
      <c r="H47" s="551"/>
      <c r="I47" s="551"/>
      <c r="J47" s="551"/>
      <c r="K47" s="551"/>
      <c r="L47" s="602"/>
      <c r="M47" s="551"/>
      <c r="N47" s="551"/>
    </row>
    <row r="48" spans="1:14" ht="15">
      <c r="A48" s="551"/>
      <c r="B48" s="551"/>
      <c r="C48" s="1576"/>
      <c r="D48" s="740" t="s">
        <v>508</v>
      </c>
      <c r="E48" s="976">
        <v>0.2</v>
      </c>
      <c r="F48" s="976">
        <v>0.3</v>
      </c>
      <c r="G48" s="685">
        <f t="shared" si="4"/>
        <v>0.5</v>
      </c>
      <c r="H48" s="551"/>
      <c r="I48" s="551"/>
      <c r="J48" s="551"/>
      <c r="K48" s="551"/>
      <c r="L48" s="602"/>
      <c r="M48" s="551"/>
      <c r="N48" s="551"/>
    </row>
    <row r="49" spans="1:14" ht="15.75" thickBot="1">
      <c r="A49" s="551"/>
      <c r="B49" s="551"/>
      <c r="C49" s="1577"/>
      <c r="D49" s="743" t="s">
        <v>509</v>
      </c>
      <c r="E49" s="738">
        <v>1.0400698027565143</v>
      </c>
      <c r="F49" s="738">
        <v>1.1384128074684282E-2</v>
      </c>
      <c r="G49" s="739">
        <f t="shared" si="4"/>
        <v>1.0514539308311985</v>
      </c>
      <c r="H49" s="551"/>
      <c r="I49" s="551"/>
      <c r="J49" s="551"/>
      <c r="K49" s="551"/>
      <c r="L49" s="602"/>
      <c r="M49" s="551"/>
      <c r="N49" s="551"/>
    </row>
    <row r="50" spans="1:14" ht="15">
      <c r="A50" s="551"/>
      <c r="B50" s="551"/>
      <c r="C50" s="1575" t="s">
        <v>806</v>
      </c>
      <c r="D50" s="744" t="s">
        <v>788</v>
      </c>
      <c r="E50" s="972">
        <v>7.8472133596123301</v>
      </c>
      <c r="F50" s="972">
        <v>0</v>
      </c>
      <c r="G50" s="736">
        <f t="shared" si="4"/>
        <v>7.8472133596123301</v>
      </c>
      <c r="H50" s="551"/>
      <c r="I50" s="551"/>
      <c r="J50" s="551"/>
      <c r="K50" s="551"/>
      <c r="L50" s="602"/>
      <c r="M50" s="551"/>
      <c r="N50" s="551"/>
    </row>
    <row r="51" spans="1:14" ht="15">
      <c r="A51" s="551"/>
      <c r="B51" s="551"/>
      <c r="C51" s="1576"/>
      <c r="D51" s="740" t="s">
        <v>648</v>
      </c>
      <c r="E51" s="735">
        <v>3.8898690278038127E-2</v>
      </c>
      <c r="F51" s="735">
        <v>0</v>
      </c>
      <c r="G51" s="685">
        <f t="shared" si="4"/>
        <v>3.8898690278038127E-2</v>
      </c>
      <c r="H51" s="551"/>
      <c r="I51" s="551"/>
      <c r="J51" s="551"/>
      <c r="K51" s="551"/>
      <c r="L51" s="602"/>
      <c r="M51" s="551"/>
      <c r="N51" s="551"/>
    </row>
    <row r="52" spans="1:14" ht="15">
      <c r="A52" s="551"/>
      <c r="B52" s="551"/>
      <c r="C52" s="1576"/>
      <c r="D52" s="745" t="s">
        <v>510</v>
      </c>
      <c r="E52" s="735">
        <v>0</v>
      </c>
      <c r="F52" s="735">
        <v>0</v>
      </c>
      <c r="G52" s="685">
        <f t="shared" si="4"/>
        <v>0</v>
      </c>
      <c r="H52" s="551"/>
      <c r="I52" s="551"/>
      <c r="J52" s="551"/>
      <c r="K52" s="551"/>
      <c r="L52" s="602"/>
      <c r="M52" s="551"/>
      <c r="N52" s="551"/>
    </row>
    <row r="53" spans="1:14" ht="15">
      <c r="A53" s="551"/>
      <c r="B53" s="551"/>
      <c r="C53" s="1576"/>
      <c r="D53" s="745" t="s">
        <v>787</v>
      </c>
      <c r="E53" s="735">
        <v>0.2</v>
      </c>
      <c r="F53" s="735">
        <v>0</v>
      </c>
      <c r="G53" s="685">
        <f t="shared" si="4"/>
        <v>0.2</v>
      </c>
      <c r="H53" s="551"/>
      <c r="I53" s="551"/>
      <c r="J53" s="551"/>
      <c r="K53" s="551"/>
      <c r="L53" s="602"/>
      <c r="M53" s="551"/>
      <c r="N53" s="551"/>
    </row>
    <row r="54" spans="1:14" ht="15">
      <c r="A54" s="551"/>
      <c r="B54" s="551"/>
      <c r="C54" s="1576"/>
      <c r="D54" s="745" t="s">
        <v>508</v>
      </c>
      <c r="E54" s="735">
        <v>4.6738919770647272E-2</v>
      </c>
      <c r="F54" s="735">
        <v>0</v>
      </c>
      <c r="G54" s="685">
        <f t="shared" si="4"/>
        <v>4.6738919770647272E-2</v>
      </c>
      <c r="H54" s="551"/>
      <c r="I54" s="551"/>
      <c r="J54" s="551"/>
      <c r="K54" s="551"/>
      <c r="L54" s="602"/>
      <c r="M54" s="551"/>
      <c r="N54" s="551"/>
    </row>
    <row r="55" spans="1:14" ht="15.75" thickBot="1">
      <c r="A55" s="551"/>
      <c r="B55" s="551"/>
      <c r="C55" s="1577"/>
      <c r="D55" s="743" t="s">
        <v>509</v>
      </c>
      <c r="E55" s="738">
        <v>2.7136963328324701E-2</v>
      </c>
      <c r="F55" s="738">
        <v>3.935454194238814E-3</v>
      </c>
      <c r="G55" s="685">
        <f t="shared" si="4"/>
        <v>3.1072417522563515E-2</v>
      </c>
      <c r="H55" s="551"/>
      <c r="I55" s="551"/>
      <c r="J55" s="551"/>
      <c r="K55" s="551"/>
      <c r="L55" s="602"/>
      <c r="M55" s="551"/>
      <c r="N55" s="551"/>
    </row>
    <row r="56" spans="1:14" ht="15.75" thickBot="1">
      <c r="A56" s="551"/>
      <c r="B56" s="551"/>
      <c r="C56" s="596" t="s">
        <v>511</v>
      </c>
      <c r="D56" s="597"/>
      <c r="E56" s="746">
        <f>SUM(E31:E55)</f>
        <v>37.236041295369688</v>
      </c>
      <c r="F56" s="746">
        <f>SUM(F31:F55)</f>
        <v>3.7281018181236933</v>
      </c>
      <c r="G56" s="746">
        <f t="shared" si="4"/>
        <v>40.964143113493378</v>
      </c>
      <c r="H56" s="713"/>
      <c r="I56" s="551"/>
      <c r="J56" s="551"/>
      <c r="K56" s="551"/>
      <c r="L56" s="551"/>
      <c r="M56" s="602"/>
      <c r="N56" s="551"/>
    </row>
    <row r="57" spans="1:14" ht="15.75" thickBot="1">
      <c r="A57" s="551"/>
      <c r="B57" s="551"/>
      <c r="C57" s="747" t="s">
        <v>476</v>
      </c>
      <c r="D57" s="599"/>
      <c r="E57" s="735">
        <v>0</v>
      </c>
      <c r="F57" s="735">
        <v>0</v>
      </c>
      <c r="G57" s="685">
        <f t="shared" si="4"/>
        <v>0</v>
      </c>
      <c r="H57" s="713"/>
      <c r="I57" s="713"/>
      <c r="J57" s="713"/>
      <c r="K57" s="551"/>
      <c r="L57" s="551"/>
      <c r="M57" s="602"/>
      <c r="N57" s="551"/>
    </row>
    <row r="58" spans="1:14" ht="15.75" thickBot="1">
      <c r="A58" s="551"/>
      <c r="B58" s="551"/>
      <c r="C58" s="596" t="s">
        <v>512</v>
      </c>
      <c r="D58" s="597"/>
      <c r="E58" s="746">
        <f>SUM(E56:E57)</f>
        <v>37.236041295369688</v>
      </c>
      <c r="F58" s="746">
        <f>SUM(F56:F57)</f>
        <v>3.7281018181236933</v>
      </c>
      <c r="G58" s="746">
        <f t="shared" si="4"/>
        <v>40.964143113493378</v>
      </c>
      <c r="H58" s="551"/>
      <c r="I58" s="551"/>
      <c r="J58" s="551"/>
      <c r="K58" s="551"/>
      <c r="L58" s="602"/>
      <c r="M58" s="551"/>
      <c r="N58" s="551"/>
    </row>
    <row r="59" spans="1:14" ht="13.5" thickBo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</row>
    <row r="60" spans="1:14" ht="15.75" thickBot="1">
      <c r="A60" s="551"/>
      <c r="B60" s="551"/>
      <c r="C60" s="748" t="s">
        <v>513</v>
      </c>
      <c r="D60" s="749"/>
      <c r="E60" s="750" t="s">
        <v>803</v>
      </c>
      <c r="F60" s="750" t="s">
        <v>802</v>
      </c>
      <c r="G60" s="750" t="s">
        <v>808</v>
      </c>
      <c r="H60" s="750" t="s">
        <v>806</v>
      </c>
      <c r="I60" s="750" t="s">
        <v>809</v>
      </c>
      <c r="J60" s="551"/>
      <c r="K60" s="551"/>
      <c r="L60" s="551"/>
      <c r="M60" s="602"/>
      <c r="N60" s="551"/>
    </row>
    <row r="61" spans="1:14" ht="18.75" thickBot="1">
      <c r="A61" s="551"/>
      <c r="B61" s="551"/>
      <c r="C61" s="751" t="s">
        <v>612</v>
      </c>
      <c r="D61" s="752"/>
      <c r="E61" s="554" t="s">
        <v>687</v>
      </c>
      <c r="F61" s="554" t="s">
        <v>687</v>
      </c>
      <c r="G61" s="554" t="s">
        <v>687</v>
      </c>
      <c r="H61" s="554" t="s">
        <v>687</v>
      </c>
      <c r="I61" s="554" t="s">
        <v>687</v>
      </c>
      <c r="J61" s="551"/>
      <c r="K61" s="551"/>
      <c r="L61" s="551"/>
      <c r="M61" s="551"/>
      <c r="N61" s="602"/>
    </row>
    <row r="62" spans="1:14" ht="15">
      <c r="A62" s="551"/>
      <c r="B62" s="551"/>
      <c r="C62" s="753" t="s">
        <v>514</v>
      </c>
      <c r="D62" s="754"/>
      <c r="E62" s="972">
        <v>0.78154528992298744</v>
      </c>
      <c r="F62" s="972">
        <v>7.0200429885700197</v>
      </c>
      <c r="G62" s="972">
        <v>0</v>
      </c>
      <c r="H62" s="972">
        <v>0</v>
      </c>
      <c r="I62" s="755">
        <f>SUM(E62:H62)</f>
        <v>7.8015882784930071</v>
      </c>
      <c r="J62" s="551"/>
      <c r="K62" s="551"/>
      <c r="L62" s="551"/>
      <c r="M62" s="551"/>
      <c r="N62" s="602"/>
    </row>
    <row r="63" spans="1:14" ht="15">
      <c r="A63" s="551"/>
      <c r="B63" s="551"/>
      <c r="C63" s="756" t="s">
        <v>515</v>
      </c>
      <c r="D63" s="757"/>
      <c r="E63" s="735">
        <v>0.17370324919855229</v>
      </c>
      <c r="F63" s="735">
        <v>0.35464789533482799</v>
      </c>
      <c r="G63" s="735">
        <v>0.10272204271495809</v>
      </c>
      <c r="H63" s="735">
        <v>0.1197787213940734</v>
      </c>
      <c r="I63" s="701">
        <f t="shared" ref="I63:I70" si="5">SUM(E63:H63)</f>
        <v>0.7508519086424118</v>
      </c>
      <c r="J63" s="551"/>
      <c r="K63" s="551"/>
      <c r="L63" s="551"/>
      <c r="M63" s="551"/>
      <c r="N63" s="602"/>
    </row>
    <row r="64" spans="1:14" ht="15">
      <c r="A64" s="551"/>
      <c r="B64" s="551"/>
      <c r="C64" s="756" t="s">
        <v>651</v>
      </c>
      <c r="D64" s="757"/>
      <c r="E64" s="735">
        <v>0</v>
      </c>
      <c r="F64" s="735">
        <v>0</v>
      </c>
      <c r="G64" s="735">
        <v>0.11286464185897649</v>
      </c>
      <c r="H64" s="735">
        <v>0</v>
      </c>
      <c r="I64" s="701">
        <f t="shared" si="5"/>
        <v>0.11286464185897649</v>
      </c>
      <c r="J64" s="551"/>
      <c r="K64" s="551"/>
      <c r="L64" s="551"/>
      <c r="M64" s="551"/>
      <c r="N64" s="602"/>
    </row>
    <row r="65" spans="1:14" ht="15">
      <c r="A65" s="551"/>
      <c r="B65" s="551"/>
      <c r="C65" s="756" t="s">
        <v>652</v>
      </c>
      <c r="D65" s="757"/>
      <c r="E65" s="735">
        <v>2.4138485563832291E-2</v>
      </c>
      <c r="F65" s="735">
        <v>1.3113855472286782E-3</v>
      </c>
      <c r="G65" s="735">
        <v>0</v>
      </c>
      <c r="H65" s="735">
        <v>0</v>
      </c>
      <c r="I65" s="701">
        <f t="shared" si="5"/>
        <v>2.5449871111060968E-2</v>
      </c>
      <c r="J65" s="551"/>
      <c r="K65" s="551"/>
      <c r="L65" s="551"/>
      <c r="M65" s="551"/>
      <c r="N65" s="602"/>
    </row>
    <row r="66" spans="1:14" ht="15">
      <c r="A66" s="551"/>
      <c r="B66" s="551"/>
      <c r="C66" s="756" t="s">
        <v>653</v>
      </c>
      <c r="D66" s="757"/>
      <c r="E66" s="735">
        <v>0.11120728744961361</v>
      </c>
      <c r="F66" s="735">
        <v>0.29512880668171876</v>
      </c>
      <c r="G66" s="735">
        <v>0</v>
      </c>
      <c r="H66" s="735">
        <v>0</v>
      </c>
      <c r="I66" s="701">
        <f t="shared" si="5"/>
        <v>0.40633609413133237</v>
      </c>
      <c r="J66" s="551"/>
      <c r="K66" s="551"/>
      <c r="L66" s="551"/>
      <c r="M66" s="551"/>
      <c r="N66" s="602"/>
    </row>
    <row r="67" spans="1:14" ht="15">
      <c r="A67" s="551"/>
      <c r="B67" s="551"/>
      <c r="C67" s="756" t="s">
        <v>654</v>
      </c>
      <c r="D67" s="757"/>
      <c r="E67" s="735">
        <v>0</v>
      </c>
      <c r="F67" s="735">
        <v>1.8356852588707312E-2</v>
      </c>
      <c r="G67" s="735">
        <v>0</v>
      </c>
      <c r="H67" s="735">
        <v>0</v>
      </c>
      <c r="I67" s="701">
        <f t="shared" si="5"/>
        <v>1.8356852588707312E-2</v>
      </c>
      <c r="J67" s="551"/>
      <c r="K67" s="551"/>
      <c r="L67" s="551"/>
      <c r="M67" s="551"/>
      <c r="N67" s="602"/>
    </row>
    <row r="68" spans="1:14" ht="15">
      <c r="A68" s="551"/>
      <c r="B68" s="551"/>
      <c r="C68" s="756" t="s">
        <v>655</v>
      </c>
      <c r="D68" s="757"/>
      <c r="E68" s="735">
        <v>0</v>
      </c>
      <c r="F68" s="735">
        <v>0</v>
      </c>
      <c r="G68" s="735">
        <v>0</v>
      </c>
      <c r="H68" s="735">
        <v>0</v>
      </c>
      <c r="I68" s="701">
        <f t="shared" si="5"/>
        <v>0</v>
      </c>
      <c r="J68" s="551"/>
      <c r="K68" s="551"/>
      <c r="L68" s="551"/>
      <c r="M68" s="551"/>
      <c r="N68" s="602"/>
    </row>
    <row r="69" spans="1:14" ht="15">
      <c r="A69" s="551"/>
      <c r="B69" s="551"/>
      <c r="C69" s="756" t="s">
        <v>673</v>
      </c>
      <c r="D69" s="758"/>
      <c r="E69" s="976">
        <v>0</v>
      </c>
      <c r="F69" s="976">
        <v>9.8116957770448456E-3</v>
      </c>
      <c r="G69" s="976">
        <v>0</v>
      </c>
      <c r="H69" s="976">
        <v>0</v>
      </c>
      <c r="I69" s="712">
        <f t="shared" si="5"/>
        <v>9.8116957770448456E-3</v>
      </c>
      <c r="J69" s="551"/>
      <c r="K69" s="551"/>
      <c r="L69" s="551"/>
      <c r="M69" s="551"/>
      <c r="N69" s="602"/>
    </row>
    <row r="70" spans="1:14" ht="15.75" thickBot="1">
      <c r="A70" s="551"/>
      <c r="B70" s="551"/>
      <c r="C70" s="759" t="s">
        <v>674</v>
      </c>
      <c r="D70" s="760"/>
      <c r="E70" s="976">
        <v>2.4874614662343606</v>
      </c>
      <c r="F70" s="976">
        <v>3.2468033810427106</v>
      </c>
      <c r="G70" s="976">
        <v>0.64503786162548138</v>
      </c>
      <c r="H70" s="976">
        <v>1.7982738528536242</v>
      </c>
      <c r="I70" s="761">
        <f t="shared" si="5"/>
        <v>8.177576561756176</v>
      </c>
      <c r="J70" s="551"/>
      <c r="K70" s="551"/>
      <c r="L70" s="551"/>
      <c r="M70" s="551"/>
      <c r="N70" s="602"/>
    </row>
    <row r="71" spans="1:14" ht="15.75" thickBot="1">
      <c r="A71" s="551"/>
      <c r="B71" s="551"/>
      <c r="C71" s="762" t="s">
        <v>665</v>
      </c>
      <c r="D71" s="763"/>
      <c r="E71" s="719">
        <f>SUM(E62:E70)</f>
        <v>3.5780557783693463</v>
      </c>
      <c r="F71" s="719">
        <f>SUM(F62:F70)</f>
        <v>10.946103005542257</v>
      </c>
      <c r="G71" s="719">
        <f>SUM(G62:G70)</f>
        <v>0.86062454619941597</v>
      </c>
      <c r="H71" s="719">
        <f>SUM(H62:H70)</f>
        <v>1.9180525742476975</v>
      </c>
      <c r="I71" s="719">
        <f>SUM(I62:I70)</f>
        <v>17.302835904358716</v>
      </c>
      <c r="J71" s="551"/>
      <c r="K71" s="551"/>
      <c r="L71" s="551"/>
      <c r="M71" s="551"/>
      <c r="N71" s="602"/>
    </row>
    <row r="72" spans="1:14" ht="15.75" thickBot="1">
      <c r="A72" s="551"/>
      <c r="B72" s="551"/>
      <c r="C72" s="764" t="s">
        <v>476</v>
      </c>
      <c r="D72" s="599"/>
      <c r="E72" s="735">
        <v>0</v>
      </c>
      <c r="F72" s="735">
        <v>0</v>
      </c>
      <c r="G72" s="735">
        <v>0</v>
      </c>
      <c r="H72" s="735">
        <v>0</v>
      </c>
      <c r="I72" s="719">
        <f>SUM(E72:H72)</f>
        <v>0</v>
      </c>
      <c r="J72" s="551"/>
      <c r="K72" s="551"/>
      <c r="L72" s="551"/>
      <c r="M72" s="602"/>
      <c r="N72" s="551"/>
    </row>
    <row r="73" spans="1:14" ht="15.75" thickBot="1">
      <c r="A73" s="551"/>
      <c r="B73" s="551"/>
      <c r="C73" s="762" t="s">
        <v>528</v>
      </c>
      <c r="D73" s="597"/>
      <c r="E73" s="765">
        <f>SUM(E71:E72)</f>
        <v>3.5780557783693463</v>
      </c>
      <c r="F73" s="765">
        <f>SUM(F71:F72)</f>
        <v>10.946103005542257</v>
      </c>
      <c r="G73" s="765">
        <f>SUM(G71:G72)</f>
        <v>0.86062454619941597</v>
      </c>
      <c r="H73" s="765">
        <f>SUM(H71:H72)</f>
        <v>1.9180525742476975</v>
      </c>
      <c r="I73" s="765">
        <f>SUM(I71:I72)</f>
        <v>17.302835904358716</v>
      </c>
      <c r="J73" s="551"/>
      <c r="K73" s="551"/>
      <c r="L73" s="551"/>
      <c r="M73" s="602"/>
      <c r="N73" s="551"/>
    </row>
    <row r="74" spans="1:14" ht="15.75" thickBot="1">
      <c r="A74" s="551"/>
      <c r="B74" s="551"/>
      <c r="C74" s="653"/>
      <c r="D74" s="766"/>
      <c r="E74" s="766"/>
      <c r="F74" s="766"/>
      <c r="G74" s="766"/>
      <c r="H74" s="767"/>
      <c r="I74" s="767"/>
      <c r="J74" s="767"/>
      <c r="K74" s="767"/>
      <c r="L74" s="551"/>
      <c r="M74" s="551"/>
      <c r="N74" s="551"/>
    </row>
    <row r="75" spans="1:14" ht="15.75" thickBot="1">
      <c r="A75" s="551"/>
      <c r="B75" s="551"/>
      <c r="C75" s="762" t="s">
        <v>399</v>
      </c>
      <c r="D75" s="763"/>
      <c r="E75" s="768">
        <f>+I71+G56</f>
        <v>58.266979017852094</v>
      </c>
      <c r="F75" s="713"/>
      <c r="G75" s="551"/>
      <c r="H75" s="551"/>
      <c r="I75" s="551"/>
      <c r="J75" s="551"/>
      <c r="K75" s="551"/>
      <c r="L75" s="551"/>
      <c r="M75" s="602"/>
      <c r="N75" s="551"/>
    </row>
    <row r="76" spans="1:14" ht="15.75" thickBot="1">
      <c r="A76" s="551"/>
      <c r="B76" s="551"/>
      <c r="C76" s="762" t="s">
        <v>476</v>
      </c>
      <c r="D76" s="599"/>
      <c r="E76" s="769">
        <f>+G57+I72</f>
        <v>0</v>
      </c>
      <c r="F76" s="713"/>
      <c r="G76" s="551"/>
      <c r="H76" s="551"/>
      <c r="I76" s="551"/>
      <c r="J76" s="551"/>
      <c r="K76" s="551"/>
      <c r="L76" s="551"/>
      <c r="M76" s="602"/>
      <c r="N76" s="551"/>
    </row>
    <row r="77" spans="1:14" ht="15.75" thickBot="1">
      <c r="A77" s="551"/>
      <c r="B77" s="551"/>
      <c r="C77" s="762" t="s">
        <v>288</v>
      </c>
      <c r="D77" s="597"/>
      <c r="E77" s="765">
        <f>+E76+E75</f>
        <v>58.266979017852094</v>
      </c>
      <c r="F77" s="551"/>
      <c r="G77" s="551"/>
      <c r="H77" s="551"/>
      <c r="I77" s="551"/>
      <c r="J77" s="551"/>
      <c r="K77" s="551"/>
      <c r="L77" s="551"/>
      <c r="M77" s="602"/>
      <c r="N77" s="551"/>
    </row>
    <row r="78" spans="1:14" ht="15" thickBot="1">
      <c r="A78" s="551"/>
      <c r="B78" s="551"/>
      <c r="C78" s="547"/>
      <c r="D78" s="547"/>
      <c r="E78" s="547"/>
      <c r="F78" s="547"/>
      <c r="G78" s="547"/>
      <c r="H78" s="547"/>
      <c r="I78" s="547"/>
      <c r="J78" s="547"/>
      <c r="K78" s="547"/>
      <c r="L78" s="551"/>
      <c r="M78" s="551"/>
      <c r="N78" s="551"/>
    </row>
    <row r="79" spans="1:14" ht="18.75" thickBot="1">
      <c r="A79" s="551"/>
      <c r="B79" s="551"/>
      <c r="C79" s="770" t="s">
        <v>289</v>
      </c>
      <c r="D79" s="771"/>
      <c r="E79" s="772"/>
      <c r="F79" s="772"/>
      <c r="G79" s="773"/>
      <c r="H79" s="551"/>
      <c r="I79" s="551"/>
      <c r="J79" s="551"/>
      <c r="K79" s="551"/>
      <c r="L79" s="551"/>
      <c r="M79" s="551"/>
      <c r="N79" s="551"/>
    </row>
    <row r="80" spans="1:14" ht="60.75" thickBot="1">
      <c r="A80" s="551"/>
      <c r="B80" s="551"/>
      <c r="C80" s="774" t="s">
        <v>612</v>
      </c>
      <c r="D80" s="727"/>
      <c r="E80" s="775" t="s">
        <v>809</v>
      </c>
      <c r="F80" s="776" t="s">
        <v>290</v>
      </c>
      <c r="G80" s="776" t="s">
        <v>291</v>
      </c>
      <c r="H80" s="551"/>
      <c r="I80" s="551"/>
      <c r="J80" s="551"/>
      <c r="K80" s="551"/>
      <c r="L80" s="551"/>
      <c r="M80" s="551"/>
      <c r="N80" s="551"/>
    </row>
    <row r="81" spans="1:14" ht="15.75" thickBot="1">
      <c r="A81" s="551"/>
      <c r="B81" s="551"/>
      <c r="C81" s="777"/>
      <c r="D81" s="778"/>
      <c r="E81" s="779" t="s">
        <v>687</v>
      </c>
      <c r="F81" s="554" t="s">
        <v>687</v>
      </c>
      <c r="G81" s="554" t="s">
        <v>687</v>
      </c>
      <c r="H81" s="551"/>
      <c r="I81" s="551"/>
      <c r="J81" s="551"/>
      <c r="K81" s="551"/>
      <c r="L81" s="551"/>
      <c r="M81" s="551"/>
      <c r="N81" s="551"/>
    </row>
    <row r="82" spans="1:14" ht="14.25">
      <c r="A82" s="551"/>
      <c r="B82" s="551"/>
      <c r="C82" s="780" t="s">
        <v>411</v>
      </c>
      <c r="D82" s="781"/>
      <c r="E82" s="736">
        <f t="shared" ref="E82:E88" si="6">SUM(F82:G82)</f>
        <v>0.3</v>
      </c>
      <c r="F82" s="974">
        <v>0.3</v>
      </c>
      <c r="G82" s="974"/>
      <c r="H82" s="551"/>
      <c r="I82" s="551"/>
      <c r="J82" s="551"/>
      <c r="K82" s="551"/>
      <c r="L82" s="551"/>
      <c r="M82" s="551"/>
      <c r="N82" s="551"/>
    </row>
    <row r="83" spans="1:14" ht="14.25">
      <c r="A83" s="551"/>
      <c r="B83" s="551"/>
      <c r="C83" s="782" t="s">
        <v>292</v>
      </c>
      <c r="D83" s="638"/>
      <c r="E83" s="685">
        <f t="shared" si="6"/>
        <v>0</v>
      </c>
      <c r="F83" s="974"/>
      <c r="G83" s="974"/>
      <c r="H83" s="551"/>
      <c r="I83" s="551"/>
      <c r="J83" s="551"/>
      <c r="K83" s="551"/>
      <c r="L83" s="551"/>
      <c r="M83" s="551"/>
      <c r="N83" s="551"/>
    </row>
    <row r="84" spans="1:14" ht="14.25">
      <c r="A84" s="551"/>
      <c r="B84" s="551"/>
      <c r="C84" s="782" t="s">
        <v>293</v>
      </c>
      <c r="D84" s="638"/>
      <c r="E84" s="685">
        <f t="shared" si="6"/>
        <v>1.4990000000000001</v>
      </c>
      <c r="F84" s="974">
        <v>1.4990000000000001</v>
      </c>
      <c r="G84" s="974"/>
      <c r="H84" s="551"/>
      <c r="I84" s="551"/>
      <c r="J84" s="551"/>
      <c r="K84" s="551"/>
      <c r="L84" s="551"/>
      <c r="M84" s="551"/>
      <c r="N84" s="551"/>
    </row>
    <row r="85" spans="1:14" ht="14.25">
      <c r="A85" s="551"/>
      <c r="B85" s="551"/>
      <c r="C85" s="782" t="s">
        <v>294</v>
      </c>
      <c r="D85" s="638"/>
      <c r="E85" s="685">
        <f t="shared" si="6"/>
        <v>0</v>
      </c>
      <c r="F85" s="974"/>
      <c r="G85" s="974"/>
      <c r="H85" s="551"/>
      <c r="I85" s="551"/>
      <c r="J85" s="551"/>
      <c r="K85" s="551"/>
      <c r="L85" s="551"/>
      <c r="M85" s="551"/>
      <c r="N85" s="551"/>
    </row>
    <row r="86" spans="1:14" ht="14.25">
      <c r="A86" s="551"/>
      <c r="B86" s="551"/>
      <c r="C86" s="782" t="s">
        <v>400</v>
      </c>
      <c r="D86" s="638"/>
      <c r="E86" s="685">
        <f t="shared" si="6"/>
        <v>0</v>
      </c>
      <c r="F86" s="974"/>
      <c r="G86" s="974"/>
      <c r="H86" s="551"/>
      <c r="I86" s="551"/>
      <c r="J86" s="551"/>
      <c r="K86" s="551"/>
      <c r="L86" s="551"/>
      <c r="M86" s="551"/>
      <c r="N86" s="551"/>
    </row>
    <row r="87" spans="1:14" ht="14.25">
      <c r="A87" s="551"/>
      <c r="B87" s="551"/>
      <c r="C87" s="782" t="s">
        <v>664</v>
      </c>
      <c r="D87" s="638"/>
      <c r="E87" s="685">
        <f t="shared" si="6"/>
        <v>0.60899999999999999</v>
      </c>
      <c r="F87" s="974">
        <v>0.60899999999999999</v>
      </c>
      <c r="G87" s="974"/>
      <c r="H87" s="551"/>
      <c r="I87" s="551"/>
      <c r="J87" s="551"/>
      <c r="K87" s="551"/>
      <c r="L87" s="551"/>
      <c r="M87" s="551"/>
      <c r="N87" s="551"/>
    </row>
    <row r="88" spans="1:14" ht="15" thickBot="1">
      <c r="A88" s="551"/>
      <c r="B88" s="551"/>
      <c r="C88" s="782" t="s">
        <v>794</v>
      </c>
      <c r="D88" s="638"/>
      <c r="E88" s="685">
        <f t="shared" si="6"/>
        <v>0</v>
      </c>
      <c r="F88" s="974"/>
      <c r="G88" s="974"/>
      <c r="H88" s="713"/>
      <c r="I88" s="551"/>
      <c r="J88" s="551"/>
      <c r="K88" s="551"/>
      <c r="L88" s="551"/>
      <c r="M88" s="551"/>
      <c r="N88" s="551"/>
    </row>
    <row r="89" spans="1:14" ht="15.75" thickBot="1">
      <c r="A89" s="551"/>
      <c r="B89" s="551"/>
      <c r="C89" s="596" t="s">
        <v>795</v>
      </c>
      <c r="D89" s="597"/>
      <c r="E89" s="719">
        <f>SUM(E82:E88)</f>
        <v>2.4080000000000004</v>
      </c>
      <c r="F89" s="719">
        <f>SUM(F82:F88)</f>
        <v>2.4080000000000004</v>
      </c>
      <c r="G89" s="719">
        <f>SUM(G82:G88)</f>
        <v>0</v>
      </c>
      <c r="H89" s="713"/>
      <c r="I89" s="551"/>
      <c r="J89" s="551"/>
      <c r="K89" s="551"/>
      <c r="L89" s="551"/>
      <c r="M89" s="551"/>
      <c r="N89" s="551"/>
    </row>
  </sheetData>
  <mergeCells count="11">
    <mergeCell ref="C11:D11"/>
    <mergeCell ref="C12:D12"/>
    <mergeCell ref="C13:D13"/>
    <mergeCell ref="C14:D14"/>
    <mergeCell ref="C38:C43"/>
    <mergeCell ref="C44:C49"/>
    <mergeCell ref="C50:C55"/>
    <mergeCell ref="E28:F28"/>
    <mergeCell ref="C31:C32"/>
    <mergeCell ref="C33:C34"/>
    <mergeCell ref="C35:C37"/>
  </mergeCells>
  <phoneticPr fontId="0" type="noConversion"/>
  <dataValidations count="1">
    <dataValidation type="decimal" operator="lessThanOrEqual" allowBlank="1" showInputMessage="1" showErrorMessage="1" sqref="K24 E24:G24 E57:F57 E72:I7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selection sqref="A1:IV65536"/>
    </sheetView>
  </sheetViews>
  <sheetFormatPr defaultColWidth="8.85546875" defaultRowHeight="12.75"/>
  <cols>
    <col min="1" max="5" width="8.85546875" customWidth="1"/>
    <col min="6" max="6" width="25" customWidth="1"/>
    <col min="7" max="7" width="8.85546875" customWidth="1"/>
    <col min="8" max="8" width="13" customWidth="1"/>
    <col min="9" max="9" width="15.7109375" customWidth="1"/>
  </cols>
  <sheetData>
    <row r="1" spans="1:13">
      <c r="A1" s="896" t="s">
        <v>620</v>
      </c>
      <c r="F1" s="891" t="s">
        <v>774</v>
      </c>
    </row>
    <row r="2" spans="1:13">
      <c r="A2" s="896"/>
    </row>
    <row r="3" spans="1:13">
      <c r="A3" s="896" t="s">
        <v>557</v>
      </c>
    </row>
    <row r="5" spans="1:13">
      <c r="A5" s="823" t="s">
        <v>621</v>
      </c>
      <c r="B5" s="897"/>
      <c r="C5" s="897"/>
      <c r="D5" s="897"/>
      <c r="E5" s="897"/>
      <c r="F5" s="898"/>
      <c r="G5" s="898"/>
      <c r="H5" s="898"/>
      <c r="I5" s="898"/>
      <c r="J5" s="898"/>
      <c r="K5" s="898"/>
      <c r="L5" s="898"/>
      <c r="M5" s="898"/>
    </row>
    <row r="6" spans="1:13" ht="13.5" thickBot="1">
      <c r="A6" s="783"/>
      <c r="B6" s="899"/>
      <c r="C6" s="784"/>
      <c r="D6" s="785"/>
      <c r="E6" s="899"/>
      <c r="F6" s="899"/>
      <c r="G6" s="783"/>
      <c r="H6" s="783"/>
      <c r="I6" s="783"/>
      <c r="J6" s="783"/>
      <c r="K6" s="783"/>
      <c r="L6" s="783"/>
      <c r="M6" s="783"/>
    </row>
    <row r="7" spans="1:13" ht="13.5" thickBot="1">
      <c r="A7" s="898"/>
      <c r="B7" s="900"/>
      <c r="C7" s="824" t="s">
        <v>686</v>
      </c>
      <c r="D7" s="786"/>
      <c r="E7" s="901"/>
      <c r="F7" s="901"/>
      <c r="G7" s="901"/>
      <c r="H7" s="902"/>
      <c r="I7" s="903"/>
      <c r="J7" s="898"/>
      <c r="K7" s="898"/>
      <c r="L7" s="898"/>
      <c r="M7" s="898"/>
    </row>
    <row r="8" spans="1:13" ht="13.5" thickBot="1">
      <c r="A8" s="898"/>
      <c r="B8" s="904"/>
      <c r="C8" s="653"/>
      <c r="D8" s="653"/>
      <c r="E8" s="898"/>
      <c r="F8" s="898"/>
      <c r="G8" s="787" t="s">
        <v>687</v>
      </c>
      <c r="H8" s="787" t="s">
        <v>687</v>
      </c>
      <c r="I8" s="905"/>
      <c r="J8" s="898"/>
      <c r="K8" s="898"/>
      <c r="L8" s="898"/>
      <c r="M8" s="898"/>
    </row>
    <row r="9" spans="1:13">
      <c r="A9" s="898"/>
      <c r="B9" s="906"/>
      <c r="C9" s="824" t="s">
        <v>688</v>
      </c>
      <c r="D9" s="653"/>
      <c r="E9" s="907"/>
      <c r="F9" s="898"/>
      <c r="G9" s="908"/>
      <c r="H9" s="788"/>
      <c r="I9" s="905"/>
      <c r="J9" s="898"/>
      <c r="K9" s="898"/>
      <c r="L9" s="898"/>
      <c r="M9" s="898"/>
    </row>
    <row r="10" spans="1:13" ht="14.25">
      <c r="A10" s="898"/>
      <c r="B10" s="789"/>
      <c r="C10" s="527"/>
      <c r="D10" s="541" t="s">
        <v>675</v>
      </c>
      <c r="E10" s="539"/>
      <c r="F10" s="783"/>
      <c r="G10" s="909">
        <v>4.4000000000000004</v>
      </c>
      <c r="H10" s="910"/>
      <c r="I10" s="911"/>
      <c r="J10" s="912"/>
      <c r="K10" s="912"/>
      <c r="L10" s="912"/>
      <c r="M10" s="898"/>
    </row>
    <row r="11" spans="1:13" ht="14.25">
      <c r="A11" s="898"/>
      <c r="B11" s="789"/>
      <c r="C11" s="527"/>
      <c r="D11" s="541" t="s">
        <v>676</v>
      </c>
      <c r="E11" s="539"/>
      <c r="F11" s="783"/>
      <c r="G11" s="909">
        <v>0</v>
      </c>
      <c r="H11" s="910"/>
      <c r="I11" s="911"/>
      <c r="J11" s="912"/>
      <c r="K11" s="912"/>
      <c r="L11" s="912"/>
      <c r="M11" s="898"/>
    </row>
    <row r="12" spans="1:13" ht="14.25">
      <c r="A12" s="898"/>
      <c r="B12" s="789"/>
      <c r="C12" s="527"/>
      <c r="D12" s="541" t="s">
        <v>677</v>
      </c>
      <c r="E12" s="539"/>
      <c r="F12" s="790"/>
      <c r="G12" s="909">
        <v>27.091992000000001</v>
      </c>
      <c r="H12" s="910"/>
      <c r="I12" s="911"/>
      <c r="J12" s="912"/>
      <c r="K12" s="912"/>
      <c r="L12" s="912"/>
      <c r="M12" s="898"/>
    </row>
    <row r="13" spans="1:13" ht="14.25">
      <c r="A13" s="898"/>
      <c r="B13" s="789"/>
      <c r="C13" s="527"/>
      <c r="D13" s="541" t="s">
        <v>790</v>
      </c>
      <c r="E13" s="539"/>
      <c r="F13" s="790"/>
      <c r="G13" s="909">
        <v>1.45009349</v>
      </c>
      <c r="H13" s="910"/>
      <c r="I13" s="911"/>
      <c r="J13" s="912"/>
      <c r="K13" s="912"/>
      <c r="L13" s="912"/>
      <c r="M13" s="898"/>
    </row>
    <row r="14" spans="1:13" ht="14.25">
      <c r="A14" s="898"/>
      <c r="B14" s="789"/>
      <c r="C14" s="527"/>
      <c r="D14" s="825" t="s">
        <v>791</v>
      </c>
      <c r="E14" s="539"/>
      <c r="F14" s="790"/>
      <c r="G14" s="909">
        <v>0</v>
      </c>
      <c r="H14" s="910"/>
      <c r="I14" s="911"/>
      <c r="J14" s="912"/>
      <c r="K14" s="912"/>
      <c r="L14" s="912"/>
      <c r="M14" s="898"/>
    </row>
    <row r="15" spans="1:13" ht="14.25">
      <c r="A15" s="898"/>
      <c r="B15" s="789"/>
      <c r="C15" s="539"/>
      <c r="D15" s="825" t="s">
        <v>525</v>
      </c>
      <c r="E15" s="539"/>
      <c r="F15" s="783"/>
      <c r="G15" s="909">
        <v>0</v>
      </c>
      <c r="H15" s="910">
        <f>SUM(G10:G15)</f>
        <v>32.942085490000004</v>
      </c>
      <c r="I15" s="911"/>
      <c r="J15" s="912"/>
      <c r="K15" s="912"/>
      <c r="L15" s="912"/>
      <c r="M15" s="898"/>
    </row>
    <row r="16" spans="1:13" ht="14.25">
      <c r="A16" s="898"/>
      <c r="B16" s="789"/>
      <c r="C16" s="824" t="s">
        <v>678</v>
      </c>
      <c r="D16" s="825"/>
      <c r="E16" s="539"/>
      <c r="F16" s="783"/>
      <c r="G16" s="913"/>
      <c r="H16" s="914"/>
      <c r="I16" s="911"/>
      <c r="J16" s="912"/>
      <c r="K16" s="912"/>
      <c r="L16" s="912"/>
      <c r="M16" s="898"/>
    </row>
    <row r="17" spans="1:13" ht="14.25">
      <c r="A17" s="898"/>
      <c r="B17" s="789"/>
      <c r="C17" s="539"/>
      <c r="D17" s="825" t="s">
        <v>796</v>
      </c>
      <c r="E17" s="539"/>
      <c r="F17" s="783"/>
      <c r="G17" s="909">
        <v>0</v>
      </c>
      <c r="H17" s="910"/>
      <c r="I17" s="911"/>
      <c r="J17" s="912"/>
      <c r="K17" s="912"/>
      <c r="L17" s="912"/>
      <c r="M17" s="898"/>
    </row>
    <row r="18" spans="1:13" ht="14.25">
      <c r="A18" s="898"/>
      <c r="B18" s="789"/>
      <c r="C18" s="539"/>
      <c r="D18" s="825" t="s">
        <v>662</v>
      </c>
      <c r="E18" s="539"/>
      <c r="F18" s="783"/>
      <c r="G18" s="909">
        <v>0.54859910000000001</v>
      </c>
      <c r="H18" s="910"/>
      <c r="I18" s="911"/>
      <c r="J18" s="912"/>
      <c r="K18" s="912"/>
      <c r="L18" s="912"/>
      <c r="M18" s="898"/>
    </row>
    <row r="19" spans="1:13" ht="14.25">
      <c r="A19" s="898"/>
      <c r="B19" s="789"/>
      <c r="C19" s="539"/>
      <c r="D19" s="825" t="s">
        <v>663</v>
      </c>
      <c r="E19" s="539"/>
      <c r="F19" s="783"/>
      <c r="G19" s="909">
        <v>0.31404121340000002</v>
      </c>
      <c r="H19" s="910">
        <f>SUM(G17:G19)</f>
        <v>0.86264031340000003</v>
      </c>
      <c r="I19" s="911"/>
      <c r="J19" s="912"/>
      <c r="K19" s="912"/>
      <c r="L19" s="912"/>
      <c r="M19" s="898"/>
    </row>
    <row r="20" spans="1:13" ht="14.25">
      <c r="A20" s="898"/>
      <c r="B20" s="789"/>
      <c r="C20" s="824" t="s">
        <v>622</v>
      </c>
      <c r="D20" s="825"/>
      <c r="E20" s="539"/>
      <c r="F20" s="783"/>
      <c r="G20" s="913"/>
      <c r="H20" s="914"/>
      <c r="I20" s="911"/>
      <c r="J20" s="912"/>
      <c r="K20" s="912"/>
      <c r="L20" s="912"/>
      <c r="M20" s="898"/>
    </row>
    <row r="21" spans="1:13" ht="14.25">
      <c r="A21" s="898"/>
      <c r="B21" s="789"/>
      <c r="C21" s="539"/>
      <c r="D21" s="825" t="s">
        <v>750</v>
      </c>
      <c r="E21" s="539"/>
      <c r="F21" s="783"/>
      <c r="G21" s="909">
        <v>1.6526079999999665E-2</v>
      </c>
      <c r="H21" s="910"/>
      <c r="I21" s="911"/>
      <c r="J21" s="912"/>
      <c r="K21" s="912"/>
      <c r="L21" s="912"/>
      <c r="M21" s="898"/>
    </row>
    <row r="22" spans="1:13" ht="14.25">
      <c r="A22" s="898"/>
      <c r="B22" s="789"/>
      <c r="C22" s="539"/>
      <c r="D22" s="541" t="s">
        <v>751</v>
      </c>
      <c r="E22" s="539"/>
      <c r="F22" s="783"/>
      <c r="G22" s="909">
        <v>39.912756859700004</v>
      </c>
      <c r="H22" s="910"/>
      <c r="I22" s="911"/>
      <c r="J22" s="912"/>
      <c r="K22" s="912"/>
      <c r="L22" s="912"/>
      <c r="M22" s="898"/>
    </row>
    <row r="23" spans="1:13" ht="14.25">
      <c r="A23" s="898"/>
      <c r="B23" s="789"/>
      <c r="C23" s="539"/>
      <c r="D23" s="915" t="s">
        <v>752</v>
      </c>
      <c r="E23" s="539"/>
      <c r="F23" s="790"/>
      <c r="G23" s="909">
        <v>9.5</v>
      </c>
      <c r="H23" s="910">
        <f>SUM(G21:G23)</f>
        <v>49.429282939700002</v>
      </c>
      <c r="I23" s="911"/>
      <c r="J23" s="912"/>
      <c r="K23" s="912"/>
      <c r="L23" s="912"/>
      <c r="M23" s="898"/>
    </row>
    <row r="24" spans="1:13" ht="14.25">
      <c r="A24" s="898"/>
      <c r="B24" s="789"/>
      <c r="C24" s="539"/>
      <c r="D24" s="541"/>
      <c r="E24" s="907"/>
      <c r="F24" s="790"/>
      <c r="G24" s="913"/>
      <c r="H24" s="914"/>
      <c r="I24" s="911"/>
      <c r="J24" s="912"/>
      <c r="K24" s="912"/>
      <c r="L24" s="912"/>
      <c r="M24" s="898"/>
    </row>
    <row r="25" spans="1:13" ht="15.75" thickBot="1">
      <c r="A25" s="898"/>
      <c r="B25" s="764"/>
      <c r="C25" s="783"/>
      <c r="D25" s="541"/>
      <c r="E25" s="826" t="s">
        <v>753</v>
      </c>
      <c r="F25" s="899"/>
      <c r="G25" s="916"/>
      <c r="H25" s="917">
        <f>SUM(H10:H24)</f>
        <v>83.234008743100006</v>
      </c>
      <c r="I25" s="911"/>
      <c r="J25" s="912"/>
      <c r="K25" s="912"/>
      <c r="L25" s="912"/>
      <c r="M25" s="898"/>
    </row>
    <row r="26" spans="1:13" ht="13.5" thickBot="1">
      <c r="A26" s="898"/>
      <c r="B26" s="918"/>
      <c r="C26" s="919"/>
      <c r="D26" s="919"/>
      <c r="E26" s="919"/>
      <c r="F26" s="920"/>
      <c r="G26" s="921"/>
      <c r="H26" s="921"/>
      <c r="I26" s="922"/>
      <c r="J26" s="912"/>
      <c r="K26" s="912"/>
      <c r="L26" s="912"/>
      <c r="M26" s="898"/>
    </row>
    <row r="27" spans="1:13" ht="13.5" thickBot="1">
      <c r="A27" s="898"/>
      <c r="B27" s="899"/>
      <c r="C27" s="901"/>
      <c r="D27" s="898"/>
      <c r="E27" s="826"/>
      <c r="F27" s="899"/>
      <c r="G27" s="912"/>
      <c r="H27" s="912"/>
      <c r="I27" s="912"/>
      <c r="J27" s="912"/>
      <c r="K27" s="912"/>
      <c r="L27" s="912"/>
      <c r="M27" s="898"/>
    </row>
    <row r="28" spans="1:13">
      <c r="A28" s="898"/>
      <c r="B28" s="900"/>
      <c r="C28" s="827" t="s">
        <v>754</v>
      </c>
      <c r="D28" s="901"/>
      <c r="E28" s="901"/>
      <c r="F28" s="923"/>
      <c r="G28" s="808"/>
      <c r="H28" s="924"/>
      <c r="I28" s="924"/>
      <c r="J28" s="924"/>
      <c r="K28" s="924"/>
      <c r="L28" s="924"/>
      <c r="M28" s="903"/>
    </row>
    <row r="29" spans="1:13" ht="13.5" thickBot="1">
      <c r="A29" s="898"/>
      <c r="B29" s="904"/>
      <c r="C29" s="898"/>
      <c r="D29" s="824" t="s">
        <v>755</v>
      </c>
      <c r="E29" s="824"/>
      <c r="F29" s="783"/>
      <c r="G29" s="791"/>
      <c r="H29" s="791"/>
      <c r="I29" s="912"/>
      <c r="J29" s="912"/>
      <c r="K29" s="912"/>
      <c r="L29" s="912"/>
      <c r="M29" s="905"/>
    </row>
    <row r="30" spans="1:13" ht="13.5" thickBot="1">
      <c r="A30" s="898"/>
      <c r="B30" s="925"/>
      <c r="C30" s="898"/>
      <c r="D30" s="790"/>
      <c r="E30" s="539" t="s">
        <v>756</v>
      </c>
      <c r="F30" s="790"/>
      <c r="G30" s="792" t="s">
        <v>687</v>
      </c>
      <c r="H30" s="542"/>
      <c r="I30" s="912"/>
      <c r="J30" s="912"/>
      <c r="K30" s="912"/>
      <c r="L30" s="912"/>
      <c r="M30" s="905"/>
    </row>
    <row r="31" spans="1:13" ht="14.25">
      <c r="A31" s="898"/>
      <c r="B31" s="925"/>
      <c r="C31" s="898"/>
      <c r="D31" s="790"/>
      <c r="E31" s="828" t="s">
        <v>757</v>
      </c>
      <c r="F31" s="898"/>
      <c r="G31" s="926"/>
      <c r="H31" s="542"/>
      <c r="I31" s="912"/>
      <c r="J31" s="912"/>
      <c r="K31" s="912"/>
      <c r="L31" s="912"/>
      <c r="M31" s="905"/>
    </row>
    <row r="32" spans="1:13" ht="14.25">
      <c r="A32" s="898"/>
      <c r="B32" s="925"/>
      <c r="C32" s="898"/>
      <c r="D32" s="790"/>
      <c r="E32" s="828" t="s">
        <v>758</v>
      </c>
      <c r="F32" s="898"/>
      <c r="G32" s="926">
        <v>-0.34825349999999999</v>
      </c>
      <c r="H32" s="542"/>
      <c r="I32" s="912"/>
      <c r="J32" s="912"/>
      <c r="K32" s="912"/>
      <c r="L32" s="912"/>
      <c r="M32" s="905"/>
    </row>
    <row r="33" spans="1:13" ht="14.25">
      <c r="A33" s="783"/>
      <c r="B33" s="793"/>
      <c r="C33" s="783"/>
      <c r="D33" s="790"/>
      <c r="E33" s="828" t="s">
        <v>478</v>
      </c>
      <c r="F33" s="783"/>
      <c r="G33" s="926">
        <v>-7.6416120000000004E-2</v>
      </c>
      <c r="H33" s="542"/>
      <c r="I33" s="791"/>
      <c r="J33" s="791"/>
      <c r="K33" s="791"/>
      <c r="L33" s="791"/>
      <c r="M33" s="794"/>
    </row>
    <row r="34" spans="1:13" ht="15.75" thickBot="1">
      <c r="A34" s="783"/>
      <c r="B34" s="793"/>
      <c r="C34" s="783"/>
      <c r="D34" s="790"/>
      <c r="E34" s="829" t="s">
        <v>809</v>
      </c>
      <c r="F34" s="790"/>
      <c r="G34" s="927">
        <f>SUM(G31:G33)</f>
        <v>-0.42466961999999997</v>
      </c>
      <c r="H34" s="542"/>
      <c r="I34" s="791"/>
      <c r="J34" s="791"/>
      <c r="K34" s="791"/>
      <c r="L34" s="791"/>
      <c r="M34" s="794"/>
    </row>
    <row r="35" spans="1:13" ht="13.5" thickTop="1">
      <c r="A35" s="783"/>
      <c r="B35" s="793"/>
      <c r="C35" s="785"/>
      <c r="D35" s="790"/>
      <c r="E35" s="790"/>
      <c r="F35" s="790"/>
      <c r="G35" s="542"/>
      <c r="H35" s="542"/>
      <c r="I35" s="791"/>
      <c r="J35" s="791"/>
      <c r="K35" s="791"/>
      <c r="L35" s="791"/>
      <c r="M35" s="794"/>
    </row>
    <row r="36" spans="1:13" ht="51">
      <c r="A36" s="783"/>
      <c r="B36" s="764"/>
      <c r="C36" s="790"/>
      <c r="D36" s="790"/>
      <c r="E36" s="830" t="s">
        <v>685</v>
      </c>
      <c r="F36" s="783"/>
      <c r="G36" s="831" t="s">
        <v>536</v>
      </c>
      <c r="H36" s="831" t="s">
        <v>537</v>
      </c>
      <c r="I36" s="831" t="s">
        <v>538</v>
      </c>
      <c r="J36" s="831" t="s">
        <v>539</v>
      </c>
      <c r="K36" s="832" t="s">
        <v>148</v>
      </c>
      <c r="L36" s="833" t="s">
        <v>540</v>
      </c>
      <c r="M36" s="794"/>
    </row>
    <row r="37" spans="1:13">
      <c r="A37" s="783"/>
      <c r="B37" s="764"/>
      <c r="C37" s="790"/>
      <c r="D37" s="790"/>
      <c r="E37" s="834" t="s">
        <v>541</v>
      </c>
      <c r="F37" s="783"/>
      <c r="G37" s="835" t="s">
        <v>542</v>
      </c>
      <c r="H37" s="835" t="s">
        <v>542</v>
      </c>
      <c r="I37" s="835" t="s">
        <v>542</v>
      </c>
      <c r="J37" s="835" t="s">
        <v>542</v>
      </c>
      <c r="K37" s="836" t="s">
        <v>542</v>
      </c>
      <c r="L37" s="835"/>
      <c r="M37" s="794"/>
    </row>
    <row r="38" spans="1:13" ht="14.25">
      <c r="A38" s="783"/>
      <c r="B38" s="764"/>
      <c r="C38" s="790"/>
      <c r="D38" s="790"/>
      <c r="E38" s="928" t="s">
        <v>812</v>
      </c>
      <c r="F38" s="783"/>
      <c r="G38" s="929">
        <v>0.51624532999999995</v>
      </c>
      <c r="H38" s="929">
        <v>0.26987753000000003</v>
      </c>
      <c r="I38" s="930">
        <f t="shared" ref="I38:I50" si="0">+G38-H38</f>
        <v>0.24636779999999991</v>
      </c>
      <c r="J38" s="929"/>
      <c r="K38" s="930">
        <f>+I38-J38</f>
        <v>0.24636779999999991</v>
      </c>
      <c r="L38" s="838"/>
      <c r="M38" s="794"/>
    </row>
    <row r="39" spans="1:13" ht="14.25">
      <c r="A39" s="783"/>
      <c r="B39" s="764"/>
      <c r="C39" s="790"/>
      <c r="D39" s="790"/>
      <c r="E39" s="928" t="s">
        <v>813</v>
      </c>
      <c r="F39" s="783"/>
      <c r="G39" s="929">
        <v>1.2436879999999999</v>
      </c>
      <c r="H39" s="929">
        <v>1.0488601000000002</v>
      </c>
      <c r="I39" s="930">
        <f t="shared" si="0"/>
        <v>0.19482789999999972</v>
      </c>
      <c r="J39" s="929"/>
      <c r="K39" s="930">
        <f t="shared" ref="K39:K50" si="1">+I39-J39</f>
        <v>0.19482789999999972</v>
      </c>
      <c r="L39" s="837"/>
      <c r="M39" s="794"/>
    </row>
    <row r="40" spans="1:13" ht="14.25">
      <c r="A40" s="783"/>
      <c r="B40" s="764"/>
      <c r="C40" s="790"/>
      <c r="D40" s="790"/>
      <c r="E40" s="928" t="s">
        <v>411</v>
      </c>
      <c r="F40" s="783"/>
      <c r="G40" s="929">
        <v>0.42553903000000004</v>
      </c>
      <c r="H40" s="929">
        <v>0.42553902999999998</v>
      </c>
      <c r="I40" s="930">
        <f t="shared" si="0"/>
        <v>0</v>
      </c>
      <c r="J40" s="929">
        <v>7.6416120000000004E-2</v>
      </c>
      <c r="K40" s="930">
        <f t="shared" si="1"/>
        <v>-7.6416120000000004E-2</v>
      </c>
      <c r="L40" s="837"/>
      <c r="M40" s="794"/>
    </row>
    <row r="41" spans="1:13" ht="14.25">
      <c r="A41" s="783"/>
      <c r="B41" s="764"/>
      <c r="C41" s="790"/>
      <c r="D41" s="790"/>
      <c r="E41" s="928" t="s">
        <v>814</v>
      </c>
      <c r="F41" s="783"/>
      <c r="G41" s="929"/>
      <c r="H41" s="929"/>
      <c r="I41" s="930">
        <f t="shared" si="0"/>
        <v>0</v>
      </c>
      <c r="J41" s="929">
        <v>0.34825349999999999</v>
      </c>
      <c r="K41" s="930">
        <f t="shared" si="1"/>
        <v>-0.34825349999999999</v>
      </c>
      <c r="L41" s="837"/>
      <c r="M41" s="794"/>
    </row>
    <row r="42" spans="1:13" ht="14.25">
      <c r="A42" s="783"/>
      <c r="B42" s="764"/>
      <c r="C42" s="790"/>
      <c r="D42" s="790"/>
      <c r="E42" s="928"/>
      <c r="F42" s="783"/>
      <c r="G42" s="929"/>
      <c r="H42" s="929"/>
      <c r="I42" s="930">
        <f t="shared" si="0"/>
        <v>0</v>
      </c>
      <c r="J42" s="929"/>
      <c r="K42" s="930">
        <f t="shared" si="1"/>
        <v>0</v>
      </c>
      <c r="L42" s="837"/>
      <c r="M42" s="794"/>
    </row>
    <row r="43" spans="1:13" ht="14.25">
      <c r="A43" s="783"/>
      <c r="B43" s="764"/>
      <c r="C43" s="790"/>
      <c r="D43" s="790"/>
      <c r="E43" s="928"/>
      <c r="F43" s="783"/>
      <c r="G43" s="929"/>
      <c r="H43" s="929"/>
      <c r="I43" s="930">
        <f t="shared" si="0"/>
        <v>0</v>
      </c>
      <c r="J43" s="929"/>
      <c r="K43" s="930">
        <f t="shared" si="1"/>
        <v>0</v>
      </c>
      <c r="L43" s="837"/>
      <c r="M43" s="794"/>
    </row>
    <row r="44" spans="1:13" ht="14.25">
      <c r="A44" s="783"/>
      <c r="B44" s="764"/>
      <c r="C44" s="790"/>
      <c r="D44" s="790"/>
      <c r="E44" s="928"/>
      <c r="F44" s="783"/>
      <c r="G44" s="929"/>
      <c r="H44" s="929"/>
      <c r="I44" s="930">
        <f t="shared" si="0"/>
        <v>0</v>
      </c>
      <c r="J44" s="929"/>
      <c r="K44" s="930">
        <f t="shared" si="1"/>
        <v>0</v>
      </c>
      <c r="L44" s="837"/>
      <c r="M44" s="794"/>
    </row>
    <row r="45" spans="1:13" ht="14.25">
      <c r="A45" s="783"/>
      <c r="B45" s="764"/>
      <c r="C45" s="790"/>
      <c r="D45" s="790"/>
      <c r="E45" s="928"/>
      <c r="F45" s="783"/>
      <c r="G45" s="929"/>
      <c r="H45" s="929"/>
      <c r="I45" s="930">
        <f t="shared" si="0"/>
        <v>0</v>
      </c>
      <c r="J45" s="929"/>
      <c r="K45" s="930">
        <f t="shared" si="1"/>
        <v>0</v>
      </c>
      <c r="L45" s="837"/>
      <c r="M45" s="794"/>
    </row>
    <row r="46" spans="1:13" ht="14.25">
      <c r="A46" s="783"/>
      <c r="B46" s="764"/>
      <c r="C46" s="790"/>
      <c r="D46" s="790"/>
      <c r="E46" s="928"/>
      <c r="F46" s="783"/>
      <c r="G46" s="929"/>
      <c r="H46" s="929"/>
      <c r="I46" s="930">
        <f t="shared" si="0"/>
        <v>0</v>
      </c>
      <c r="J46" s="929"/>
      <c r="K46" s="930">
        <f t="shared" si="1"/>
        <v>0</v>
      </c>
      <c r="L46" s="837"/>
      <c r="M46" s="794"/>
    </row>
    <row r="47" spans="1:13" ht="14.25">
      <c r="A47" s="783"/>
      <c r="B47" s="764"/>
      <c r="C47" s="790"/>
      <c r="D47" s="790"/>
      <c r="E47" s="928"/>
      <c r="F47" s="783"/>
      <c r="G47" s="929"/>
      <c r="H47" s="929"/>
      <c r="I47" s="930">
        <f t="shared" si="0"/>
        <v>0</v>
      </c>
      <c r="J47" s="929"/>
      <c r="K47" s="930">
        <f t="shared" si="1"/>
        <v>0</v>
      </c>
      <c r="L47" s="837"/>
      <c r="M47" s="794"/>
    </row>
    <row r="48" spans="1:13" ht="14.25">
      <c r="A48" s="783"/>
      <c r="B48" s="764"/>
      <c r="C48" s="790"/>
      <c r="D48" s="790"/>
      <c r="E48" s="928"/>
      <c r="F48" s="783"/>
      <c r="G48" s="929"/>
      <c r="H48" s="929"/>
      <c r="I48" s="930">
        <f t="shared" si="0"/>
        <v>0</v>
      </c>
      <c r="J48" s="929"/>
      <c r="K48" s="930">
        <f t="shared" si="1"/>
        <v>0</v>
      </c>
      <c r="L48" s="837"/>
      <c r="M48" s="794"/>
    </row>
    <row r="49" spans="1:13" ht="14.25">
      <c r="A49" s="783"/>
      <c r="B49" s="764"/>
      <c r="C49" s="790"/>
      <c r="D49" s="790"/>
      <c r="E49" s="928"/>
      <c r="F49" s="783"/>
      <c r="G49" s="929"/>
      <c r="H49" s="929"/>
      <c r="I49" s="930">
        <f t="shared" si="0"/>
        <v>0</v>
      </c>
      <c r="J49" s="929"/>
      <c r="K49" s="930">
        <f t="shared" si="1"/>
        <v>0</v>
      </c>
      <c r="L49" s="837"/>
      <c r="M49" s="794"/>
    </row>
    <row r="50" spans="1:13" ht="14.25">
      <c r="A50" s="783"/>
      <c r="B50" s="764"/>
      <c r="C50" s="790"/>
      <c r="D50" s="790"/>
      <c r="E50" s="928"/>
      <c r="F50" s="783"/>
      <c r="G50" s="929"/>
      <c r="H50" s="929"/>
      <c r="I50" s="930">
        <f t="shared" si="0"/>
        <v>0</v>
      </c>
      <c r="J50" s="929"/>
      <c r="K50" s="930">
        <f t="shared" si="1"/>
        <v>0</v>
      </c>
      <c r="L50" s="839"/>
      <c r="M50" s="794"/>
    </row>
    <row r="51" spans="1:13" ht="15">
      <c r="A51" s="783"/>
      <c r="B51" s="764"/>
      <c r="C51" s="790"/>
      <c r="D51" s="790"/>
      <c r="E51" s="931" t="s">
        <v>809</v>
      </c>
      <c r="F51" s="783"/>
      <c r="G51" s="932">
        <f>SUM(G38:G50)</f>
        <v>2.1854723599999999</v>
      </c>
      <c r="H51" s="932">
        <f>SUM(H38:H50)</f>
        <v>1.7442766600000001</v>
      </c>
      <c r="I51" s="932">
        <f>SUM(I38:I50)</f>
        <v>0.44119569999999964</v>
      </c>
      <c r="J51" s="932">
        <f>SUM(J38:J50)</f>
        <v>0.42466961999999997</v>
      </c>
      <c r="K51" s="932">
        <f>SUM(K38:K50)</f>
        <v>1.6526079999999665E-2</v>
      </c>
      <c r="L51" s="783"/>
      <c r="M51" s="794"/>
    </row>
    <row r="52" spans="1:13">
      <c r="A52" s="783"/>
      <c r="B52" s="764"/>
      <c r="C52" s="790"/>
      <c r="D52" s="790"/>
      <c r="E52" s="790"/>
      <c r="F52" s="790"/>
      <c r="G52" s="783"/>
      <c r="H52" s="783"/>
      <c r="I52" s="783"/>
      <c r="J52" s="795" t="s">
        <v>412</v>
      </c>
      <c r="K52" s="795" t="s">
        <v>412</v>
      </c>
      <c r="L52" s="783"/>
      <c r="M52" s="794"/>
    </row>
    <row r="53" spans="1:13" ht="13.5" thickBot="1">
      <c r="A53" s="783"/>
      <c r="B53" s="764"/>
      <c r="C53" s="790"/>
      <c r="D53" s="790"/>
      <c r="E53" s="790"/>
      <c r="F53" s="790"/>
      <c r="G53" s="783"/>
      <c r="H53" s="783"/>
      <c r="I53" s="783"/>
      <c r="J53" s="783"/>
      <c r="K53" s="783"/>
      <c r="L53" s="783"/>
      <c r="M53" s="794"/>
    </row>
    <row r="54" spans="1:13" ht="13.5" thickBot="1">
      <c r="A54" s="783"/>
      <c r="B54" s="764"/>
      <c r="C54" s="840"/>
      <c r="D54" s="824" t="s">
        <v>413</v>
      </c>
      <c r="E54" s="803"/>
      <c r="F54" s="783"/>
      <c r="G54" s="792" t="s">
        <v>542</v>
      </c>
      <c r="H54" s="792" t="s">
        <v>542</v>
      </c>
      <c r="I54" s="783"/>
      <c r="J54" s="791"/>
      <c r="K54" s="791"/>
      <c r="L54" s="791"/>
      <c r="M54" s="796"/>
    </row>
    <row r="55" spans="1:13" ht="26.25" thickBot="1">
      <c r="A55" s="783"/>
      <c r="B55" s="764"/>
      <c r="C55" s="790"/>
      <c r="D55" s="783"/>
      <c r="E55" s="783"/>
      <c r="F55" s="783"/>
      <c r="G55" s="797"/>
      <c r="H55" s="798" t="s">
        <v>414</v>
      </c>
      <c r="I55" s="783"/>
      <c r="J55" s="791"/>
      <c r="K55" s="791"/>
      <c r="L55" s="791"/>
      <c r="M55" s="796"/>
    </row>
    <row r="56" spans="1:13" ht="14.25">
      <c r="A56" s="783"/>
      <c r="B56" s="764"/>
      <c r="C56" s="790"/>
      <c r="D56" s="783"/>
      <c r="E56" s="803" t="s">
        <v>415</v>
      </c>
      <c r="F56" s="783"/>
      <c r="G56" s="926"/>
      <c r="H56" s="933"/>
      <c r="I56" s="783"/>
      <c r="J56" s="791"/>
      <c r="K56" s="791"/>
      <c r="L56" s="791"/>
      <c r="M56" s="796"/>
    </row>
    <row r="57" spans="1:13" ht="15" thickBot="1">
      <c r="A57" s="783"/>
      <c r="B57" s="764"/>
      <c r="C57" s="790"/>
      <c r="D57" s="783"/>
      <c r="E57" s="803" t="s">
        <v>416</v>
      </c>
      <c r="F57" s="783"/>
      <c r="G57" s="926"/>
      <c r="H57" s="934"/>
      <c r="I57" s="783"/>
      <c r="J57" s="791"/>
      <c r="K57" s="791"/>
      <c r="L57" s="791"/>
      <c r="M57" s="796"/>
    </row>
    <row r="58" spans="1:13" ht="15.75" thickBot="1">
      <c r="A58" s="783"/>
      <c r="B58" s="764"/>
      <c r="C58" s="790"/>
      <c r="D58" s="790"/>
      <c r="E58" s="829" t="s">
        <v>417</v>
      </c>
      <c r="F58" s="783"/>
      <c r="G58" s="935">
        <f>SUM(G56:G57)</f>
        <v>0</v>
      </c>
      <c r="H58" s="791"/>
      <c r="I58" s="783"/>
      <c r="J58" s="791"/>
      <c r="K58" s="791"/>
      <c r="L58" s="791"/>
      <c r="M58" s="796"/>
    </row>
    <row r="59" spans="1:13" ht="14.25" thickTop="1" thickBot="1">
      <c r="A59" s="783"/>
      <c r="B59" s="764"/>
      <c r="C59" s="790"/>
      <c r="D59" s="790"/>
      <c r="E59" s="829"/>
      <c r="F59" s="783"/>
      <c r="G59" s="791"/>
      <c r="H59" s="791"/>
      <c r="I59" s="783"/>
      <c r="J59" s="791"/>
      <c r="K59" s="791"/>
      <c r="L59" s="791"/>
      <c r="M59" s="796"/>
    </row>
    <row r="60" spans="1:13" ht="66" customHeight="1" thickBot="1">
      <c r="A60" s="783"/>
      <c r="B60" s="764"/>
      <c r="C60" s="790"/>
      <c r="D60" s="1584" t="s">
        <v>624</v>
      </c>
      <c r="E60" s="1584"/>
      <c r="F60" s="783"/>
      <c r="G60" s="799" t="s">
        <v>809</v>
      </c>
      <c r="H60" s="800" t="s">
        <v>625</v>
      </c>
      <c r="I60" s="800" t="s">
        <v>626</v>
      </c>
      <c r="J60" s="800" t="s">
        <v>627</v>
      </c>
      <c r="K60" s="800" t="s">
        <v>628</v>
      </c>
      <c r="L60" s="791"/>
      <c r="M60" s="794"/>
    </row>
    <row r="61" spans="1:13" ht="13.5" thickBot="1">
      <c r="A61" s="783"/>
      <c r="B61" s="793"/>
      <c r="C61" s="785"/>
      <c r="D61" s="824"/>
      <c r="E61" s="527"/>
      <c r="F61" s="790"/>
      <c r="G61" s="792" t="s">
        <v>542</v>
      </c>
      <c r="H61" s="792" t="s">
        <v>542</v>
      </c>
      <c r="I61" s="792" t="s">
        <v>542</v>
      </c>
      <c r="J61" s="792" t="s">
        <v>542</v>
      </c>
      <c r="K61" s="792" t="s">
        <v>542</v>
      </c>
      <c r="L61" s="791"/>
      <c r="M61" s="794"/>
    </row>
    <row r="62" spans="1:13" ht="14.25">
      <c r="A62" s="783"/>
      <c r="B62" s="793"/>
      <c r="C62" s="785"/>
      <c r="D62" s="539"/>
      <c r="E62" s="527" t="s">
        <v>629</v>
      </c>
      <c r="F62" s="790"/>
      <c r="G62" s="936">
        <f>SUM(H62:K62)</f>
        <v>0</v>
      </c>
      <c r="H62" s="937"/>
      <c r="I62" s="938"/>
      <c r="J62" s="938"/>
      <c r="K62" s="939"/>
      <c r="L62" s="791"/>
      <c r="M62" s="794"/>
    </row>
    <row r="63" spans="1:13" ht="15" thickBot="1">
      <c r="A63" s="783"/>
      <c r="B63" s="793"/>
      <c r="C63" s="785"/>
      <c r="D63" s="539"/>
      <c r="E63" s="527" t="s">
        <v>715</v>
      </c>
      <c r="F63" s="790"/>
      <c r="G63" s="940">
        <f>SUM(H63:K63)</f>
        <v>0</v>
      </c>
      <c r="H63" s="941"/>
      <c r="I63" s="942"/>
      <c r="J63" s="942"/>
      <c r="K63" s="943"/>
      <c r="L63" s="791"/>
      <c r="M63" s="794"/>
    </row>
    <row r="64" spans="1:13" ht="13.5" thickBot="1">
      <c r="A64" s="783"/>
      <c r="B64" s="793"/>
      <c r="C64" s="785"/>
      <c r="D64" s="790"/>
      <c r="E64" s="790"/>
      <c r="F64" s="790"/>
      <c r="G64" s="542"/>
      <c r="H64" s="542"/>
      <c r="I64" s="791"/>
      <c r="J64" s="791"/>
      <c r="K64" s="791"/>
      <c r="L64" s="791"/>
      <c r="M64" s="794"/>
    </row>
    <row r="65" spans="1:13" ht="80.25" customHeight="1" thickBot="1">
      <c r="A65" s="783"/>
      <c r="B65" s="764"/>
      <c r="C65" s="790"/>
      <c r="D65" s="1584" t="s">
        <v>568</v>
      </c>
      <c r="E65" s="1584"/>
      <c r="F65" s="783"/>
      <c r="G65" s="801" t="s">
        <v>809</v>
      </c>
      <c r="H65" s="802" t="s">
        <v>437</v>
      </c>
      <c r="I65" s="802" t="s">
        <v>759</v>
      </c>
      <c r="J65" s="802" t="s">
        <v>760</v>
      </c>
      <c r="K65" s="802" t="s">
        <v>761</v>
      </c>
      <c r="L65" s="802" t="s">
        <v>762</v>
      </c>
      <c r="M65" s="794"/>
    </row>
    <row r="66" spans="1:13" ht="13.5" thickBot="1">
      <c r="A66" s="783"/>
      <c r="B66" s="764"/>
      <c r="C66" s="790"/>
      <c r="D66" s="803"/>
      <c r="E66" s="783"/>
      <c r="F66" s="783"/>
      <c r="G66" s="792" t="s">
        <v>542</v>
      </c>
      <c r="H66" s="792" t="s">
        <v>542</v>
      </c>
      <c r="I66" s="792" t="s">
        <v>542</v>
      </c>
      <c r="J66" s="792" t="s">
        <v>542</v>
      </c>
      <c r="K66" s="792" t="s">
        <v>542</v>
      </c>
      <c r="L66" s="792" t="s">
        <v>542</v>
      </c>
      <c r="M66" s="794"/>
    </row>
    <row r="67" spans="1:13" ht="14.25">
      <c r="A67" s="783"/>
      <c r="B67" s="764"/>
      <c r="C67" s="790"/>
      <c r="D67" s="803"/>
      <c r="E67" s="915" t="s">
        <v>763</v>
      </c>
      <c r="F67" s="783"/>
      <c r="G67" s="944">
        <f>SUM(H67:L67)</f>
        <v>0.364514</v>
      </c>
      <c r="H67" s="945">
        <v>0.20150799999999999</v>
      </c>
      <c r="I67" s="946">
        <v>5.4666000000000006E-2</v>
      </c>
      <c r="J67" s="946">
        <v>0.10834000000000001</v>
      </c>
      <c r="K67" s="947"/>
      <c r="L67" s="948"/>
      <c r="M67" s="794"/>
    </row>
    <row r="68" spans="1:13" ht="14.25">
      <c r="A68" s="783"/>
      <c r="B68" s="764"/>
      <c r="C68" s="790"/>
      <c r="D68" s="783"/>
      <c r="E68" s="803" t="s">
        <v>636</v>
      </c>
      <c r="F68" s="783"/>
      <c r="G68" s="944">
        <f>SUM(H68:L68)</f>
        <v>0</v>
      </c>
      <c r="H68" s="945"/>
      <c r="I68" s="946"/>
      <c r="J68" s="946"/>
      <c r="K68" s="947"/>
      <c r="L68" s="948"/>
      <c r="M68" s="794"/>
    </row>
    <row r="69" spans="1:13" ht="14.25">
      <c r="A69" s="783"/>
      <c r="B69" s="764"/>
      <c r="C69" s="790"/>
      <c r="D69" s="783"/>
      <c r="E69" s="803" t="s">
        <v>637</v>
      </c>
      <c r="F69" s="783"/>
      <c r="G69" s="944">
        <f>SUM(H69:L69)</f>
        <v>0</v>
      </c>
      <c r="H69" s="945"/>
      <c r="I69" s="946"/>
      <c r="J69" s="946"/>
      <c r="K69" s="947"/>
      <c r="L69" s="948"/>
      <c r="M69" s="794"/>
    </row>
    <row r="70" spans="1:13" ht="14.25">
      <c r="A70" s="783"/>
      <c r="B70" s="764"/>
      <c r="C70" s="790"/>
      <c r="D70" s="783"/>
      <c r="E70" s="803" t="s">
        <v>638</v>
      </c>
      <c r="F70" s="783"/>
      <c r="G70" s="944">
        <f>SUM(H70:L70)</f>
        <v>0</v>
      </c>
      <c r="H70" s="949"/>
      <c r="I70" s="950"/>
      <c r="J70" s="950"/>
      <c r="K70" s="951"/>
      <c r="L70" s="952"/>
      <c r="M70" s="794"/>
    </row>
    <row r="71" spans="1:13" ht="15.75" thickBot="1">
      <c r="A71" s="783"/>
      <c r="B71" s="764"/>
      <c r="C71" s="790"/>
      <c r="D71" s="790"/>
      <c r="E71" s="829" t="s">
        <v>639</v>
      </c>
      <c r="F71" s="783"/>
      <c r="G71" s="953">
        <f t="shared" ref="G71:L71" si="2">SUM(G67:G70)</f>
        <v>0.364514</v>
      </c>
      <c r="H71" s="953">
        <f t="shared" si="2"/>
        <v>0.20150799999999999</v>
      </c>
      <c r="I71" s="953">
        <f t="shared" si="2"/>
        <v>5.4666000000000006E-2</v>
      </c>
      <c r="J71" s="953">
        <f t="shared" si="2"/>
        <v>0.10834000000000001</v>
      </c>
      <c r="K71" s="953">
        <f t="shared" si="2"/>
        <v>0</v>
      </c>
      <c r="L71" s="953">
        <f t="shared" si="2"/>
        <v>0</v>
      </c>
      <c r="M71" s="794"/>
    </row>
    <row r="72" spans="1:13" ht="13.5" thickBot="1">
      <c r="A72" s="783"/>
      <c r="B72" s="804"/>
      <c r="C72" s="805"/>
      <c r="D72" s="805"/>
      <c r="E72" s="841"/>
      <c r="F72" s="806"/>
      <c r="G72" s="841"/>
      <c r="H72" s="842"/>
      <c r="I72" s="843"/>
      <c r="J72" s="843"/>
      <c r="K72" s="843"/>
      <c r="L72" s="843"/>
      <c r="M72" s="844"/>
    </row>
    <row r="73" spans="1:13" ht="13.5" thickBot="1">
      <c r="A73" s="783"/>
      <c r="B73" s="783"/>
      <c r="C73" s="806"/>
      <c r="D73" s="783"/>
      <c r="E73" s="783"/>
      <c r="F73" s="783"/>
      <c r="G73" s="791"/>
      <c r="H73" s="791"/>
      <c r="I73" s="791"/>
      <c r="J73" s="791"/>
      <c r="K73" s="791"/>
      <c r="L73" s="791"/>
      <c r="M73" s="783"/>
    </row>
    <row r="74" spans="1:13">
      <c r="A74" s="783"/>
      <c r="B74" s="900"/>
      <c r="C74" s="824" t="s">
        <v>640</v>
      </c>
      <c r="D74" s="901"/>
      <c r="E74" s="807"/>
      <c r="F74" s="901"/>
      <c r="G74" s="924"/>
      <c r="H74" s="924"/>
      <c r="I74" s="808"/>
      <c r="J74" s="808"/>
      <c r="K74" s="808"/>
      <c r="L74" s="808"/>
      <c r="M74" s="809"/>
    </row>
    <row r="75" spans="1:13" ht="13.5" thickBot="1">
      <c r="A75" s="783"/>
      <c r="B75" s="904"/>
      <c r="C75" s="840"/>
      <c r="D75" s="898"/>
      <c r="E75" s="810"/>
      <c r="F75" s="898"/>
      <c r="G75" s="912"/>
      <c r="H75" s="912"/>
      <c r="I75" s="791"/>
      <c r="J75" s="791"/>
      <c r="K75" s="791"/>
      <c r="L75" s="791"/>
      <c r="M75" s="794"/>
    </row>
    <row r="76" spans="1:13" ht="80.25" customHeight="1" thickBot="1">
      <c r="A76" s="783"/>
      <c r="B76" s="764"/>
      <c r="C76" s="790"/>
      <c r="D76" s="1584" t="s">
        <v>623</v>
      </c>
      <c r="E76" s="1584"/>
      <c r="F76" s="783"/>
      <c r="G76" s="801" t="s">
        <v>809</v>
      </c>
      <c r="H76" s="802" t="s">
        <v>437</v>
      </c>
      <c r="I76" s="802" t="s">
        <v>759</v>
      </c>
      <c r="J76" s="802" t="s">
        <v>760</v>
      </c>
      <c r="K76" s="802" t="s">
        <v>761</v>
      </c>
      <c r="L76" s="802" t="s">
        <v>762</v>
      </c>
      <c r="M76" s="794"/>
    </row>
    <row r="77" spans="1:13" ht="13.5" thickBot="1">
      <c r="A77" s="783"/>
      <c r="B77" s="764"/>
      <c r="C77" s="790"/>
      <c r="D77" s="803"/>
      <c r="E77" s="783"/>
      <c r="F77" s="783"/>
      <c r="G77" s="792" t="s">
        <v>542</v>
      </c>
      <c r="H77" s="792" t="s">
        <v>542</v>
      </c>
      <c r="I77" s="792" t="s">
        <v>542</v>
      </c>
      <c r="J77" s="792" t="s">
        <v>542</v>
      </c>
      <c r="K77" s="792" t="s">
        <v>542</v>
      </c>
      <c r="L77" s="792" t="s">
        <v>542</v>
      </c>
      <c r="M77" s="794"/>
    </row>
    <row r="78" spans="1:13" ht="14.25">
      <c r="A78" s="783"/>
      <c r="B78" s="764"/>
      <c r="C78" s="790"/>
      <c r="D78" s="783"/>
      <c r="E78" s="803" t="s">
        <v>636</v>
      </c>
      <c r="F78" s="783"/>
      <c r="G78" s="954">
        <f>SUM(H78:L78)</f>
        <v>0</v>
      </c>
      <c r="H78" s="955"/>
      <c r="I78" s="956"/>
      <c r="J78" s="956"/>
      <c r="K78" s="957"/>
      <c r="L78" s="958"/>
      <c r="M78" s="794"/>
    </row>
    <row r="79" spans="1:13" ht="14.25">
      <c r="A79" s="783"/>
      <c r="B79" s="764"/>
      <c r="C79" s="790"/>
      <c r="D79" s="783"/>
      <c r="E79" s="803" t="s">
        <v>637</v>
      </c>
      <c r="F79" s="783"/>
      <c r="G79" s="954">
        <f>SUM(H79:L79)</f>
        <v>0</v>
      </c>
      <c r="H79" s="955"/>
      <c r="I79" s="956"/>
      <c r="J79" s="956"/>
      <c r="K79" s="957"/>
      <c r="L79" s="958"/>
      <c r="M79" s="794"/>
    </row>
    <row r="80" spans="1:13" ht="14.25">
      <c r="A80" s="783"/>
      <c r="B80" s="764"/>
      <c r="C80" s="790"/>
      <c r="D80" s="783"/>
      <c r="E80" s="803" t="s">
        <v>638</v>
      </c>
      <c r="F80" s="783"/>
      <c r="G80" s="954">
        <f>SUM(H80:L80)</f>
        <v>0</v>
      </c>
      <c r="H80" s="959"/>
      <c r="I80" s="960"/>
      <c r="J80" s="960"/>
      <c r="K80" s="961"/>
      <c r="L80" s="962"/>
      <c r="M80" s="794"/>
    </row>
    <row r="81" spans="1:13" ht="15.75" thickBot="1">
      <c r="A81" s="783"/>
      <c r="B81" s="764"/>
      <c r="C81" s="790"/>
      <c r="D81" s="790"/>
      <c r="E81" s="829" t="s">
        <v>809</v>
      </c>
      <c r="F81" s="783"/>
      <c r="G81" s="963">
        <f t="shared" ref="G81:L81" si="3">SUM(G78:G80)</f>
        <v>0</v>
      </c>
      <c r="H81" s="963">
        <f t="shared" si="3"/>
        <v>0</v>
      </c>
      <c r="I81" s="963">
        <f t="shared" si="3"/>
        <v>0</v>
      </c>
      <c r="J81" s="963">
        <f t="shared" si="3"/>
        <v>0</v>
      </c>
      <c r="K81" s="963">
        <f t="shared" si="3"/>
        <v>0</v>
      </c>
      <c r="L81" s="963">
        <f t="shared" si="3"/>
        <v>0</v>
      </c>
      <c r="M81" s="794"/>
    </row>
    <row r="82" spans="1:13" ht="13.5" thickBot="1">
      <c r="A82" s="783"/>
      <c r="B82" s="764"/>
      <c r="C82" s="790"/>
      <c r="D82" s="790"/>
      <c r="E82" s="811"/>
      <c r="F82" s="783"/>
      <c r="G82" s="812"/>
      <c r="H82" s="812"/>
      <c r="I82" s="791"/>
      <c r="J82" s="791"/>
      <c r="K82" s="791"/>
      <c r="L82" s="791"/>
      <c r="M82" s="794"/>
    </row>
    <row r="83" spans="1:13" ht="15" thickBot="1">
      <c r="A83" s="783"/>
      <c r="B83" s="764"/>
      <c r="C83" s="790"/>
      <c r="D83" s="845" t="s">
        <v>727</v>
      </c>
      <c r="E83" s="783"/>
      <c r="F83" s="783"/>
      <c r="G83" s="964">
        <f>SUM(H83:L83)</f>
        <v>0</v>
      </c>
      <c r="H83" s="965"/>
      <c r="I83" s="966"/>
      <c r="J83" s="965"/>
      <c r="K83" s="967"/>
      <c r="L83" s="968"/>
      <c r="M83" s="794"/>
    </row>
    <row r="84" spans="1:13" ht="13.5" thickBot="1">
      <c r="A84" s="783"/>
      <c r="B84" s="804"/>
      <c r="C84" s="805"/>
      <c r="D84" s="805"/>
      <c r="E84" s="846"/>
      <c r="F84" s="806"/>
      <c r="G84" s="813"/>
      <c r="H84" s="814"/>
      <c r="I84" s="813"/>
      <c r="J84" s="813"/>
      <c r="K84" s="813"/>
      <c r="L84" s="813"/>
      <c r="M84" s="815"/>
    </row>
    <row r="85" spans="1:13" ht="13.5" thickBot="1">
      <c r="A85" s="803"/>
      <c r="B85" s="803"/>
      <c r="C85" s="797"/>
      <c r="D85" s="790"/>
      <c r="E85" s="803"/>
      <c r="F85" s="783"/>
      <c r="G85" s="791"/>
      <c r="H85" s="812"/>
      <c r="I85" s="791"/>
      <c r="J85" s="791"/>
      <c r="K85" s="791"/>
      <c r="L85" s="791"/>
      <c r="M85" s="783"/>
    </row>
    <row r="86" spans="1:13" ht="13.5" thickBot="1">
      <c r="A86" s="783"/>
      <c r="B86" s="816"/>
      <c r="C86" s="827" t="s">
        <v>714</v>
      </c>
      <c r="D86" s="817"/>
      <c r="E86" s="847"/>
      <c r="F86" s="818"/>
      <c r="G86" s="819"/>
      <c r="H86" s="819"/>
      <c r="I86" s="820"/>
      <c r="J86" s="791"/>
      <c r="K86" s="791"/>
      <c r="L86" s="791"/>
      <c r="M86" s="783"/>
    </row>
    <row r="87" spans="1:13" ht="13.5" thickBot="1">
      <c r="A87" s="783"/>
      <c r="B87" s="764"/>
      <c r="C87" s="790"/>
      <c r="D87" s="790"/>
      <c r="E87" s="829"/>
      <c r="F87" s="783"/>
      <c r="G87" s="792" t="s">
        <v>542</v>
      </c>
      <c r="H87" s="812"/>
      <c r="I87" s="796"/>
      <c r="J87" s="791"/>
      <c r="K87" s="791"/>
      <c r="L87" s="791"/>
      <c r="M87" s="783"/>
    </row>
    <row r="88" spans="1:13" ht="15" thickBot="1">
      <c r="A88" s="783"/>
      <c r="B88" s="764"/>
      <c r="C88" s="790"/>
      <c r="D88" s="824" t="s">
        <v>347</v>
      </c>
      <c r="E88" s="829"/>
      <c r="F88" s="783"/>
      <c r="G88" s="969"/>
      <c r="H88" s="791"/>
      <c r="I88" s="796"/>
      <c r="J88" s="791"/>
      <c r="K88" s="791"/>
      <c r="L88" s="791"/>
      <c r="M88" s="783"/>
    </row>
    <row r="89" spans="1:13" ht="15" thickBot="1">
      <c r="A89" s="783"/>
      <c r="B89" s="764"/>
      <c r="C89" s="790"/>
      <c r="D89" s="824" t="s">
        <v>716</v>
      </c>
      <c r="E89" s="829"/>
      <c r="F89" s="783"/>
      <c r="G89" s="969"/>
      <c r="H89" s="791"/>
      <c r="I89" s="796"/>
      <c r="J89" s="791"/>
      <c r="K89" s="791"/>
      <c r="L89" s="791"/>
      <c r="M89" s="783"/>
    </row>
    <row r="90" spans="1:13" ht="13.5" thickBot="1">
      <c r="A90" s="783"/>
      <c r="B90" s="764"/>
      <c r="C90" s="790"/>
      <c r="D90" s="790"/>
      <c r="E90" s="811"/>
      <c r="F90" s="783"/>
      <c r="G90" s="791"/>
      <c r="H90" s="791"/>
      <c r="I90" s="796"/>
      <c r="J90" s="791"/>
      <c r="K90" s="791"/>
      <c r="L90" s="791"/>
      <c r="M90" s="783"/>
    </row>
    <row r="91" spans="1:13" ht="13.5" thickBot="1">
      <c r="A91" s="783"/>
      <c r="B91" s="764"/>
      <c r="C91" s="790"/>
      <c r="D91" s="790"/>
      <c r="E91" s="845"/>
      <c r="F91" s="783"/>
      <c r="G91" s="792" t="s">
        <v>542</v>
      </c>
      <c r="H91" s="792" t="s">
        <v>717</v>
      </c>
      <c r="I91" s="821"/>
      <c r="J91" s="822"/>
      <c r="K91" s="822"/>
      <c r="L91" s="791"/>
      <c r="M91" s="783"/>
    </row>
    <row r="92" spans="1:13" ht="15" thickBot="1">
      <c r="A92" s="783"/>
      <c r="B92" s="764"/>
      <c r="C92" s="790"/>
      <c r="D92" s="824" t="s">
        <v>730</v>
      </c>
      <c r="E92" s="783"/>
      <c r="F92" s="783"/>
      <c r="G92" s="970"/>
      <c r="H92" s="971"/>
      <c r="I92" s="848"/>
      <c r="J92" s="849"/>
      <c r="K92" s="849"/>
      <c r="L92" s="791"/>
      <c r="M92" s="783"/>
    </row>
    <row r="93" spans="1:13" ht="14.25" thickTop="1" thickBot="1">
      <c r="A93" s="783"/>
      <c r="B93" s="793"/>
      <c r="C93" s="783"/>
      <c r="D93" s="850"/>
      <c r="E93" s="783"/>
      <c r="F93" s="783"/>
      <c r="G93" s="783"/>
      <c r="H93" s="783"/>
      <c r="I93" s="848"/>
      <c r="J93" s="851"/>
      <c r="K93" s="851"/>
      <c r="L93" s="791"/>
      <c r="M93" s="783"/>
    </row>
    <row r="94" spans="1:13" ht="13.5" thickBot="1">
      <c r="A94" s="783"/>
      <c r="B94" s="764"/>
      <c r="C94" s="790"/>
      <c r="D94" s="824" t="s">
        <v>731</v>
      </c>
      <c r="E94" s="783"/>
      <c r="F94" s="783"/>
      <c r="G94" s="792" t="s">
        <v>542</v>
      </c>
      <c r="H94" s="792" t="s">
        <v>717</v>
      </c>
      <c r="I94" s="852"/>
      <c r="J94" s="851"/>
      <c r="K94" s="851"/>
      <c r="L94" s="791"/>
      <c r="M94" s="783"/>
    </row>
    <row r="95" spans="1:13" ht="14.25">
      <c r="A95" s="783"/>
      <c r="B95" s="764"/>
      <c r="C95" s="790"/>
      <c r="D95" s="783"/>
      <c r="E95" s="803" t="s">
        <v>803</v>
      </c>
      <c r="F95" s="783"/>
      <c r="G95" s="926"/>
      <c r="H95" s="926"/>
      <c r="I95" s="848"/>
      <c r="J95" s="849"/>
      <c r="K95" s="849"/>
      <c r="L95" s="791"/>
      <c r="M95" s="783"/>
    </row>
    <row r="96" spans="1:13" ht="14.25">
      <c r="A96" s="783"/>
      <c r="B96" s="764"/>
      <c r="C96" s="790"/>
      <c r="D96" s="783"/>
      <c r="E96" s="803" t="s">
        <v>802</v>
      </c>
      <c r="F96" s="783"/>
      <c r="G96" s="926"/>
      <c r="H96" s="926"/>
      <c r="I96" s="848"/>
      <c r="J96" s="849"/>
      <c r="K96" s="849"/>
      <c r="L96" s="791"/>
      <c r="M96" s="783"/>
    </row>
    <row r="97" spans="1:13" ht="15" thickBot="1">
      <c r="A97" s="783"/>
      <c r="B97" s="764"/>
      <c r="C97" s="790"/>
      <c r="D97" s="783"/>
      <c r="E97" s="803" t="s">
        <v>732</v>
      </c>
      <c r="F97" s="783"/>
      <c r="G97" s="926"/>
      <c r="H97" s="934"/>
      <c r="I97" s="848"/>
      <c r="J97" s="849"/>
      <c r="K97" s="849"/>
      <c r="L97" s="791"/>
      <c r="M97" s="783"/>
    </row>
    <row r="98" spans="1:13" ht="14.25">
      <c r="A98" s="783"/>
      <c r="B98" s="764"/>
      <c r="C98" s="790"/>
      <c r="D98" s="783"/>
      <c r="E98" s="803" t="s">
        <v>733</v>
      </c>
      <c r="F98" s="783"/>
      <c r="G98" s="972"/>
      <c r="H98" s="973"/>
      <c r="I98" s="848"/>
      <c r="J98" s="849"/>
      <c r="K98" s="851"/>
      <c r="L98" s="791"/>
      <c r="M98" s="783"/>
    </row>
    <row r="99" spans="1:13" ht="15.75" thickBot="1">
      <c r="A99" s="783"/>
      <c r="B99" s="764"/>
      <c r="C99" s="790"/>
      <c r="D99" s="790"/>
      <c r="E99" s="826" t="s">
        <v>718</v>
      </c>
      <c r="F99" s="783"/>
      <c r="G99" s="935">
        <f>SUM(G95:G98)</f>
        <v>0</v>
      </c>
      <c r="H99" s="935">
        <f>SUM(H95:H98)</f>
        <v>0</v>
      </c>
      <c r="I99" s="853"/>
      <c r="J99" s="540"/>
      <c r="K99" s="540"/>
      <c r="L99" s="791"/>
      <c r="M99" s="783"/>
    </row>
    <row r="100" spans="1:13" ht="14.25" thickTop="1" thickBot="1">
      <c r="A100" s="783"/>
      <c r="B100" s="804"/>
      <c r="C100" s="805"/>
      <c r="D100" s="805"/>
      <c r="E100" s="805"/>
      <c r="F100" s="805"/>
      <c r="G100" s="806"/>
      <c r="H100" s="806"/>
      <c r="I100" s="815"/>
      <c r="J100" s="783"/>
      <c r="K100" s="783"/>
      <c r="L100" s="783"/>
      <c r="M100" s="783"/>
    </row>
    <row r="101" spans="1:13">
      <c r="A101" s="783"/>
      <c r="B101" s="652"/>
      <c r="C101" s="652"/>
      <c r="D101" s="652"/>
      <c r="E101" s="652"/>
      <c r="F101" s="652"/>
      <c r="G101" s="783"/>
      <c r="H101" s="783"/>
      <c r="I101" s="783"/>
      <c r="J101" s="783"/>
      <c r="K101" s="783"/>
      <c r="L101" s="783"/>
      <c r="M101" s="783"/>
    </row>
  </sheetData>
  <mergeCells count="3">
    <mergeCell ref="D60:E60"/>
    <mergeCell ref="D65:E65"/>
    <mergeCell ref="D76:E76"/>
  </mergeCells>
  <phoneticPr fontId="0" type="noConversion"/>
  <dataValidations count="2">
    <dataValidation type="decimal" operator="greaterThanOrEqual" allowBlank="1" showInputMessage="1" showErrorMessage="1" sqref="J38:J50 G38:H50 H57 G56:H56 H63:K63 G88:G89">
      <formula1>0</formula1>
    </dataValidation>
    <dataValidation type="decimal" operator="lessThanOrEqual" allowBlank="1" showInputMessage="1" showErrorMessage="1" sqref="G31:G33 G57 H62:K62">
      <formula1>0</formula1>
    </dataValidation>
  </dataValidations>
  <hyperlinks>
    <hyperlink ref="F1" location="Inputs!A1" display="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zoomScale="80" workbookViewId="0">
      <selection activeCell="G19" sqref="G19"/>
    </sheetView>
  </sheetViews>
  <sheetFormatPr defaultRowHeight="10.5"/>
  <cols>
    <col min="1" max="1" width="8.140625" style="892" customWidth="1"/>
    <col min="2" max="2" width="15.42578125" style="892" customWidth="1"/>
    <col min="3" max="3" width="48.7109375" style="892" bestFit="1" customWidth="1"/>
    <col min="4" max="4" width="15.42578125" style="892" bestFit="1" customWidth="1"/>
    <col min="5" max="6" width="9.140625" style="892"/>
    <col min="7" max="7" width="13.85546875" style="892" customWidth="1"/>
    <col min="8" max="16384" width="9.140625" style="892"/>
  </cols>
  <sheetData>
    <row r="1" spans="1:9" ht="12.75" customHeight="1">
      <c r="A1" s="889" t="s">
        <v>544</v>
      </c>
      <c r="B1" s="890"/>
      <c r="C1" s="890"/>
      <c r="D1" s="890"/>
      <c r="E1" s="890"/>
      <c r="F1" s="891" t="s">
        <v>774</v>
      </c>
      <c r="G1" s="890"/>
      <c r="H1" s="890"/>
      <c r="I1" s="890"/>
    </row>
    <row r="2" spans="1:9" s="895" customFormat="1" ht="12.75">
      <c r="A2" s="893"/>
      <c r="B2" s="894"/>
      <c r="C2" s="894"/>
      <c r="D2" s="894"/>
      <c r="E2" s="894"/>
      <c r="F2" s="894"/>
      <c r="G2" s="894"/>
      <c r="H2" s="894"/>
      <c r="I2" s="894"/>
    </row>
    <row r="3" spans="1:9" ht="12.75">
      <c r="A3" s="889" t="s">
        <v>557</v>
      </c>
      <c r="B3" s="890"/>
      <c r="C3" s="890"/>
      <c r="D3" s="890"/>
      <c r="E3" s="890"/>
      <c r="F3" s="890"/>
      <c r="G3" s="890"/>
      <c r="H3" s="890"/>
      <c r="I3" s="890"/>
    </row>
    <row r="4" spans="1:9" ht="12.75">
      <c r="A4" s="889"/>
      <c r="B4" s="890"/>
      <c r="C4" s="890"/>
      <c r="D4" s="890"/>
      <c r="E4" s="890"/>
      <c r="F4" s="890"/>
      <c r="G4" s="890"/>
      <c r="H4" s="890"/>
      <c r="I4" s="890"/>
    </row>
    <row r="5" spans="1:9" ht="20.25">
      <c r="A5" s="1585" t="s">
        <v>558</v>
      </c>
      <c r="B5" s="1585"/>
      <c r="C5" s="1585"/>
      <c r="D5" s="854"/>
      <c r="E5" s="855"/>
      <c r="F5" s="855"/>
      <c r="G5" s="855"/>
    </row>
    <row r="6" spans="1:9" ht="15" thickBot="1">
      <c r="A6" s="856"/>
      <c r="B6" s="856"/>
      <c r="C6" s="424"/>
      <c r="D6" s="424"/>
      <c r="E6" s="857"/>
      <c r="F6" s="857"/>
      <c r="G6" s="857"/>
    </row>
    <row r="7" spans="1:9" ht="15.75" thickBot="1">
      <c r="A7" s="856"/>
      <c r="B7" s="856"/>
      <c r="C7" s="858"/>
      <c r="D7" s="859" t="s">
        <v>559</v>
      </c>
      <c r="E7" s="859" t="s">
        <v>560</v>
      </c>
      <c r="F7" s="859" t="s">
        <v>561</v>
      </c>
      <c r="G7" s="859" t="s">
        <v>557</v>
      </c>
      <c r="H7" s="892" t="s">
        <v>562</v>
      </c>
      <c r="I7" s="892" t="s">
        <v>563</v>
      </c>
    </row>
    <row r="8" spans="1:9" ht="15">
      <c r="A8" s="856"/>
      <c r="B8" s="856"/>
      <c r="C8" s="860" t="s">
        <v>792</v>
      </c>
      <c r="D8" s="861"/>
      <c r="E8" s="1586" t="s">
        <v>793</v>
      </c>
      <c r="F8" s="1587"/>
      <c r="G8" s="862"/>
      <c r="H8" s="892" t="s">
        <v>698</v>
      </c>
    </row>
    <row r="9" spans="1:9" ht="14.25">
      <c r="A9" s="856"/>
      <c r="B9" s="856"/>
      <c r="C9" s="863" t="s">
        <v>699</v>
      </c>
      <c r="D9" s="864" t="s">
        <v>700</v>
      </c>
      <c r="E9" s="865"/>
      <c r="F9" s="866"/>
      <c r="G9" s="867">
        <v>2580775</v>
      </c>
    </row>
    <row r="10" spans="1:9" ht="14.25">
      <c r="A10" s="856"/>
      <c r="B10" s="856"/>
      <c r="C10" s="863" t="s">
        <v>701</v>
      </c>
      <c r="D10" s="864" t="s">
        <v>702</v>
      </c>
      <c r="E10" s="865"/>
      <c r="F10" s="866"/>
      <c r="G10" s="867">
        <v>2119306</v>
      </c>
    </row>
    <row r="11" spans="1:9" ht="14.25">
      <c r="A11" s="856"/>
      <c r="B11" s="856"/>
      <c r="C11" s="863" t="s">
        <v>575</v>
      </c>
      <c r="D11" s="864" t="s">
        <v>576</v>
      </c>
      <c r="E11" s="865"/>
      <c r="F11" s="866"/>
      <c r="G11" s="867">
        <v>198961241</v>
      </c>
    </row>
    <row r="12" spans="1:9" ht="15.75" thickBot="1">
      <c r="A12" s="856"/>
      <c r="B12" s="856"/>
      <c r="C12" s="863"/>
      <c r="D12" s="868"/>
      <c r="E12" s="869"/>
      <c r="F12" s="870"/>
      <c r="G12" s="870"/>
    </row>
    <row r="13" spans="1:9" ht="15">
      <c r="A13" s="856"/>
      <c r="B13" s="856"/>
      <c r="C13" s="871" t="s">
        <v>797</v>
      </c>
      <c r="D13" s="861"/>
      <c r="E13" s="872"/>
      <c r="F13" s="857"/>
      <c r="G13" s="857"/>
    </row>
    <row r="14" spans="1:9" ht="14.25">
      <c r="A14" s="856"/>
      <c r="B14" s="856"/>
      <c r="C14" s="873"/>
      <c r="D14" s="864"/>
      <c r="E14" s="872"/>
      <c r="F14" s="857"/>
      <c r="G14" s="857"/>
    </row>
    <row r="15" spans="1:9" ht="14.25">
      <c r="A15" s="856"/>
      <c r="B15" s="856"/>
      <c r="C15" s="874" t="s">
        <v>798</v>
      </c>
      <c r="D15" s="864"/>
      <c r="E15" s="872"/>
      <c r="F15" s="857"/>
      <c r="G15" s="857"/>
    </row>
    <row r="16" spans="1:9" ht="14.25">
      <c r="A16" s="856"/>
      <c r="B16" s="856"/>
      <c r="C16" s="874" t="s">
        <v>799</v>
      </c>
      <c r="D16" s="864"/>
      <c r="E16" s="872"/>
      <c r="F16" s="857"/>
      <c r="G16" s="857"/>
    </row>
    <row r="17" spans="1:7" ht="14.25">
      <c r="A17" s="856"/>
      <c r="B17" s="856"/>
      <c r="C17" s="873" t="s">
        <v>800</v>
      </c>
      <c r="D17" s="864" t="s">
        <v>801</v>
      </c>
      <c r="E17" s="865"/>
      <c r="F17" s="866"/>
      <c r="G17" s="867">
        <v>0</v>
      </c>
    </row>
    <row r="18" spans="1:7" ht="14.25">
      <c r="A18" s="856"/>
      <c r="B18" s="856"/>
      <c r="C18" s="873" t="s">
        <v>802</v>
      </c>
      <c r="D18" s="864" t="s">
        <v>801</v>
      </c>
      <c r="E18" s="865"/>
      <c r="F18" s="866"/>
      <c r="G18" s="867">
        <v>17</v>
      </c>
    </row>
    <row r="19" spans="1:7" ht="14.25">
      <c r="A19" s="856"/>
      <c r="B19" s="856"/>
      <c r="C19" s="873" t="s">
        <v>803</v>
      </c>
      <c r="D19" s="864" t="s">
        <v>801</v>
      </c>
      <c r="E19" s="865"/>
      <c r="F19" s="866"/>
      <c r="G19" s="867">
        <v>29758</v>
      </c>
    </row>
    <row r="20" spans="1:7" ht="14.25">
      <c r="A20" s="856"/>
      <c r="B20" s="856"/>
      <c r="C20" s="873" t="s">
        <v>804</v>
      </c>
      <c r="D20" s="864" t="s">
        <v>801</v>
      </c>
      <c r="E20" s="865"/>
      <c r="F20" s="866"/>
      <c r="G20" s="867">
        <v>9</v>
      </c>
    </row>
    <row r="21" spans="1:7" ht="14.25">
      <c r="A21" s="856"/>
      <c r="B21" s="856"/>
      <c r="C21" s="873"/>
      <c r="D21" s="864"/>
      <c r="E21" s="872"/>
      <c r="F21" s="857"/>
      <c r="G21" s="857"/>
    </row>
    <row r="22" spans="1:7" ht="14.25">
      <c r="A22" s="856"/>
      <c r="B22" s="856"/>
      <c r="C22" s="874" t="s">
        <v>805</v>
      </c>
      <c r="D22" s="864"/>
      <c r="E22" s="872"/>
      <c r="F22" s="857"/>
      <c r="G22" s="857"/>
    </row>
    <row r="23" spans="1:7" ht="14.25">
      <c r="A23" s="856"/>
      <c r="B23" s="856"/>
      <c r="C23" s="873" t="s">
        <v>806</v>
      </c>
      <c r="D23" s="864" t="s">
        <v>807</v>
      </c>
      <c r="E23" s="865"/>
      <c r="F23" s="866"/>
      <c r="G23" s="867">
        <v>0</v>
      </c>
    </row>
    <row r="24" spans="1:7" ht="14.25">
      <c r="A24" s="856"/>
      <c r="B24" s="856"/>
      <c r="C24" s="873" t="s">
        <v>808</v>
      </c>
      <c r="D24" s="864" t="s">
        <v>807</v>
      </c>
      <c r="E24" s="865"/>
      <c r="F24" s="866"/>
      <c r="G24" s="867">
        <v>166</v>
      </c>
    </row>
    <row r="25" spans="1:7" ht="14.25">
      <c r="A25" s="856"/>
      <c r="B25" s="856"/>
      <c r="C25" s="873" t="s">
        <v>802</v>
      </c>
      <c r="D25" s="864" t="s">
        <v>807</v>
      </c>
      <c r="E25" s="865"/>
      <c r="F25" s="866"/>
      <c r="G25" s="867">
        <v>145</v>
      </c>
    </row>
    <row r="26" spans="1:7" ht="15" thickBot="1">
      <c r="A26" s="856"/>
      <c r="B26" s="856"/>
      <c r="C26" s="873" t="s">
        <v>803</v>
      </c>
      <c r="D26" s="864" t="s">
        <v>807</v>
      </c>
      <c r="E26" s="865"/>
      <c r="F26" s="866"/>
      <c r="G26" s="867">
        <v>2.2000000000000002</v>
      </c>
    </row>
    <row r="27" spans="1:7" ht="15" thickBot="1">
      <c r="A27" s="856"/>
      <c r="B27" s="856"/>
      <c r="C27" s="874" t="s">
        <v>809</v>
      </c>
      <c r="D27" s="864"/>
      <c r="E27" s="875"/>
      <c r="F27" s="875"/>
      <c r="G27" s="875">
        <v>313.2</v>
      </c>
    </row>
    <row r="28" spans="1:7" ht="14.25">
      <c r="A28" s="856"/>
      <c r="B28" s="856"/>
      <c r="C28" s="873"/>
      <c r="D28" s="864"/>
      <c r="E28" s="71"/>
      <c r="F28" s="71"/>
      <c r="G28" s="71"/>
    </row>
    <row r="29" spans="1:7" ht="14.25">
      <c r="A29" s="856"/>
      <c r="B29" s="856"/>
      <c r="C29" s="874" t="s">
        <v>810</v>
      </c>
      <c r="D29" s="864"/>
      <c r="E29" s="71"/>
      <c r="F29" s="71"/>
      <c r="G29" s="71"/>
    </row>
    <row r="30" spans="1:7" ht="14.25">
      <c r="A30" s="856"/>
      <c r="B30" s="856"/>
      <c r="C30" s="873" t="s">
        <v>545</v>
      </c>
      <c r="D30" s="864" t="s">
        <v>807</v>
      </c>
      <c r="E30" s="865"/>
      <c r="F30" s="866"/>
      <c r="G30" s="867">
        <v>5635</v>
      </c>
    </row>
    <row r="31" spans="1:7" ht="14.25">
      <c r="A31" s="856"/>
      <c r="B31" s="856"/>
      <c r="C31" s="873" t="s">
        <v>546</v>
      </c>
      <c r="D31" s="864" t="s">
        <v>807</v>
      </c>
      <c r="E31" s="865"/>
      <c r="F31" s="866"/>
      <c r="G31" s="867">
        <v>5497</v>
      </c>
    </row>
    <row r="32" spans="1:7" ht="14.25">
      <c r="A32" s="856"/>
      <c r="B32" s="856"/>
      <c r="C32" s="873"/>
      <c r="D32" s="864"/>
      <c r="E32" s="71"/>
      <c r="F32" s="71"/>
      <c r="G32" s="71"/>
    </row>
    <row r="33" spans="1:7" ht="14.25">
      <c r="A33" s="856"/>
      <c r="B33" s="856"/>
      <c r="C33" s="874" t="s">
        <v>578</v>
      </c>
      <c r="D33" s="864"/>
      <c r="E33" s="71"/>
      <c r="F33" s="71"/>
      <c r="G33" s="71"/>
    </row>
    <row r="34" spans="1:7" ht="14.25">
      <c r="A34" s="856"/>
      <c r="B34" s="856"/>
      <c r="C34" s="873" t="s">
        <v>800</v>
      </c>
      <c r="D34" s="864" t="s">
        <v>579</v>
      </c>
      <c r="E34" s="865"/>
      <c r="F34" s="866"/>
      <c r="G34" s="867">
        <v>710</v>
      </c>
    </row>
    <row r="35" spans="1:7" ht="14.25">
      <c r="A35" s="856"/>
      <c r="B35" s="856"/>
      <c r="C35" s="873" t="s">
        <v>802</v>
      </c>
      <c r="D35" s="864" t="s">
        <v>579</v>
      </c>
      <c r="E35" s="865"/>
      <c r="F35" s="866"/>
      <c r="G35" s="867">
        <v>9669</v>
      </c>
    </row>
    <row r="36" spans="1:7" ht="15" thickBot="1">
      <c r="A36" s="856"/>
      <c r="B36" s="856"/>
      <c r="C36" s="873" t="s">
        <v>803</v>
      </c>
      <c r="D36" s="864" t="s">
        <v>579</v>
      </c>
      <c r="E36" s="865"/>
      <c r="F36" s="866"/>
      <c r="G36" s="867">
        <v>19286</v>
      </c>
    </row>
    <row r="37" spans="1:7" ht="15" thickBot="1">
      <c r="A37" s="856"/>
      <c r="B37" s="856"/>
      <c r="C37" s="874" t="s">
        <v>809</v>
      </c>
      <c r="D37" s="864"/>
      <c r="E37" s="875"/>
      <c r="F37" s="875"/>
      <c r="G37" s="875">
        <v>29665</v>
      </c>
    </row>
    <row r="38" spans="1:7" ht="14.25">
      <c r="A38" s="856"/>
      <c r="B38" s="856"/>
      <c r="C38" s="873"/>
      <c r="D38" s="864"/>
      <c r="E38" s="872"/>
      <c r="F38" s="857"/>
      <c r="G38" s="857"/>
    </row>
    <row r="39" spans="1:7" ht="14.25">
      <c r="A39" s="856"/>
      <c r="B39" s="856"/>
      <c r="C39" s="874" t="s">
        <v>580</v>
      </c>
      <c r="D39" s="864"/>
      <c r="E39" s="872"/>
      <c r="F39" s="857"/>
      <c r="G39" s="857"/>
    </row>
    <row r="40" spans="1:7" ht="14.25">
      <c r="A40" s="856"/>
      <c r="B40" s="856"/>
      <c r="C40" s="873" t="s">
        <v>581</v>
      </c>
      <c r="D40" s="864" t="s">
        <v>582</v>
      </c>
      <c r="E40" s="865"/>
      <c r="F40" s="866"/>
      <c r="G40" s="867">
        <v>1439</v>
      </c>
    </row>
    <row r="41" spans="1:7" ht="14.25">
      <c r="A41" s="856"/>
      <c r="B41" s="856"/>
      <c r="C41" s="873" t="s">
        <v>583</v>
      </c>
      <c r="D41" s="864" t="s">
        <v>584</v>
      </c>
      <c r="E41" s="865"/>
      <c r="F41" s="866"/>
      <c r="G41" s="876">
        <v>4.8508343165346371E-2</v>
      </c>
    </row>
    <row r="42" spans="1:7" ht="14.25">
      <c r="A42" s="856"/>
      <c r="B42" s="856"/>
      <c r="C42" s="873"/>
      <c r="D42" s="864"/>
      <c r="E42" s="71"/>
      <c r="F42" s="71"/>
      <c r="G42" s="71"/>
    </row>
    <row r="43" spans="1:7" ht="15.75" thickBot="1">
      <c r="A43" s="856"/>
      <c r="B43" s="856"/>
      <c r="C43" s="863"/>
      <c r="D43" s="868"/>
      <c r="E43" s="869"/>
      <c r="F43" s="870"/>
      <c r="G43" s="870"/>
    </row>
    <row r="44" spans="1:7" ht="15">
      <c r="A44" s="856"/>
      <c r="B44" s="856"/>
      <c r="C44" s="871" t="s">
        <v>585</v>
      </c>
      <c r="D44" s="864"/>
      <c r="E44" s="71"/>
      <c r="F44" s="71"/>
      <c r="G44" s="71"/>
    </row>
    <row r="45" spans="1:7" ht="14.25">
      <c r="A45" s="856"/>
      <c r="B45" s="856"/>
      <c r="C45" s="873"/>
      <c r="D45" s="864"/>
      <c r="E45" s="71"/>
      <c r="F45" s="71"/>
      <c r="G45" s="71"/>
    </row>
    <row r="46" spans="1:7" ht="14.25">
      <c r="A46" s="856"/>
      <c r="B46" s="856"/>
      <c r="C46" s="874" t="s">
        <v>708</v>
      </c>
      <c r="D46" s="864"/>
      <c r="E46" s="71"/>
      <c r="F46" s="71"/>
      <c r="G46" s="71"/>
    </row>
    <row r="47" spans="1:7" ht="14.25">
      <c r="A47" s="856"/>
      <c r="B47" s="856"/>
      <c r="C47" s="873" t="s">
        <v>806</v>
      </c>
      <c r="D47" s="864" t="s">
        <v>709</v>
      </c>
      <c r="E47" s="865"/>
      <c r="F47" s="866"/>
      <c r="G47" s="877">
        <v>2384</v>
      </c>
    </row>
    <row r="48" spans="1:7" ht="14.25">
      <c r="A48" s="856"/>
      <c r="B48" s="856"/>
      <c r="C48" s="873" t="s">
        <v>808</v>
      </c>
      <c r="D48" s="864" t="s">
        <v>709</v>
      </c>
      <c r="E48" s="865"/>
      <c r="F48" s="866"/>
      <c r="G48" s="877">
        <v>2702</v>
      </c>
    </row>
    <row r="49" spans="1:7" ht="14.25">
      <c r="A49" s="856"/>
      <c r="B49" s="856"/>
      <c r="C49" s="873" t="s">
        <v>802</v>
      </c>
      <c r="D49" s="864" t="s">
        <v>709</v>
      </c>
      <c r="E49" s="865"/>
      <c r="F49" s="866"/>
      <c r="G49" s="877">
        <v>12593</v>
      </c>
    </row>
    <row r="50" spans="1:7" ht="15" thickBot="1">
      <c r="A50" s="856"/>
      <c r="B50" s="856"/>
      <c r="C50" s="873" t="s">
        <v>803</v>
      </c>
      <c r="D50" s="864" t="s">
        <v>709</v>
      </c>
      <c r="E50" s="865"/>
      <c r="F50" s="866"/>
      <c r="G50" s="877">
        <v>5071</v>
      </c>
    </row>
    <row r="51" spans="1:7" ht="15" thickBot="1">
      <c r="A51" s="856"/>
      <c r="B51" s="856"/>
      <c r="C51" s="874" t="s">
        <v>809</v>
      </c>
      <c r="D51" s="864" t="s">
        <v>709</v>
      </c>
      <c r="E51" s="875"/>
      <c r="F51" s="875"/>
      <c r="G51" s="875">
        <v>22750</v>
      </c>
    </row>
    <row r="52" spans="1:7" ht="14.25">
      <c r="A52" s="856"/>
      <c r="B52" s="856"/>
      <c r="C52" s="873"/>
      <c r="D52" s="864"/>
      <c r="E52" s="71"/>
      <c r="F52" s="71"/>
      <c r="G52" s="71"/>
    </row>
    <row r="53" spans="1:7" ht="14.25">
      <c r="A53" s="856"/>
      <c r="B53" s="856"/>
      <c r="C53" s="874" t="s">
        <v>710</v>
      </c>
      <c r="D53" s="864"/>
      <c r="E53" s="71"/>
      <c r="F53" s="71"/>
      <c r="G53" s="71"/>
    </row>
    <row r="54" spans="1:7" ht="14.25">
      <c r="A54" s="856"/>
      <c r="B54" s="856"/>
      <c r="C54" s="873" t="s">
        <v>806</v>
      </c>
      <c r="D54" s="864" t="s">
        <v>709</v>
      </c>
      <c r="E54" s="865"/>
      <c r="F54" s="866"/>
      <c r="G54" s="877">
        <v>199</v>
      </c>
    </row>
    <row r="55" spans="1:7" ht="14.25">
      <c r="A55" s="856"/>
      <c r="B55" s="856"/>
      <c r="C55" s="873" t="s">
        <v>808</v>
      </c>
      <c r="D55" s="864" t="s">
        <v>709</v>
      </c>
      <c r="E55" s="865"/>
      <c r="F55" s="866"/>
      <c r="G55" s="877">
        <v>1721</v>
      </c>
    </row>
    <row r="56" spans="1:7" ht="14.25">
      <c r="A56" s="856"/>
      <c r="B56" s="856"/>
      <c r="C56" s="873" t="s">
        <v>802</v>
      </c>
      <c r="D56" s="864" t="s">
        <v>709</v>
      </c>
      <c r="E56" s="865"/>
      <c r="F56" s="866"/>
      <c r="G56" s="877">
        <v>13288</v>
      </c>
    </row>
    <row r="57" spans="1:7" ht="15" thickBot="1">
      <c r="A57" s="856"/>
      <c r="B57" s="856"/>
      <c r="C57" s="873" t="s">
        <v>803</v>
      </c>
      <c r="D57" s="864" t="s">
        <v>709</v>
      </c>
      <c r="E57" s="865"/>
      <c r="F57" s="866"/>
      <c r="G57" s="877">
        <v>32990</v>
      </c>
    </row>
    <row r="58" spans="1:7" ht="15" thickBot="1">
      <c r="A58" s="856"/>
      <c r="B58" s="856"/>
      <c r="C58" s="873" t="s">
        <v>809</v>
      </c>
      <c r="D58" s="864" t="s">
        <v>709</v>
      </c>
      <c r="E58" s="875"/>
      <c r="F58" s="875"/>
      <c r="G58" s="875">
        <v>48198</v>
      </c>
    </row>
    <row r="59" spans="1:7" ht="14.25">
      <c r="A59" s="856"/>
      <c r="B59" s="856"/>
      <c r="C59" s="873"/>
      <c r="D59" s="864"/>
      <c r="E59" s="71"/>
      <c r="F59" s="71"/>
      <c r="G59" s="71"/>
    </row>
    <row r="60" spans="1:7" ht="14.25">
      <c r="A60" s="856"/>
      <c r="B60" s="856"/>
      <c r="C60" s="874" t="s">
        <v>711</v>
      </c>
      <c r="D60" s="864"/>
      <c r="E60" s="71"/>
      <c r="F60" s="71"/>
      <c r="G60" s="71"/>
    </row>
    <row r="61" spans="1:7" ht="14.25">
      <c r="A61" s="856"/>
      <c r="B61" s="856"/>
      <c r="C61" s="873" t="s">
        <v>806</v>
      </c>
      <c r="D61" s="864" t="s">
        <v>709</v>
      </c>
      <c r="E61" s="877"/>
      <c r="F61" s="877"/>
      <c r="G61" s="877">
        <v>2583</v>
      </c>
    </row>
    <row r="62" spans="1:7" ht="14.25">
      <c r="A62" s="856"/>
      <c r="B62" s="856"/>
      <c r="C62" s="873" t="s">
        <v>808</v>
      </c>
      <c r="D62" s="864" t="s">
        <v>709</v>
      </c>
      <c r="E62" s="877"/>
      <c r="F62" s="877"/>
      <c r="G62" s="877">
        <v>4423</v>
      </c>
    </row>
    <row r="63" spans="1:7" ht="14.25">
      <c r="A63" s="856"/>
      <c r="B63" s="856"/>
      <c r="C63" s="873" t="s">
        <v>802</v>
      </c>
      <c r="D63" s="864" t="s">
        <v>709</v>
      </c>
      <c r="E63" s="877"/>
      <c r="F63" s="877"/>
      <c r="G63" s="877">
        <v>25881</v>
      </c>
    </row>
    <row r="64" spans="1:7" ht="15" thickBot="1">
      <c r="A64" s="856"/>
      <c r="B64" s="856"/>
      <c r="C64" s="873" t="s">
        <v>803</v>
      </c>
      <c r="D64" s="864" t="s">
        <v>709</v>
      </c>
      <c r="E64" s="877"/>
      <c r="F64" s="877"/>
      <c r="G64" s="877">
        <v>38061</v>
      </c>
    </row>
    <row r="65" spans="1:7" ht="15" thickBot="1">
      <c r="A65" s="856"/>
      <c r="B65" s="856"/>
      <c r="C65" s="874" t="s">
        <v>809</v>
      </c>
      <c r="D65" s="864" t="s">
        <v>709</v>
      </c>
      <c r="E65" s="875"/>
      <c r="F65" s="875"/>
      <c r="G65" s="875">
        <v>70948</v>
      </c>
    </row>
    <row r="66" spans="1:7" ht="14.25">
      <c r="A66" s="856"/>
      <c r="B66" s="856"/>
      <c r="C66" s="873"/>
      <c r="D66" s="864"/>
      <c r="E66" s="71"/>
      <c r="F66" s="71"/>
      <c r="G66" s="71"/>
    </row>
    <row r="67" spans="1:7" ht="14.25">
      <c r="A67" s="856"/>
      <c r="B67" s="856"/>
      <c r="C67" s="874" t="s">
        <v>712</v>
      </c>
      <c r="D67" s="864"/>
      <c r="E67" s="71"/>
      <c r="F67" s="71"/>
      <c r="G67" s="71"/>
    </row>
    <row r="68" spans="1:7" ht="14.25">
      <c r="A68" s="856"/>
      <c r="B68" s="856"/>
      <c r="C68" s="873" t="s">
        <v>806</v>
      </c>
      <c r="D68" s="864" t="s">
        <v>713</v>
      </c>
      <c r="E68" s="865"/>
      <c r="F68" s="866"/>
      <c r="G68" s="867">
        <v>80</v>
      </c>
    </row>
    <row r="69" spans="1:7" ht="14.25">
      <c r="A69" s="856"/>
      <c r="B69" s="856"/>
      <c r="C69" s="873" t="s">
        <v>616</v>
      </c>
      <c r="D69" s="864" t="s">
        <v>713</v>
      </c>
      <c r="E69" s="865"/>
      <c r="F69" s="866"/>
      <c r="G69" s="867">
        <v>340</v>
      </c>
    </row>
    <row r="70" spans="1:7" ht="14.25">
      <c r="A70" s="856"/>
      <c r="B70" s="856"/>
      <c r="C70" s="873" t="s">
        <v>617</v>
      </c>
      <c r="D70" s="864" t="s">
        <v>713</v>
      </c>
      <c r="E70" s="865"/>
      <c r="F70" s="866"/>
      <c r="G70" s="867">
        <v>0</v>
      </c>
    </row>
    <row r="71" spans="1:7" ht="14.25">
      <c r="A71" s="856"/>
      <c r="B71" s="856"/>
      <c r="C71" s="873" t="s">
        <v>618</v>
      </c>
      <c r="D71" s="864" t="s">
        <v>713</v>
      </c>
      <c r="E71" s="865"/>
      <c r="F71" s="866"/>
      <c r="G71" s="867">
        <v>19981</v>
      </c>
    </row>
    <row r="72" spans="1:7" ht="15" thickBot="1">
      <c r="A72" s="856"/>
      <c r="B72" s="856"/>
      <c r="C72" s="873" t="s">
        <v>619</v>
      </c>
      <c r="D72" s="864" t="s">
        <v>713</v>
      </c>
      <c r="E72" s="865"/>
      <c r="F72" s="866"/>
      <c r="G72" s="867">
        <v>22698</v>
      </c>
    </row>
    <row r="73" spans="1:7" ht="15" thickBot="1">
      <c r="A73" s="856"/>
      <c r="B73" s="856"/>
      <c r="C73" s="874" t="s">
        <v>809</v>
      </c>
      <c r="D73" s="864" t="s">
        <v>713</v>
      </c>
      <c r="E73" s="875"/>
      <c r="F73" s="875"/>
      <c r="G73" s="875">
        <v>43099</v>
      </c>
    </row>
    <row r="74" spans="1:7" ht="15.75" thickBot="1">
      <c r="A74" s="856"/>
      <c r="B74" s="856"/>
      <c r="C74" s="869"/>
      <c r="D74" s="868"/>
      <c r="E74" s="869"/>
      <c r="F74" s="870"/>
      <c r="G74" s="870"/>
    </row>
    <row r="75" spans="1:7" ht="14.25">
      <c r="A75" s="424"/>
      <c r="B75" s="424"/>
      <c r="C75" s="424"/>
      <c r="D75" s="424"/>
      <c r="E75" s="424"/>
      <c r="F75" s="424"/>
      <c r="G75" s="424"/>
    </row>
    <row r="76" spans="1:7" ht="14.25">
      <c r="A76" s="856"/>
      <c r="B76" s="856"/>
      <c r="C76" s="424"/>
      <c r="D76" s="424"/>
      <c r="E76" s="424"/>
      <c r="F76" s="424"/>
      <c r="G76" s="424"/>
    </row>
    <row r="77" spans="1:7" ht="14.25">
      <c r="A77" s="856"/>
      <c r="B77" s="856"/>
      <c r="C77" s="424"/>
      <c r="D77" s="424"/>
      <c r="E77" s="424"/>
      <c r="F77" s="424"/>
      <c r="G77" s="424"/>
    </row>
    <row r="78" spans="1:7" ht="14.25">
      <c r="A78" s="856"/>
      <c r="B78" s="856"/>
      <c r="C78" s="424"/>
      <c r="D78" s="424"/>
      <c r="E78" s="424"/>
      <c r="F78" s="424"/>
      <c r="G78" s="424"/>
    </row>
    <row r="79" spans="1:7" ht="14.25">
      <c r="A79" s="856"/>
      <c r="B79" s="856"/>
      <c r="C79" s="424"/>
      <c r="D79" s="424"/>
      <c r="E79" s="424"/>
      <c r="F79" s="424"/>
      <c r="G79" s="424"/>
    </row>
    <row r="80" spans="1:7" ht="14.25">
      <c r="A80" s="856"/>
      <c r="B80" s="856"/>
      <c r="C80" s="424"/>
      <c r="D80" s="424"/>
      <c r="E80" s="424"/>
      <c r="F80" s="424"/>
      <c r="G80" s="424"/>
    </row>
  </sheetData>
  <mergeCells count="2">
    <mergeCell ref="A5:C5"/>
    <mergeCell ref="E8:F8"/>
  </mergeCells>
  <phoneticPr fontId="0" type="noConversion"/>
  <hyperlinks>
    <hyperlink ref="F1" location="Inputs!A1" display="Index"/>
  </hyperlinks>
  <pageMargins left="0.53" right="0.52" top="0.59" bottom="0.41" header="0.23" footer="0.19"/>
  <pageSetup paperSize="9" orientation="landscape" horizontalDpi="4294967293" verticalDpi="4294967293"/>
  <headerFooter alignWithMargins="0">
    <oddHeader>&amp;C&amp;"Verdana,Regular"&amp;16&amp;F&amp;R&amp;G</oddHeader>
    <oddFooter>&amp;L&amp;D&amp;R&amp;6&amp;N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75" workbookViewId="0">
      <selection activeCell="B5" sqref="B5:B10"/>
    </sheetView>
  </sheetViews>
  <sheetFormatPr defaultColWidth="8.85546875" defaultRowHeight="12.75"/>
  <cols>
    <col min="1" max="2" width="44" customWidth="1"/>
    <col min="3" max="3" width="19.42578125" customWidth="1"/>
    <col min="4" max="4" width="14.42578125" customWidth="1"/>
    <col min="5" max="5" width="12.42578125" customWidth="1"/>
    <col min="6" max="6" width="14.28515625" customWidth="1"/>
    <col min="7" max="7" width="13.42578125" customWidth="1"/>
    <col min="8" max="8" width="8.85546875" customWidth="1"/>
    <col min="9" max="9" width="9.140625" customWidth="1"/>
  </cols>
  <sheetData>
    <row r="1" spans="1:8" s="1" customFormat="1">
      <c r="A1" s="5" t="s">
        <v>151</v>
      </c>
      <c r="B1" s="5"/>
      <c r="H1" s="294" t="s">
        <v>774</v>
      </c>
    </row>
    <row r="3" spans="1:8" ht="12.75" customHeight="1">
      <c r="A3" s="237" t="s">
        <v>191</v>
      </c>
      <c r="B3" s="1404"/>
      <c r="C3" s="1405" t="s">
        <v>22</v>
      </c>
      <c r="D3" s="1405"/>
      <c r="E3" s="1405"/>
      <c r="F3" s="1405"/>
      <c r="G3" s="1406"/>
    </row>
    <row r="4" spans="1:8">
      <c r="A4" s="243"/>
      <c r="B4" s="238" t="s">
        <v>549</v>
      </c>
      <c r="C4" s="238" t="s">
        <v>307</v>
      </c>
      <c r="D4" s="242" t="s">
        <v>61</v>
      </c>
      <c r="E4" s="238" t="s">
        <v>802</v>
      </c>
      <c r="F4" s="238" t="s">
        <v>808</v>
      </c>
      <c r="G4" s="248" t="s">
        <v>152</v>
      </c>
    </row>
    <row r="5" spans="1:8">
      <c r="A5" s="244" t="s">
        <v>201</v>
      </c>
      <c r="B5" s="267">
        <f>'WPD - Final Allocation'!K47</f>
        <v>0.223944503181047</v>
      </c>
      <c r="C5" s="267">
        <f>'WPD - Final Allocation'!J47</f>
        <v>0.24666775124993745</v>
      </c>
      <c r="D5" s="268">
        <f>'WPD - Final Allocation'!I47</f>
        <v>7.8595556024634902E-2</v>
      </c>
      <c r="E5" s="268">
        <f>'WPD - Final Allocation'!H47</f>
        <v>0.18879691418015843</v>
      </c>
      <c r="F5" s="268">
        <f>'WPD - Final Allocation'!F47</f>
        <v>0.26199527536422224</v>
      </c>
      <c r="G5" s="269" t="s">
        <v>195</v>
      </c>
    </row>
    <row r="6" spans="1:8">
      <c r="A6" s="244" t="s">
        <v>153</v>
      </c>
      <c r="B6" s="270">
        <f>'WPD - Final Allocation'!K46</f>
        <v>6.0228961772275519E-2</v>
      </c>
      <c r="C6" s="270">
        <f>'WPD - Final Allocation'!J46</f>
        <v>7.5734364440090088E-2</v>
      </c>
      <c r="D6" s="271">
        <f>'WPD - Final Allocation'!I46</f>
        <v>5.9749506838939877E-2</v>
      </c>
      <c r="E6" s="271">
        <f>'WPD - Final Allocation'!H46</f>
        <v>0.27202086792538993</v>
      </c>
      <c r="F6" s="271">
        <f>'WPD - Final Allocation'!F46</f>
        <v>0.53226629902330469</v>
      </c>
      <c r="G6" s="272" t="s">
        <v>195</v>
      </c>
    </row>
    <row r="7" spans="1:8">
      <c r="A7" s="245" t="s">
        <v>21</v>
      </c>
      <c r="B7" s="273">
        <f>'WPD - Final Allocation'!K45</f>
        <v>6.0228961772275519E-2</v>
      </c>
      <c r="C7" s="273">
        <f>'WPD - Final Allocation'!J45</f>
        <v>7.5734364440090088E-2</v>
      </c>
      <c r="D7" s="274">
        <f>'WPD - Final Allocation'!I45</f>
        <v>5.9749506838939877E-2</v>
      </c>
      <c r="E7" s="274">
        <f>'WPD - Final Allocation'!H45</f>
        <v>0.27202086792538993</v>
      </c>
      <c r="F7" s="274">
        <f>'WPD - Final Allocation'!F45</f>
        <v>0.53226629902330469</v>
      </c>
      <c r="G7" s="275" t="s">
        <v>195</v>
      </c>
    </row>
    <row r="8" spans="1:8">
      <c r="A8" s="246" t="s">
        <v>149</v>
      </c>
      <c r="B8" s="276">
        <f>'WPD - Final Allocation'!P50</f>
        <v>0.11516973718887487</v>
      </c>
      <c r="C8" s="276">
        <f>'WPD - Final Allocation'!O50</f>
        <v>0.13309735353145669</v>
      </c>
      <c r="D8" s="277">
        <f>'WPD - Final Allocation'!N50</f>
        <v>6.6073992265868187E-2</v>
      </c>
      <c r="E8" s="277">
        <f>'WPD - Final Allocation'!M50</f>
        <v>0.24409200721581503</v>
      </c>
      <c r="F8" s="277">
        <f>'WPD - Final Allocation'!L50</f>
        <v>0.44156690979798519</v>
      </c>
      <c r="G8" s="278" t="s">
        <v>195</v>
      </c>
    </row>
    <row r="9" spans="1:8" ht="38.25">
      <c r="A9" s="247" t="s">
        <v>105</v>
      </c>
      <c r="B9" s="266">
        <f>'WPD - Final Allocation'!T82</f>
        <v>0.13619568589585218</v>
      </c>
      <c r="C9" s="266">
        <f>'WPD - Final Allocation'!P82</f>
        <v>0.15739625528025014</v>
      </c>
      <c r="D9" s="279">
        <f>'WPD - Final Allocation'!O82</f>
        <v>7.8136782423746221E-2</v>
      </c>
      <c r="E9" s="279">
        <f>'WPD - Final Allocation'!N82</f>
        <v>0.19407538814035946</v>
      </c>
      <c r="F9" s="279">
        <f>'WPD - Final Allocation'!M82</f>
        <v>0.34295316099388756</v>
      </c>
      <c r="G9" s="280">
        <f>'WPD - Final Allocation'!Q82</f>
        <v>9.1242727265904447E-2</v>
      </c>
    </row>
    <row r="10" spans="1:8">
      <c r="A10" s="247" t="s">
        <v>146</v>
      </c>
      <c r="B10" s="289">
        <f>'Calc - WPD Opex Allocation'!AC48</f>
        <v>0.60076614174586374</v>
      </c>
      <c r="C10" s="289">
        <f>'Calc - WPD Opex Allocation'!AB48</f>
        <v>0.60076614174586374</v>
      </c>
      <c r="D10" s="290">
        <f>'Calc - WPD Opex Allocation'!AA48</f>
        <v>0.89547713119773154</v>
      </c>
      <c r="E10" s="290">
        <f>'Calc - WPD Opex Allocation'!Z48</f>
        <v>0.91817630948384332</v>
      </c>
      <c r="F10" s="290">
        <f>'Calc - WPD Opex Allocation'!Y48</f>
        <v>0.73814967115454633</v>
      </c>
      <c r="G10" s="291" t="s">
        <v>195</v>
      </c>
    </row>
    <row r="12" spans="1:8" ht="12" customHeight="1"/>
    <row r="22" ht="12" customHeight="1"/>
    <row r="31" ht="12" customHeight="1"/>
    <row r="40" ht="12" customHeight="1"/>
  </sheetData>
  <mergeCells count="1">
    <mergeCell ref="C3:G3"/>
  </mergeCells>
  <phoneticPr fontId="2"/>
  <hyperlinks>
    <hyperlink ref="H1" location="Inputs!A1" display="Index"/>
  </hyperlinks>
  <pageMargins left="0.70866141732283472" right="0.70866141732283472" top="0.74803149606299213" bottom="0.74803149606299213" header="0.31496062992125984" footer="0.31496062992125984"/>
  <pageSetup paperSize="9" scale="7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4"/>
  <sheetViews>
    <sheetView topLeftCell="H47" zoomScaleNormal="100" workbookViewId="0">
      <selection activeCell="S68" sqref="S68"/>
    </sheetView>
  </sheetViews>
  <sheetFormatPr defaultColWidth="8.85546875" defaultRowHeight="12.75"/>
  <cols>
    <col min="1" max="4" width="8.85546875" customWidth="1"/>
    <col min="5" max="5" width="18.7109375" customWidth="1"/>
    <col min="6" max="9" width="8.85546875" customWidth="1"/>
    <col min="10" max="10" width="12" customWidth="1"/>
    <col min="11" max="12" width="8.85546875" customWidth="1"/>
    <col min="13" max="16" width="12.85546875" customWidth="1"/>
    <col min="17" max="17" width="9.28515625" bestFit="1" customWidth="1"/>
    <col min="18" max="18" width="8.85546875" customWidth="1"/>
    <col min="19" max="19" width="9.28515625" bestFit="1" customWidth="1"/>
    <col min="20" max="20" width="10.42578125" bestFit="1" customWidth="1"/>
    <col min="21" max="41" width="8.85546875" customWidth="1"/>
    <col min="42" max="45" width="10.28515625" bestFit="1" customWidth="1"/>
    <col min="46" max="46" width="9.42578125" bestFit="1" customWidth="1"/>
  </cols>
  <sheetData>
    <row r="1" spans="1:50" s="1379" customFormat="1">
      <c r="A1" s="1379" t="s">
        <v>344</v>
      </c>
    </row>
    <row r="2" spans="1:50">
      <c r="B2" s="891" t="s">
        <v>774</v>
      </c>
    </row>
    <row r="3" spans="1:50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161"/>
      <c r="Q3" s="161"/>
      <c r="R3" s="161"/>
      <c r="S3" s="161"/>
      <c r="T3" s="16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</row>
    <row r="4" spans="1:50">
      <c r="A4" s="71"/>
      <c r="B4" s="71"/>
      <c r="C4" s="1380" t="s">
        <v>156</v>
      </c>
      <c r="D4" s="1380"/>
      <c r="E4" s="1380"/>
      <c r="F4" s="1380"/>
      <c r="G4" s="1380"/>
      <c r="H4" s="1380"/>
      <c r="I4" s="1380"/>
      <c r="J4" s="1380"/>
      <c r="K4" s="1380"/>
      <c r="L4" s="1380"/>
      <c r="M4" s="1380" t="s">
        <v>157</v>
      </c>
      <c r="N4" s="1380"/>
      <c r="O4" s="1380"/>
      <c r="P4" s="1380"/>
      <c r="Q4" s="1380"/>
      <c r="R4" s="1380"/>
      <c r="S4" s="1380"/>
      <c r="T4" s="1380"/>
      <c r="U4" s="1380"/>
      <c r="V4" s="71"/>
      <c r="W4" s="71"/>
      <c r="X4" s="71"/>
      <c r="Y4" s="71"/>
      <c r="Z4" s="71"/>
      <c r="AA4" s="71"/>
      <c r="AB4" s="71"/>
      <c r="AC4" s="71"/>
      <c r="AD4" s="71"/>
    </row>
    <row r="5" spans="1:50">
      <c r="A5" s="71"/>
      <c r="B5" s="71"/>
      <c r="C5" s="1380"/>
      <c r="D5" s="1380"/>
      <c r="E5" s="1380"/>
      <c r="F5" s="1380"/>
      <c r="G5" s="1380"/>
      <c r="H5" s="1380"/>
      <c r="I5" s="1380"/>
      <c r="J5" s="1380"/>
      <c r="K5" s="1380"/>
      <c r="L5" s="1380"/>
      <c r="M5" s="1380"/>
      <c r="N5" s="1380"/>
      <c r="O5" s="1380"/>
      <c r="P5" s="1380"/>
      <c r="Q5" s="1380"/>
      <c r="R5" s="1380"/>
      <c r="S5" s="1380"/>
      <c r="T5" s="1380"/>
      <c r="U5" s="1380"/>
      <c r="V5" s="71"/>
      <c r="W5" s="71"/>
      <c r="X5" s="71"/>
      <c r="Y5" s="71"/>
      <c r="Z5" s="71"/>
      <c r="AA5" s="71"/>
      <c r="AB5" s="71"/>
      <c r="AC5" s="71"/>
      <c r="AD5" s="71"/>
    </row>
    <row r="6" spans="1:50">
      <c r="A6" s="71"/>
      <c r="B6" s="71"/>
      <c r="C6" s="1380"/>
      <c r="D6" s="1380"/>
      <c r="E6" s="1380" t="s">
        <v>560</v>
      </c>
      <c r="F6" s="1380" t="s">
        <v>561</v>
      </c>
      <c r="G6" s="1380"/>
      <c r="H6" s="1380" t="s">
        <v>557</v>
      </c>
      <c r="I6" s="1380" t="s">
        <v>562</v>
      </c>
      <c r="J6" s="1380" t="s">
        <v>563</v>
      </c>
      <c r="K6" s="1380"/>
      <c r="L6" s="1380"/>
      <c r="M6" s="1380"/>
      <c r="N6" s="1380"/>
      <c r="O6" s="1380"/>
      <c r="P6" s="1380" t="s">
        <v>560</v>
      </c>
      <c r="Q6" s="1380" t="s">
        <v>561</v>
      </c>
      <c r="R6" s="1380" t="s">
        <v>557</v>
      </c>
      <c r="S6" s="1380" t="s">
        <v>562</v>
      </c>
      <c r="T6" s="1380" t="s">
        <v>563</v>
      </c>
      <c r="U6" s="1380"/>
      <c r="V6" s="71"/>
      <c r="W6" s="71"/>
      <c r="X6" s="71"/>
      <c r="Y6" s="71"/>
      <c r="Z6" s="71"/>
      <c r="AA6" s="71"/>
      <c r="AB6" s="71"/>
      <c r="AC6" s="71"/>
      <c r="AD6" s="71"/>
    </row>
    <row r="7" spans="1:50">
      <c r="A7" s="71"/>
      <c r="B7" s="71"/>
      <c r="C7" s="1380"/>
      <c r="D7" s="1380"/>
      <c r="E7" s="1381"/>
      <c r="F7" s="1381"/>
      <c r="G7" s="1381"/>
      <c r="H7" s="1381"/>
      <c r="I7" s="1381"/>
      <c r="J7" s="1381"/>
      <c r="K7" s="1381"/>
      <c r="L7" s="1380"/>
      <c r="M7" s="1380" t="s">
        <v>282</v>
      </c>
      <c r="N7" s="1380"/>
      <c r="O7" s="1380"/>
      <c r="P7" s="1382">
        <f>'Allowed revenue -DPCR4'!D3</f>
        <v>947.9</v>
      </c>
      <c r="Q7" s="1382">
        <f>'Allowed revenue -DPCR4'!E3</f>
        <v>989.2</v>
      </c>
      <c r="R7" s="1382">
        <f>'Allowed revenue -DPCR4'!F3</f>
        <v>1030.2</v>
      </c>
      <c r="S7" s="1382">
        <f>'Allowed revenue -DPCR4'!G3</f>
        <v>1064.8</v>
      </c>
      <c r="T7" s="1382">
        <f>'Allowed revenue -DPCR4'!H3</f>
        <v>1093.2</v>
      </c>
      <c r="U7" s="1380"/>
      <c r="V7" s="71"/>
      <c r="W7" s="71"/>
      <c r="X7" s="71"/>
      <c r="Y7" s="71"/>
      <c r="Z7" s="71"/>
      <c r="AA7" s="71"/>
      <c r="AB7" s="71"/>
      <c r="AC7" s="71"/>
      <c r="AD7" s="71"/>
    </row>
    <row r="8" spans="1:50">
      <c r="A8" s="71"/>
      <c r="B8" s="71"/>
      <c r="C8" s="1380" t="s">
        <v>283</v>
      </c>
      <c r="D8" s="1380"/>
      <c r="E8" s="1383">
        <f>P33</f>
        <v>241.23880850362539</v>
      </c>
      <c r="F8" s="1383">
        <f>Q33</f>
        <v>243.40995778015801</v>
      </c>
      <c r="G8" s="1383"/>
      <c r="H8" s="1383">
        <f>R33</f>
        <v>246.0635846736979</v>
      </c>
      <c r="I8" s="1383">
        <f>S33</f>
        <v>249.19968918424502</v>
      </c>
      <c r="J8" s="1383">
        <f>T33</f>
        <v>251.85331607778491</v>
      </c>
      <c r="K8" s="1381"/>
      <c r="L8" s="1380"/>
      <c r="M8" s="1380" t="s">
        <v>284</v>
      </c>
      <c r="N8" s="1380"/>
      <c r="O8" s="1380"/>
      <c r="P8" s="1382">
        <f>'Allowed revenue -DPCR4'!D4</f>
        <v>117.8</v>
      </c>
      <c r="Q8" s="1382">
        <f>'Allowed revenue -DPCR4'!E4</f>
        <v>117.5</v>
      </c>
      <c r="R8" s="1382">
        <f>'Allowed revenue -DPCR4'!F4</f>
        <v>117</v>
      </c>
      <c r="S8" s="1382">
        <f>'Allowed revenue -DPCR4'!G4</f>
        <v>116.6</v>
      </c>
      <c r="T8" s="1382">
        <f>'Allowed revenue -DPCR4'!H4</f>
        <v>116.4</v>
      </c>
      <c r="U8" s="1381"/>
      <c r="V8" s="71"/>
      <c r="W8" s="71"/>
      <c r="X8" s="71"/>
      <c r="Y8" s="71"/>
      <c r="Z8" s="71"/>
      <c r="AA8" s="71"/>
      <c r="AB8" s="71"/>
      <c r="AC8" s="71"/>
      <c r="AD8" s="71"/>
    </row>
    <row r="9" spans="1:50">
      <c r="A9" s="71"/>
      <c r="B9" s="71"/>
      <c r="C9" s="1380"/>
      <c r="D9" s="1380"/>
      <c r="E9" s="1384"/>
      <c r="F9" s="1384"/>
      <c r="G9" s="1384"/>
      <c r="H9" s="1384"/>
      <c r="I9" s="1384"/>
      <c r="J9" s="1384"/>
      <c r="K9" s="1380"/>
      <c r="L9" s="1380"/>
      <c r="M9" s="1380" t="s">
        <v>142</v>
      </c>
      <c r="N9" s="1380"/>
      <c r="O9" s="1380"/>
      <c r="P9" s="1382">
        <f>'Allowed revenue -DPCR4'!D5</f>
        <v>-76.5</v>
      </c>
      <c r="Q9" s="1382">
        <f>'Allowed revenue -DPCR4'!E5</f>
        <v>-76.5</v>
      </c>
      <c r="R9" s="1382">
        <f>'Allowed revenue -DPCR4'!F5</f>
        <v>-82.4</v>
      </c>
      <c r="S9" s="1382">
        <f>'Allowed revenue -DPCR4'!G5</f>
        <v>-88.2</v>
      </c>
      <c r="T9" s="1382">
        <f>'Allowed revenue -DPCR4'!H5</f>
        <v>-94.1</v>
      </c>
      <c r="U9" s="1381"/>
      <c r="V9" s="71"/>
      <c r="W9" s="71"/>
      <c r="X9" s="71"/>
      <c r="Y9" s="71"/>
      <c r="Z9" s="71"/>
      <c r="AA9" s="71"/>
      <c r="AB9" s="71"/>
      <c r="AC9" s="71"/>
      <c r="AD9" s="71"/>
    </row>
    <row r="10" spans="1:50">
      <c r="A10" s="71"/>
      <c r="B10" s="71"/>
      <c r="C10" s="1380" t="s">
        <v>43</v>
      </c>
      <c r="D10" s="1380"/>
      <c r="E10" s="1384">
        <f>P14+(1-0.577)*P16</f>
        <v>80.698999999999998</v>
      </c>
      <c r="F10" s="1384">
        <f>Q14+(1-0.577)*Q16</f>
        <v>83.24130000000001</v>
      </c>
      <c r="G10" s="1384"/>
      <c r="H10" s="1384">
        <f>R14+(1-0.577)*R16</f>
        <v>83.74130000000001</v>
      </c>
      <c r="I10" s="1384">
        <f>S14+(1-0.577)*S16</f>
        <v>82.441300000000012</v>
      </c>
      <c r="J10" s="1384">
        <f>T14+(1-0.577)*T16</f>
        <v>81.74130000000001</v>
      </c>
      <c r="K10" s="1380"/>
      <c r="L10" s="1380"/>
      <c r="M10" s="1380" t="s">
        <v>44</v>
      </c>
      <c r="N10" s="1380"/>
      <c r="O10" s="1380"/>
      <c r="P10" s="1382">
        <f>'Allowed revenue -DPCR4'!D6</f>
        <v>989.2</v>
      </c>
      <c r="Q10" s="1382">
        <f>'Allowed revenue -DPCR4'!E6</f>
        <v>1030.2</v>
      </c>
      <c r="R10" s="1382">
        <f>'Allowed revenue -DPCR4'!F6</f>
        <v>1064.8</v>
      </c>
      <c r="S10" s="1382">
        <f>'Allowed revenue -DPCR4'!G6</f>
        <v>1093.2</v>
      </c>
      <c r="T10" s="1382">
        <f>'Allowed revenue -DPCR4'!H6</f>
        <v>1115.5999999999999</v>
      </c>
      <c r="U10" s="1380"/>
      <c r="V10" s="71"/>
      <c r="W10" s="71"/>
      <c r="X10" s="71"/>
      <c r="Y10" s="71"/>
      <c r="Z10" s="71"/>
      <c r="AA10" s="71"/>
      <c r="AB10" s="71"/>
      <c r="AC10" s="71"/>
      <c r="AD10" s="71"/>
    </row>
    <row r="11" spans="1:50">
      <c r="A11" s="71"/>
      <c r="B11" s="71"/>
      <c r="C11" s="1380" t="s">
        <v>47</v>
      </c>
      <c r="D11" s="1380"/>
      <c r="E11" s="1383" t="str">
        <f>P20</f>
        <v/>
      </c>
      <c r="F11" s="1383" t="str">
        <f>Q20</f>
        <v/>
      </c>
      <c r="G11" s="1383" t="str">
        <f>R20</f>
        <v/>
      </c>
      <c r="H11" s="1383" t="str">
        <f>R20</f>
        <v/>
      </c>
      <c r="I11" s="1383" t="str">
        <f>S20</f>
        <v/>
      </c>
      <c r="J11" s="1383" t="str">
        <f>T20</f>
        <v/>
      </c>
      <c r="K11" s="1380"/>
      <c r="L11" s="1380"/>
      <c r="M11" s="1380" t="s">
        <v>48</v>
      </c>
      <c r="N11" s="1380"/>
      <c r="O11" s="1380"/>
      <c r="P11" s="1382">
        <f>'Allowed revenue -DPCR4'!D7</f>
        <v>947.9</v>
      </c>
      <c r="Q11" s="1382"/>
      <c r="R11" s="1382">
        <f>'Allowed revenue -DPCR4'!F7</f>
        <v>0</v>
      </c>
      <c r="S11" s="1382"/>
      <c r="T11" s="1382">
        <f>'Allowed revenue -DPCR4'!H7</f>
        <v>851.7</v>
      </c>
      <c r="U11" s="1384"/>
      <c r="V11" s="71"/>
      <c r="W11" s="71"/>
      <c r="X11" s="71"/>
      <c r="Y11" s="71"/>
      <c r="Z11" s="71"/>
      <c r="AA11" s="71"/>
      <c r="AB11" s="71"/>
      <c r="AC11" s="71"/>
      <c r="AD11" s="71"/>
    </row>
    <row r="12" spans="1:50">
      <c r="A12" s="71"/>
      <c r="B12" s="71"/>
      <c r="C12" s="1380" t="s">
        <v>49</v>
      </c>
      <c r="D12" s="1380"/>
      <c r="E12" s="1383">
        <f>P21</f>
        <v>1.5</v>
      </c>
      <c r="F12" s="1383"/>
      <c r="G12" s="1383"/>
      <c r="H12" s="1383"/>
      <c r="I12" s="1383"/>
      <c r="J12" s="1383"/>
      <c r="K12" s="1381"/>
      <c r="L12" s="1380"/>
      <c r="M12" s="1380" t="s">
        <v>50</v>
      </c>
      <c r="N12" s="1380"/>
      <c r="O12" s="1380"/>
      <c r="P12" s="1382"/>
      <c r="Q12" s="1382">
        <f>'Allowed revenue -DPCR4'!E8</f>
        <v>0</v>
      </c>
      <c r="R12" s="1382"/>
      <c r="S12" s="1382"/>
      <c r="T12" s="1382">
        <f>'Allowed revenue -DPCR4'!H8</f>
        <v>96.2</v>
      </c>
      <c r="U12" s="1384"/>
      <c r="V12" s="71"/>
      <c r="W12" s="71"/>
      <c r="X12" s="71"/>
      <c r="Y12" s="71"/>
      <c r="Z12" s="71"/>
      <c r="AA12" s="71"/>
      <c r="AB12" s="71"/>
      <c r="AC12" s="71"/>
      <c r="AD12" s="71"/>
    </row>
    <row r="13" spans="1:50">
      <c r="A13" s="71"/>
      <c r="B13" s="71"/>
      <c r="C13" s="1380" t="s">
        <v>52</v>
      </c>
      <c r="D13" s="1380"/>
      <c r="E13" s="1384">
        <f>SUM(E10:E12)</f>
        <v>82.198999999999998</v>
      </c>
      <c r="F13" s="1384">
        <f>SUM(F10:F12)</f>
        <v>83.24130000000001</v>
      </c>
      <c r="G13" s="1384"/>
      <c r="H13" s="1384">
        <f>SUM(H10:H12)</f>
        <v>83.74130000000001</v>
      </c>
      <c r="I13" s="1384">
        <f>SUM(I10:I12)</f>
        <v>82.441300000000012</v>
      </c>
      <c r="J13" s="1384">
        <f>SUM(J10:J12)</f>
        <v>81.74130000000001</v>
      </c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71"/>
      <c r="W13" s="71"/>
      <c r="X13" s="71"/>
      <c r="Y13" s="71"/>
      <c r="Z13" s="71"/>
      <c r="AA13" s="71"/>
      <c r="AB13" s="71"/>
      <c r="AC13" s="71"/>
      <c r="AD13" s="71"/>
    </row>
    <row r="14" spans="1:50">
      <c r="A14" s="71"/>
      <c r="B14" s="71"/>
      <c r="C14" s="1380"/>
      <c r="D14" s="1380"/>
      <c r="E14" s="1384"/>
      <c r="F14" s="1384"/>
      <c r="G14" s="1384"/>
      <c r="H14" s="1384"/>
      <c r="I14" s="1384"/>
      <c r="J14" s="1384"/>
      <c r="K14" s="1380"/>
      <c r="L14" s="1380"/>
      <c r="M14" s="1380" t="s">
        <v>10</v>
      </c>
      <c r="N14" s="1380"/>
      <c r="O14" s="1380"/>
      <c r="P14" s="1381">
        <f>'Allowed revenue -DPCR4'!D10</f>
        <v>75.2</v>
      </c>
      <c r="Q14" s="1381">
        <f>'Allowed revenue -DPCR4'!E10</f>
        <v>77.7</v>
      </c>
      <c r="R14" s="1381">
        <f>'Allowed revenue -DPCR4'!F10</f>
        <v>78.2</v>
      </c>
      <c r="S14" s="1381">
        <f>'Allowed revenue -DPCR4'!G10</f>
        <v>76.900000000000006</v>
      </c>
      <c r="T14" s="1381">
        <f>'Allowed revenue -DPCR4'!H10</f>
        <v>76.2</v>
      </c>
      <c r="U14" s="1381"/>
      <c r="V14" s="71"/>
      <c r="W14" s="71"/>
      <c r="X14" s="71"/>
      <c r="Y14" s="71"/>
      <c r="Z14" s="71"/>
      <c r="AA14" s="71"/>
      <c r="AB14" s="71"/>
      <c r="AC14" s="71"/>
      <c r="AD14" s="71"/>
    </row>
    <row r="15" spans="1:50">
      <c r="A15" s="71"/>
      <c r="B15" s="71"/>
      <c r="C15" s="1380" t="s">
        <v>11</v>
      </c>
      <c r="D15" s="1380"/>
      <c r="E15" s="1384"/>
      <c r="F15" s="1384"/>
      <c r="G15" s="1384"/>
      <c r="H15" s="1384"/>
      <c r="I15" s="1384"/>
      <c r="J15" s="1384"/>
      <c r="K15" s="1380"/>
      <c r="L15" s="1380"/>
      <c r="M15" s="1380" t="s">
        <v>12</v>
      </c>
      <c r="N15" s="1380"/>
      <c r="O15" s="1380"/>
      <c r="P15" s="1381">
        <f>'Allowed revenue -DPCR4'!D11</f>
        <v>110.3</v>
      </c>
      <c r="Q15" s="1381">
        <f>'Allowed revenue -DPCR4'!E11</f>
        <v>109.9</v>
      </c>
      <c r="R15" s="1381">
        <f>'Allowed revenue -DPCR4'!F11</f>
        <v>109.4</v>
      </c>
      <c r="S15" s="1381">
        <f>'Allowed revenue -DPCR4'!G11</f>
        <v>109</v>
      </c>
      <c r="T15" s="1381">
        <f>'Allowed revenue -DPCR4'!H11</f>
        <v>108.8</v>
      </c>
      <c r="U15" s="1381"/>
      <c r="V15" s="71"/>
      <c r="W15" s="71"/>
      <c r="X15" s="71"/>
      <c r="Y15" s="71"/>
      <c r="Z15" s="71"/>
      <c r="AA15" s="71"/>
      <c r="AB15" s="71"/>
      <c r="AC15" s="71"/>
      <c r="AD15" s="71"/>
    </row>
    <row r="16" spans="1:50">
      <c r="A16" s="71"/>
      <c r="B16" s="71"/>
      <c r="C16" s="1380" t="s">
        <v>142</v>
      </c>
      <c r="D16" s="1385"/>
      <c r="E16" s="1384">
        <f>-P9</f>
        <v>76.5</v>
      </c>
      <c r="F16" s="1384">
        <f>-Q9</f>
        <v>76.5</v>
      </c>
      <c r="G16" s="1384"/>
      <c r="H16" s="1384">
        <f>-R9</f>
        <v>82.4</v>
      </c>
      <c r="I16" s="1384">
        <f>-S9</f>
        <v>88.2</v>
      </c>
      <c r="J16" s="1384">
        <f>-T9</f>
        <v>94.1</v>
      </c>
      <c r="K16" s="1386"/>
      <c r="L16" s="1380"/>
      <c r="M16" s="1380" t="s">
        <v>13</v>
      </c>
      <c r="N16" s="1380"/>
      <c r="O16" s="1380"/>
      <c r="P16" s="1381">
        <f>'Allowed revenue -DPCR4'!D12</f>
        <v>13</v>
      </c>
      <c r="Q16" s="1381">
        <f>'Allowed revenue -DPCR4'!E12</f>
        <v>13.1</v>
      </c>
      <c r="R16" s="1381">
        <f>'Allowed revenue -DPCR4'!F12</f>
        <v>13.1</v>
      </c>
      <c r="S16" s="1381">
        <f>'Allowed revenue -DPCR4'!G12</f>
        <v>13.1</v>
      </c>
      <c r="T16" s="1381">
        <f>'Allowed revenue -DPCR4'!H12</f>
        <v>13.1</v>
      </c>
      <c r="U16" s="1381"/>
      <c r="V16" s="71"/>
      <c r="W16" s="71"/>
      <c r="X16" s="71"/>
      <c r="Y16" s="71"/>
      <c r="Z16" s="71"/>
      <c r="AA16" s="71"/>
      <c r="AB16" s="71"/>
      <c r="AC16" s="71"/>
      <c r="AD16" s="71"/>
    </row>
    <row r="17" spans="1:48">
      <c r="A17" s="71"/>
      <c r="B17" s="71"/>
      <c r="C17" s="1380" t="s">
        <v>14</v>
      </c>
      <c r="D17" s="1380"/>
      <c r="E17" s="1384">
        <f t="shared" ref="E17:F19" si="0">P17</f>
        <v>27.2</v>
      </c>
      <c r="F17" s="1384">
        <f t="shared" si="0"/>
        <v>26.3</v>
      </c>
      <c r="G17" s="1384"/>
      <c r="H17" s="1384">
        <f t="shared" ref="H17:J19" si="1">R17</f>
        <v>26.4</v>
      </c>
      <c r="I17" s="1384">
        <f t="shared" si="1"/>
        <v>26.8</v>
      </c>
      <c r="J17" s="1384">
        <f t="shared" si="1"/>
        <v>26.8</v>
      </c>
      <c r="K17" s="1380"/>
      <c r="L17" s="1380"/>
      <c r="M17" s="1380" t="s">
        <v>14</v>
      </c>
      <c r="N17" s="1380"/>
      <c r="O17" s="1380"/>
      <c r="P17" s="1381">
        <f>'Allowed revenue -DPCR4'!D13</f>
        <v>27.2</v>
      </c>
      <c r="Q17" s="1381">
        <f>'Allowed revenue -DPCR4'!E13</f>
        <v>26.3</v>
      </c>
      <c r="R17" s="1381">
        <f>'Allowed revenue -DPCR4'!F13</f>
        <v>26.4</v>
      </c>
      <c r="S17" s="1381">
        <f>'Allowed revenue -DPCR4'!G13</f>
        <v>26.8</v>
      </c>
      <c r="T17" s="1381">
        <f>'Allowed revenue -DPCR4'!H13</f>
        <v>26.8</v>
      </c>
      <c r="U17" s="1381"/>
      <c r="V17" s="71"/>
      <c r="W17" s="71"/>
      <c r="X17" s="71"/>
      <c r="Y17" s="71"/>
      <c r="Z17" s="71"/>
      <c r="AA17" s="71"/>
      <c r="AB17" s="71"/>
      <c r="AC17" s="71"/>
      <c r="AD17" s="71"/>
    </row>
    <row r="18" spans="1:48">
      <c r="A18" s="71"/>
      <c r="B18" s="71"/>
      <c r="C18" s="1380" t="s">
        <v>16</v>
      </c>
      <c r="D18" s="1380"/>
      <c r="E18" s="1383">
        <f t="shared" si="0"/>
        <v>-0.8</v>
      </c>
      <c r="F18" s="1383">
        <f t="shared" si="0"/>
        <v>0.6</v>
      </c>
      <c r="G18" s="1383"/>
      <c r="H18" s="1383">
        <f t="shared" si="1"/>
        <v>-0.6</v>
      </c>
      <c r="I18" s="1383">
        <f t="shared" si="1"/>
        <v>-0.6</v>
      </c>
      <c r="J18" s="1383">
        <f t="shared" si="1"/>
        <v>-0.2</v>
      </c>
      <c r="K18" s="1381"/>
      <c r="L18" s="1380"/>
      <c r="M18" s="1380" t="s">
        <v>17</v>
      </c>
      <c r="N18" s="1380"/>
      <c r="O18" s="1380"/>
      <c r="P18" s="1381">
        <f>'Allowed revenue -DPCR4'!D14</f>
        <v>-0.8</v>
      </c>
      <c r="Q18" s="1381">
        <f>'Allowed revenue -DPCR4'!E14</f>
        <v>0.6</v>
      </c>
      <c r="R18" s="1381">
        <f>'Allowed revenue -DPCR4'!F14</f>
        <v>-0.6</v>
      </c>
      <c r="S18" s="1381">
        <f>'Allowed revenue -DPCR4'!G14</f>
        <v>-0.6</v>
      </c>
      <c r="T18" s="1381">
        <f>'Allowed revenue -DPCR4'!H14</f>
        <v>-0.2</v>
      </c>
      <c r="U18" s="1381"/>
      <c r="V18" s="71"/>
      <c r="W18" s="71"/>
      <c r="X18" s="71"/>
      <c r="Y18" s="71"/>
      <c r="Z18" s="71"/>
      <c r="AA18" s="71"/>
      <c r="AB18" s="71"/>
      <c r="AC18" s="71"/>
      <c r="AD18" s="71"/>
    </row>
    <row r="19" spans="1:48">
      <c r="A19" s="71"/>
      <c r="B19" s="71"/>
      <c r="C19" s="1380" t="s">
        <v>18</v>
      </c>
      <c r="D19" s="1380"/>
      <c r="E19" s="1383">
        <f t="shared" si="0"/>
        <v>1.4</v>
      </c>
      <c r="F19" s="1383">
        <f t="shared" si="0"/>
        <v>1.4</v>
      </c>
      <c r="G19" s="1383"/>
      <c r="H19" s="1383">
        <f t="shared" si="1"/>
        <v>1.5</v>
      </c>
      <c r="I19" s="1383">
        <f t="shared" si="1"/>
        <v>1.5</v>
      </c>
      <c r="J19" s="1383">
        <f t="shared" si="1"/>
        <v>1.6</v>
      </c>
      <c r="K19" s="1386"/>
      <c r="L19" s="1380"/>
      <c r="M19" s="1380" t="s">
        <v>19</v>
      </c>
      <c r="N19" s="1380"/>
      <c r="O19" s="1380"/>
      <c r="P19" s="1381">
        <f>'Allowed revenue -DPCR4'!D15</f>
        <v>1.4</v>
      </c>
      <c r="Q19" s="1381">
        <f>'Allowed revenue -DPCR4'!E15</f>
        <v>1.4</v>
      </c>
      <c r="R19" s="1381">
        <f>'Allowed revenue -DPCR4'!F15</f>
        <v>1.5</v>
      </c>
      <c r="S19" s="1381">
        <f>'Allowed revenue -DPCR4'!G15</f>
        <v>1.5</v>
      </c>
      <c r="T19" s="1381">
        <f>'Allowed revenue -DPCR4'!H15</f>
        <v>1.6</v>
      </c>
      <c r="U19" s="1381"/>
      <c r="V19" s="71"/>
      <c r="W19" s="71"/>
      <c r="X19" s="71"/>
      <c r="Y19" s="71"/>
      <c r="Z19" s="71"/>
      <c r="AA19" s="71"/>
      <c r="AB19" s="71"/>
      <c r="AC19" s="71"/>
      <c r="AD19" s="71"/>
    </row>
    <row r="20" spans="1:48">
      <c r="A20" s="71"/>
      <c r="B20" s="71"/>
      <c r="C20" s="1380" t="s">
        <v>21</v>
      </c>
      <c r="D20" s="1386"/>
      <c r="E20" s="1384">
        <f>E8-E13-E16-E17-E18-E19</f>
        <v>54.739808503625405</v>
      </c>
      <c r="F20" s="1384">
        <f>F8-F13-F16-F17-F18-F19</f>
        <v>55.368657780158017</v>
      </c>
      <c r="G20" s="1384"/>
      <c r="H20" s="1384">
        <f>H8-H13-H16-H17-H18-H19</f>
        <v>52.622284673697877</v>
      </c>
      <c r="I20" s="1384">
        <f>I8-I13-I16-I17-I18-I19</f>
        <v>50.858389184245006</v>
      </c>
      <c r="J20" s="1384">
        <f>J8-J13-J16-J17-J18-J19</f>
        <v>47.812016077784925</v>
      </c>
      <c r="K20" s="1386"/>
      <c r="L20" s="1380"/>
      <c r="M20" s="1380" t="s">
        <v>77</v>
      </c>
      <c r="N20" s="1380"/>
      <c r="O20" s="1380"/>
      <c r="P20" s="1382" t="str">
        <f>IF(ISNUMBER('Allowed revenue -DPCR4'!D16+'Allowed revenue -DPCR4'!D17),'Allowed revenue -DPCR4'!D16+'Allowed revenue -DPCR4'!D17,"")</f>
        <v/>
      </c>
      <c r="Q20" s="1382" t="str">
        <f>IF(ISNUMBER('Allowed revenue -DPCR4'!E16+'Allowed revenue -DPCR4'!E17),'Allowed revenue -DPCR4'!E16+'Allowed revenue -DPCR4'!E17,"")</f>
        <v/>
      </c>
      <c r="R20" s="1382" t="str">
        <f>IF(ISNUMBER('Allowed revenue -DPCR4'!F16+'Allowed revenue -DPCR4'!F17),'Allowed revenue -DPCR4'!F16+'Allowed revenue -DPCR4'!F17,"")</f>
        <v/>
      </c>
      <c r="S20" s="1382" t="str">
        <f>IF(ISNUMBER('Allowed revenue -DPCR4'!G16+'Allowed revenue -DPCR4'!G17),'Allowed revenue -DPCR4'!G16+'Allowed revenue -DPCR4'!G17,"")</f>
        <v/>
      </c>
      <c r="T20" s="1382" t="str">
        <f>IF(ISNUMBER('Allowed revenue -DPCR4'!H16+'Allowed revenue -DPCR4'!H17),'Allowed revenue -DPCR4'!H16+'Allowed revenue -DPCR4'!H17,"")</f>
        <v/>
      </c>
      <c r="U20" s="1381"/>
      <c r="V20" s="71"/>
      <c r="W20" s="71"/>
      <c r="X20" s="71"/>
      <c r="Y20" s="71"/>
      <c r="Z20" s="71"/>
      <c r="AA20" s="71"/>
      <c r="AB20" s="71"/>
      <c r="AC20" s="71"/>
      <c r="AD20" s="71"/>
    </row>
    <row r="21" spans="1:48">
      <c r="A21" s="71"/>
      <c r="B21" s="71"/>
      <c r="C21" s="1380" t="s">
        <v>176</v>
      </c>
      <c r="D21" s="1380"/>
      <c r="E21" s="1384">
        <f>SUM(E16:E20)</f>
        <v>159.03980850362541</v>
      </c>
      <c r="F21" s="1384">
        <f>SUM(F16:F20)</f>
        <v>160.16865778015801</v>
      </c>
      <c r="G21" s="1384"/>
      <c r="H21" s="1384">
        <f>SUM(H16:H20)</f>
        <v>162.32228467369788</v>
      </c>
      <c r="I21" s="1384">
        <f>SUM(I16:I20)</f>
        <v>166.758389184245</v>
      </c>
      <c r="J21" s="1384">
        <f>SUM(J16:J20)</f>
        <v>170.11201607778492</v>
      </c>
      <c r="K21" s="1380"/>
      <c r="L21" s="1380"/>
      <c r="M21" s="1380" t="s">
        <v>49</v>
      </c>
      <c r="N21" s="1380"/>
      <c r="O21" s="1380"/>
      <c r="P21" s="1381">
        <f>'Allowed revenue -DPCR4'!D18</f>
        <v>1.5</v>
      </c>
      <c r="Q21" s="1381" t="str">
        <f>'Allowed revenue -DPCR4'!E18</f>
        <v>-</v>
      </c>
      <c r="R21" s="1381" t="str">
        <f>'Allowed revenue -DPCR4'!F18</f>
        <v>-</v>
      </c>
      <c r="S21" s="1381" t="str">
        <f>'Allowed revenue -DPCR4'!G18</f>
        <v>-</v>
      </c>
      <c r="T21" s="1381" t="str">
        <f>'Allowed revenue -DPCR4'!H18</f>
        <v>-</v>
      </c>
      <c r="U21" s="1381"/>
      <c r="V21" s="71"/>
      <c r="W21" s="71"/>
      <c r="X21" s="71"/>
      <c r="Y21" s="71"/>
      <c r="Z21" s="71"/>
      <c r="AA21" s="71"/>
      <c r="AB21" s="71"/>
      <c r="AC21" s="71"/>
      <c r="AD21" s="71"/>
    </row>
    <row r="22" spans="1:48">
      <c r="A22" s="71"/>
      <c r="B22" s="71"/>
      <c r="C22" s="1387" t="s">
        <v>177</v>
      </c>
      <c r="D22" s="1380"/>
      <c r="E22" s="1384">
        <f>E21-E16</f>
        <v>82.539808503625409</v>
      </c>
      <c r="F22" s="1384">
        <f>F21-F16</f>
        <v>83.668657780158014</v>
      </c>
      <c r="G22" s="1384"/>
      <c r="H22" s="1384">
        <f>H21-H16</f>
        <v>79.922284673697874</v>
      </c>
      <c r="I22" s="1384">
        <f>I21-I16</f>
        <v>78.558389184245002</v>
      </c>
      <c r="J22" s="1384">
        <f>J21-J16</f>
        <v>76.012016077784921</v>
      </c>
      <c r="K22" s="1388"/>
      <c r="L22" s="1388"/>
      <c r="M22" s="1388" t="s">
        <v>340</v>
      </c>
      <c r="N22" s="1388"/>
      <c r="O22" s="1388"/>
      <c r="P22" s="1380">
        <f>'Allowed revenue -DPCR4'!D19</f>
        <v>227.7</v>
      </c>
      <c r="Q22" s="1380">
        <f>'Allowed revenue -DPCR4'!E19</f>
        <v>229</v>
      </c>
      <c r="R22" s="1380">
        <f>'Allowed revenue -DPCR4'!F19</f>
        <v>228.1</v>
      </c>
      <c r="S22" s="1380">
        <f>'Allowed revenue -DPCR4'!G19</f>
        <v>226.8</v>
      </c>
      <c r="T22" s="1380">
        <f>'Allowed revenue -DPCR4'!H19</f>
        <v>226.3</v>
      </c>
      <c r="U22" s="1380"/>
      <c r="V22" s="71"/>
      <c r="W22" s="71"/>
      <c r="X22" s="71"/>
      <c r="Y22" s="71"/>
      <c r="Z22" s="71"/>
      <c r="AA22" s="71"/>
      <c r="AB22" s="71"/>
      <c r="AC22" s="71"/>
      <c r="AD22" s="71"/>
    </row>
    <row r="23" spans="1:48">
      <c r="A23" s="71"/>
      <c r="B23" s="71"/>
      <c r="C23" s="1380"/>
      <c r="D23" s="1380"/>
      <c r="E23" s="1384"/>
      <c r="F23" s="1384"/>
      <c r="G23" s="1384"/>
      <c r="H23" s="1384"/>
      <c r="I23" s="1384"/>
      <c r="J23" s="1384"/>
      <c r="K23" s="1388"/>
      <c r="L23" s="1388"/>
      <c r="M23" s="1388" t="s">
        <v>132</v>
      </c>
      <c r="N23" s="1388"/>
      <c r="O23" s="1388"/>
      <c r="P23" s="1380">
        <f>'Allowed revenue -DPCR4'!D20</f>
        <v>221.6</v>
      </c>
      <c r="Q23" s="1380">
        <f>'Allowed revenue -DPCR4'!E20</f>
        <v>211.2</v>
      </c>
      <c r="R23" s="1380">
        <f>'Allowed revenue -DPCR4'!F20</f>
        <v>199.3</v>
      </c>
      <c r="S23" s="1380">
        <f>'Allowed revenue -DPCR4'!G20</f>
        <v>187.7</v>
      </c>
      <c r="T23" s="1380">
        <f>'Allowed revenue -DPCR4'!H20</f>
        <v>177.5</v>
      </c>
      <c r="U23" s="1384"/>
      <c r="V23" s="71"/>
      <c r="W23" s="71"/>
      <c r="X23" s="71"/>
      <c r="Y23" s="71"/>
      <c r="Z23" s="71"/>
      <c r="AA23" s="71"/>
      <c r="AB23" s="71"/>
      <c r="AC23" s="71"/>
      <c r="AD23" s="71"/>
    </row>
    <row r="24" spans="1:48">
      <c r="A24" s="71"/>
      <c r="B24" s="71"/>
      <c r="C24" s="1380" t="s">
        <v>133</v>
      </c>
      <c r="D24" s="1380"/>
      <c r="E24" s="1384"/>
      <c r="F24" s="1384"/>
      <c r="G24" s="1384"/>
      <c r="H24" s="1384"/>
      <c r="I24" s="1384"/>
      <c r="J24" s="1384"/>
      <c r="K24" s="1388"/>
      <c r="L24" s="1380"/>
      <c r="M24" s="1380" t="s">
        <v>50</v>
      </c>
      <c r="N24" s="1380"/>
      <c r="O24" s="1380"/>
      <c r="P24" s="1380"/>
      <c r="Q24" s="1380"/>
      <c r="R24" s="1380"/>
      <c r="S24" s="1380"/>
      <c r="T24" s="1380">
        <f>'Allowed revenue -DPCR4'!H21</f>
        <v>96.2</v>
      </c>
      <c r="U24" s="1384"/>
      <c r="V24" s="71"/>
      <c r="W24" s="71"/>
      <c r="X24" s="71"/>
      <c r="Y24" s="71"/>
      <c r="Z24" s="71"/>
      <c r="AA24" s="71"/>
      <c r="AB24" s="71"/>
      <c r="AC24" s="71"/>
      <c r="AD24" s="71"/>
    </row>
    <row r="25" spans="1:48">
      <c r="A25" s="71"/>
      <c r="B25" s="71"/>
      <c r="C25" s="1380"/>
      <c r="D25" s="1380"/>
      <c r="E25" s="1384"/>
      <c r="F25" s="1384"/>
      <c r="G25" s="1384"/>
      <c r="H25" s="1384"/>
      <c r="I25" s="1384"/>
      <c r="J25" s="1384"/>
      <c r="K25" s="1380"/>
      <c r="L25" s="1380"/>
      <c r="M25" s="1380" t="s">
        <v>134</v>
      </c>
      <c r="N25" s="1380"/>
      <c r="O25" s="1380"/>
      <c r="P25" s="1380"/>
      <c r="Q25" s="1380"/>
      <c r="R25" s="1380"/>
      <c r="S25" s="1380"/>
      <c r="T25" s="1380">
        <f>'Allowed revenue -DPCR4'!H22</f>
        <v>1093.5</v>
      </c>
      <c r="U25" s="1384"/>
      <c r="V25" s="71"/>
      <c r="W25" s="71"/>
      <c r="X25" s="71"/>
      <c r="Y25" s="71"/>
      <c r="Z25" s="71"/>
      <c r="AA25" s="71"/>
      <c r="AB25" s="71"/>
      <c r="AC25" s="71"/>
      <c r="AD25" s="71"/>
    </row>
    <row r="26" spans="1:48">
      <c r="A26" s="71"/>
      <c r="B26" s="71"/>
      <c r="C26" s="1380" t="s">
        <v>231</v>
      </c>
      <c r="D26" s="1380"/>
      <c r="E26" s="1383">
        <f>E13</f>
        <v>82.198999999999998</v>
      </c>
      <c r="F26" s="1383">
        <f>F13</f>
        <v>83.24130000000001</v>
      </c>
      <c r="G26" s="1383"/>
      <c r="H26" s="1383">
        <f>H13</f>
        <v>83.74130000000001</v>
      </c>
      <c r="I26" s="1383">
        <f>I13</f>
        <v>82.441300000000012</v>
      </c>
      <c r="J26" s="1383">
        <f>J13</f>
        <v>81.74130000000001</v>
      </c>
      <c r="K26" s="1383"/>
      <c r="L26" s="1380"/>
      <c r="M26" s="1380"/>
      <c r="N26" s="1380"/>
      <c r="O26" s="1380"/>
      <c r="P26" s="1380"/>
      <c r="Q26" s="1380"/>
      <c r="R26" s="1380"/>
      <c r="S26" s="1380"/>
      <c r="T26" s="1380"/>
      <c r="U26" s="1380"/>
      <c r="V26" s="71"/>
      <c r="W26" s="71"/>
      <c r="X26" s="71"/>
      <c r="Y26" s="71"/>
      <c r="Z26" s="71"/>
      <c r="AA26" s="71"/>
      <c r="AB26" s="71"/>
      <c r="AC26" s="71"/>
      <c r="AD26" s="71"/>
    </row>
    <row r="27" spans="1:48">
      <c r="A27" s="71"/>
      <c r="B27" s="71"/>
      <c r="C27" s="1380" t="s">
        <v>142</v>
      </c>
      <c r="D27" s="1380"/>
      <c r="E27" s="1383">
        <f>E16</f>
        <v>76.5</v>
      </c>
      <c r="F27" s="1383">
        <f>F16</f>
        <v>76.5</v>
      </c>
      <c r="G27" s="1383"/>
      <c r="H27" s="1383">
        <f>H16</f>
        <v>82.4</v>
      </c>
      <c r="I27" s="1383">
        <f>I16</f>
        <v>88.2</v>
      </c>
      <c r="J27" s="1383">
        <f>J16</f>
        <v>94.1</v>
      </c>
      <c r="K27" s="1381"/>
      <c r="L27" s="1380"/>
      <c r="M27" s="1385">
        <v>5.5449999999999999E-2</v>
      </c>
      <c r="N27" s="1385"/>
      <c r="O27" s="1380"/>
      <c r="P27" s="1388">
        <f>1/(1+M27)</f>
        <v>0.94746316736936853</v>
      </c>
      <c r="Q27" s="1388">
        <f>P27/(1+M27)</f>
        <v>0.89768645352159604</v>
      </c>
      <c r="R27" s="1388">
        <f>Q27/(1+M27)</f>
        <v>0.85052485055814675</v>
      </c>
      <c r="S27" s="1388">
        <f>R27/(1+M27)</f>
        <v>0.8058409688361805</v>
      </c>
      <c r="T27" s="1388">
        <f>S27/(1+M27)</f>
        <v>0.76350463672952817</v>
      </c>
      <c r="U27" s="1388"/>
      <c r="V27" s="71"/>
      <c r="W27" s="71"/>
      <c r="X27" s="71"/>
      <c r="Y27" s="71"/>
      <c r="Z27" s="71"/>
      <c r="AA27" s="71"/>
      <c r="AB27" s="71"/>
      <c r="AC27" s="71"/>
      <c r="AD27" s="71"/>
    </row>
    <row r="28" spans="1:48">
      <c r="A28" s="71"/>
      <c r="B28" s="71"/>
      <c r="C28" s="1380" t="s">
        <v>21</v>
      </c>
      <c r="D28" s="1386"/>
      <c r="E28" s="1384">
        <f>E20</f>
        <v>54.739808503625405</v>
      </c>
      <c r="F28" s="1384">
        <f>F20</f>
        <v>55.368657780158017</v>
      </c>
      <c r="G28" s="1384"/>
      <c r="H28" s="1384">
        <f>H20</f>
        <v>52.622284673697877</v>
      </c>
      <c r="I28" s="1384">
        <f>I20</f>
        <v>50.858389184245006</v>
      </c>
      <c r="J28" s="1384">
        <f>J20</f>
        <v>47.812016077784925</v>
      </c>
      <c r="K28" s="1386"/>
      <c r="L28" s="1380"/>
      <c r="M28" s="1380"/>
      <c r="N28" s="1380"/>
      <c r="O28" s="1380"/>
      <c r="P28" s="1388">
        <v>1</v>
      </c>
      <c r="Q28" s="1388">
        <f>P27</f>
        <v>0.94746316736936853</v>
      </c>
      <c r="R28" s="1388">
        <f>Q27</f>
        <v>0.89768645352159604</v>
      </c>
      <c r="S28" s="1388">
        <f>R27</f>
        <v>0.85052485055814675</v>
      </c>
      <c r="T28" s="1388">
        <f>S27</f>
        <v>0.8058409688361805</v>
      </c>
      <c r="U28" s="1388"/>
      <c r="V28" s="71"/>
      <c r="W28" s="71"/>
      <c r="X28" s="71"/>
      <c r="Y28" s="71"/>
      <c r="Z28" s="71"/>
      <c r="AA28" s="71"/>
      <c r="AB28" s="71"/>
      <c r="AC28" s="71"/>
      <c r="AD28" s="71"/>
    </row>
    <row r="29" spans="1:48">
      <c r="A29" s="71"/>
      <c r="B29" s="71"/>
      <c r="C29" s="1380"/>
      <c r="D29" s="1386"/>
      <c r="E29" s="1386"/>
      <c r="F29" s="1386"/>
      <c r="G29" s="1386"/>
      <c r="H29" s="1386"/>
      <c r="I29" s="1386"/>
      <c r="J29" s="1386"/>
      <c r="K29" s="1386"/>
      <c r="L29" s="1380"/>
      <c r="M29" s="1380"/>
      <c r="N29" s="1380"/>
      <c r="O29" s="1380"/>
      <c r="P29" s="1388">
        <f>1/(1+M27)^0.5</f>
        <v>0.97337719686120061</v>
      </c>
      <c r="Q29" s="1388">
        <f>1/(1+M27)^1.5</f>
        <v>0.92223904198323059</v>
      </c>
      <c r="R29" s="1388">
        <f>1/(1+M27)^2.5</f>
        <v>0.87378752378912361</v>
      </c>
      <c r="S29" s="1388">
        <f>1/(1+M27)^3.5</f>
        <v>0.82788149489708041</v>
      </c>
      <c r="T29" s="1388">
        <f>1/(1+M27)^4.5</f>
        <v>0.78438722336167555</v>
      </c>
      <c r="U29" s="1388"/>
      <c r="V29" s="71"/>
      <c r="W29" s="71"/>
      <c r="X29" s="71"/>
      <c r="Y29" s="71"/>
      <c r="Z29" s="71"/>
      <c r="AA29" s="71"/>
      <c r="AB29" s="71"/>
      <c r="AC29" s="71"/>
      <c r="AD29" s="71"/>
    </row>
    <row r="30" spans="1:48">
      <c r="A30" s="71"/>
      <c r="B30" s="71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71"/>
      <c r="W30" s="71"/>
      <c r="X30" s="71"/>
      <c r="Y30" s="71"/>
      <c r="Z30" s="71"/>
      <c r="AA30" s="71"/>
      <c r="AB30" s="71"/>
      <c r="AC30" s="71"/>
      <c r="AD30" s="71"/>
    </row>
    <row r="31" spans="1:48">
      <c r="A31" s="71"/>
      <c r="B31" s="71"/>
      <c r="C31" s="1380"/>
      <c r="D31" s="1381"/>
      <c r="E31" s="1380"/>
      <c r="F31" s="1380"/>
      <c r="G31" s="1380"/>
      <c r="H31" s="1380"/>
      <c r="I31" s="1380"/>
      <c r="J31" s="1380"/>
      <c r="K31" s="1380"/>
      <c r="L31" s="1380"/>
      <c r="M31" s="1380" t="s">
        <v>138</v>
      </c>
      <c r="N31" s="1380"/>
      <c r="O31" s="1380"/>
      <c r="P31" s="1381">
        <f>'Allowed revenue -DPCR4'!D24</f>
        <v>1</v>
      </c>
      <c r="Q31" s="1381">
        <f>'Allowed revenue -DPCR4'!E24</f>
        <v>1.0089999999999999</v>
      </c>
      <c r="R31" s="1381">
        <f>'Allowed revenue -DPCR4'!F24</f>
        <v>1.02</v>
      </c>
      <c r="S31" s="1381">
        <f>'Allowed revenue -DPCR4'!G24</f>
        <v>1.0329999999999999</v>
      </c>
      <c r="T31" s="1381">
        <f>'Allowed revenue -DPCR4'!H24</f>
        <v>1.044</v>
      </c>
      <c r="U31" s="1381"/>
      <c r="V31" s="71"/>
      <c r="W31" s="71"/>
      <c r="X31" s="71"/>
      <c r="Y31" s="71"/>
      <c r="Z31" s="71"/>
      <c r="AA31" s="71"/>
      <c r="AB31" s="71"/>
      <c r="AC31" s="71"/>
      <c r="AD31" s="71"/>
    </row>
    <row r="32" spans="1:48">
      <c r="A32" s="71"/>
      <c r="B32" s="71"/>
      <c r="C32" s="1380"/>
      <c r="D32" s="1381"/>
      <c r="E32" s="1380"/>
      <c r="F32" s="1380"/>
      <c r="G32" s="1380"/>
      <c r="H32" s="1380"/>
      <c r="I32" s="1380"/>
      <c r="J32" s="1380"/>
      <c r="K32" s="1380"/>
      <c r="L32" s="1380"/>
      <c r="M32" s="1380" t="s">
        <v>139</v>
      </c>
      <c r="N32" s="1380"/>
      <c r="O32" s="1380"/>
      <c r="P32" s="1389">
        <f>P31*P29</f>
        <v>0.97337719686120061</v>
      </c>
      <c r="Q32" s="1389">
        <f>Q31*Q29</f>
        <v>0.9305391933610796</v>
      </c>
      <c r="R32" s="1389">
        <f>R31*R29</f>
        <v>0.89126327426490615</v>
      </c>
      <c r="S32" s="1389">
        <f>S31*S29</f>
        <v>0.85520158422868398</v>
      </c>
      <c r="T32" s="1389">
        <f>T31*T29</f>
        <v>0.81890026118958925</v>
      </c>
      <c r="U32" s="1389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</row>
    <row r="33" spans="1:50">
      <c r="A33" s="71"/>
      <c r="B33" s="71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 t="s">
        <v>140</v>
      </c>
      <c r="N33" s="1380"/>
      <c r="O33" s="1380"/>
      <c r="P33" s="1384">
        <f>($T$25-$O$39)/SUM($P$32:$V$32)*P31</f>
        <v>241.23880850362539</v>
      </c>
      <c r="Q33" s="1384">
        <f>($T$25-$O$39)/SUM($P$32:$V$32)*Q31</f>
        <v>243.40995778015801</v>
      </c>
      <c r="R33" s="1384">
        <f>($T$25-$O$39)/SUM($P$32:$V$32)*R31</f>
        <v>246.0635846736979</v>
      </c>
      <c r="S33" s="1384">
        <f>($T$25-$O$39)/SUM($P$32:$V$32)*S31</f>
        <v>249.19968918424502</v>
      </c>
      <c r="T33" s="1384">
        <f>($T$25-$O$39)/SUM($P$32:$V$32)*T31</f>
        <v>251.85331607778491</v>
      </c>
      <c r="U33" s="1384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253"/>
      <c r="AQ33" s="253"/>
      <c r="AR33" s="253"/>
      <c r="AS33" s="253"/>
      <c r="AT33" s="253"/>
      <c r="AU33" s="71"/>
      <c r="AV33" s="71"/>
    </row>
    <row r="34" spans="1:50">
      <c r="A34" s="71"/>
      <c r="B34" s="71"/>
      <c r="C34" s="1380"/>
      <c r="D34" s="1380"/>
      <c r="E34" s="1380"/>
      <c r="F34" s="1380"/>
      <c r="G34" s="1380"/>
      <c r="H34" s="1380"/>
      <c r="I34" s="1380"/>
      <c r="J34" s="1380"/>
      <c r="K34" s="1380"/>
      <c r="L34" s="1380"/>
      <c r="M34" s="1380" t="s">
        <v>39</v>
      </c>
      <c r="N34" s="1380"/>
      <c r="O34" s="1380"/>
      <c r="P34" s="1380">
        <f>'Allowed revenue -DPCR4'!D27</f>
        <v>3.5</v>
      </c>
      <c r="Q34" s="1380">
        <f>'Allowed revenue -DPCR4'!E27</f>
        <v>3.5</v>
      </c>
      <c r="R34" s="1380">
        <f>'Allowed revenue -DPCR4'!F27</f>
        <v>3.5</v>
      </c>
      <c r="S34" s="1380">
        <f>'Allowed revenue -DPCR4'!G27</f>
        <v>3.5</v>
      </c>
      <c r="T34" s="1380">
        <f>'Allowed revenue -DPCR4'!H27</f>
        <v>3.5</v>
      </c>
      <c r="U34" s="138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84"/>
      <c r="AQ34" s="84"/>
      <c r="AR34" s="84"/>
      <c r="AS34" s="84"/>
      <c r="AT34" s="84"/>
      <c r="AU34" s="71"/>
      <c r="AV34" s="71"/>
    </row>
    <row r="35" spans="1:50">
      <c r="A35" s="71"/>
      <c r="B35" s="71"/>
      <c r="C35" s="1380"/>
      <c r="D35" s="1380"/>
      <c r="E35" s="1380"/>
      <c r="F35" s="1380"/>
      <c r="G35" s="1380"/>
      <c r="H35" s="1380"/>
      <c r="I35" s="1380"/>
      <c r="J35" s="1380"/>
      <c r="K35" s="1380"/>
      <c r="L35" s="1380"/>
      <c r="M35" s="1380" t="s">
        <v>40</v>
      </c>
      <c r="N35" s="1380"/>
      <c r="O35" s="1380"/>
      <c r="P35" s="1384">
        <f>P34+P33</f>
        <v>244.73880850362539</v>
      </c>
      <c r="Q35" s="1384">
        <f>Q34+Q33</f>
        <v>246.90995778015801</v>
      </c>
      <c r="R35" s="1384">
        <f>R34+R33</f>
        <v>249.5635846736979</v>
      </c>
      <c r="S35" s="1384">
        <f>S34+S33</f>
        <v>252.69968918424502</v>
      </c>
      <c r="T35" s="1384">
        <f>T34+T33</f>
        <v>255.35331607778491</v>
      </c>
      <c r="U35" s="1384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172"/>
      <c r="AT35" s="71"/>
      <c r="AU35" s="71"/>
      <c r="AV35" s="71"/>
    </row>
    <row r="36" spans="1:50">
      <c r="A36" s="71"/>
      <c r="B36" s="71"/>
      <c r="C36" s="1380"/>
      <c r="D36" s="1380"/>
      <c r="E36" s="1380"/>
      <c r="F36" s="1380"/>
      <c r="G36" s="1380"/>
      <c r="H36" s="1380"/>
      <c r="I36" s="1380"/>
      <c r="J36" s="1380"/>
      <c r="K36" s="1380"/>
      <c r="L36" s="1380"/>
      <c r="M36" s="1380" t="s">
        <v>26</v>
      </c>
      <c r="N36" s="1380"/>
      <c r="O36" s="1380"/>
      <c r="P36" s="1384">
        <f>P35*P29</f>
        <v>238.22317538440905</v>
      </c>
      <c r="Q36" s="1384">
        <f>Q35*Q29</f>
        <v>227.71000291929283</v>
      </c>
      <c r="R36" s="1384">
        <f>R35*R29</f>
        <v>218.06554667996778</v>
      </c>
      <c r="S36" s="1384">
        <f>S35*S29</f>
        <v>209.20539644188034</v>
      </c>
      <c r="T36" s="1384">
        <f>T35*T29</f>
        <v>200.29587857445</v>
      </c>
      <c r="U36" s="1384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</row>
    <row r="37" spans="1:50">
      <c r="A37" s="71"/>
      <c r="B37" s="71"/>
      <c r="C37" s="1380"/>
      <c r="D37" s="1380"/>
      <c r="E37" s="1380"/>
      <c r="F37" s="1380"/>
      <c r="G37" s="1380"/>
      <c r="H37" s="1380"/>
      <c r="I37" s="1380"/>
      <c r="J37" s="1380"/>
      <c r="K37" s="1380"/>
      <c r="L37" s="1380"/>
      <c r="M37" s="1380" t="s">
        <v>134</v>
      </c>
      <c r="N37" s="1380"/>
      <c r="O37" s="1380"/>
      <c r="P37" s="1380"/>
      <c r="Q37" s="1380"/>
      <c r="R37" s="1380"/>
      <c r="S37" s="1380"/>
      <c r="T37" s="1384">
        <f>SUM(P36:T36)</f>
        <v>1093.5</v>
      </c>
      <c r="U37" s="1384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</row>
    <row r="38" spans="1:50">
      <c r="A38" s="71"/>
      <c r="B38" s="71"/>
      <c r="C38" s="1380"/>
      <c r="D38" s="1380"/>
      <c r="E38" s="1380"/>
      <c r="F38" s="1380"/>
      <c r="G38" s="1380"/>
      <c r="H38" s="1380"/>
      <c r="I38" s="1380"/>
      <c r="J38" s="1380"/>
      <c r="K38" s="1380"/>
      <c r="L38" s="1380"/>
      <c r="M38" s="1380"/>
      <c r="N38" s="1380"/>
      <c r="O38" s="1380"/>
      <c r="P38" s="1380"/>
      <c r="Q38" s="1380"/>
      <c r="R38" s="1380"/>
      <c r="S38" s="1380"/>
      <c r="T38" s="1380"/>
      <c r="U38" s="138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</row>
    <row r="39" spans="1:50">
      <c r="A39" s="71"/>
      <c r="B39" s="71"/>
      <c r="C39" s="1380"/>
      <c r="D39" s="1380"/>
      <c r="E39" s="1380"/>
      <c r="F39" s="1380"/>
      <c r="G39" s="1380"/>
      <c r="H39" s="1380"/>
      <c r="I39" s="1380"/>
      <c r="J39" s="1380"/>
      <c r="K39" s="1380"/>
      <c r="L39" s="1380"/>
      <c r="M39" s="1380" t="s">
        <v>79</v>
      </c>
      <c r="N39" s="1380"/>
      <c r="O39" s="1384">
        <f>SUM(P39:T39)</f>
        <v>15.335853683123087</v>
      </c>
      <c r="P39" s="1384">
        <f>P34*P29</f>
        <v>3.4068201890142022</v>
      </c>
      <c r="Q39" s="1384">
        <f>Q34*Q29</f>
        <v>3.2278366469413071</v>
      </c>
      <c r="R39" s="1384">
        <f>R34*R29</f>
        <v>3.0582563332619328</v>
      </c>
      <c r="S39" s="1384">
        <f>S34*S29</f>
        <v>2.8975852321397815</v>
      </c>
      <c r="T39" s="1384">
        <f>T34*T29</f>
        <v>2.7453552817658644</v>
      </c>
      <c r="U39" s="1384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</row>
    <row r="40" spans="1:50" s="283" customFormat="1">
      <c r="A40" s="282"/>
      <c r="B40" s="282"/>
      <c r="O40" s="284"/>
      <c r="P40" s="284"/>
      <c r="Q40" s="284"/>
      <c r="R40" s="284"/>
      <c r="S40" s="284"/>
      <c r="T40" s="284"/>
      <c r="U40" s="284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</row>
    <row r="41" spans="1:50" s="286" customFormat="1">
      <c r="A41" s="1379" t="s">
        <v>213</v>
      </c>
      <c r="B41" s="285"/>
      <c r="O41" s="287"/>
      <c r="P41" s="287"/>
      <c r="Q41" s="287"/>
      <c r="R41" s="287"/>
      <c r="S41" s="287"/>
      <c r="T41" s="287"/>
      <c r="U41" s="287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</row>
    <row r="42" spans="1:50">
      <c r="A42" s="71"/>
      <c r="B42" s="71"/>
      <c r="C42" s="980"/>
      <c r="D42" s="980"/>
      <c r="E42" s="980"/>
      <c r="F42" s="980"/>
      <c r="G42" s="980"/>
      <c r="H42" s="980"/>
      <c r="I42" s="980"/>
      <c r="J42" s="980"/>
      <c r="K42" s="980"/>
      <c r="L42" s="980"/>
      <c r="M42" s="980"/>
      <c r="N42" s="980"/>
      <c r="O42" s="1390"/>
      <c r="P42" s="1390"/>
      <c r="Q42" s="1390"/>
      <c r="R42" s="1390"/>
      <c r="S42" s="1390"/>
      <c r="T42" s="1390"/>
      <c r="U42" s="1390"/>
      <c r="V42" s="1390"/>
      <c r="W42" s="1390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</row>
    <row r="43" spans="1:50" ht="25.5">
      <c r="A43" s="71"/>
      <c r="B43" s="71"/>
      <c r="C43" s="1391" t="s">
        <v>332</v>
      </c>
      <c r="D43" s="196" t="s">
        <v>461</v>
      </c>
      <c r="E43" s="197" t="s">
        <v>462</v>
      </c>
      <c r="F43" s="1411" t="s">
        <v>463</v>
      </c>
      <c r="G43" s="1411"/>
      <c r="H43" s="1411"/>
      <c r="I43" s="1411"/>
      <c r="J43" s="1411"/>
      <c r="K43" s="198"/>
      <c r="L43" s="1412" t="s">
        <v>542</v>
      </c>
      <c r="M43" s="1411"/>
      <c r="N43" s="1411"/>
      <c r="O43" s="1413"/>
      <c r="P43" s="199"/>
      <c r="Q43" s="1414"/>
      <c r="R43" s="1415"/>
      <c r="S43" s="1411"/>
      <c r="T43" s="1411"/>
      <c r="U43" s="1413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</row>
    <row r="44" spans="1:50">
      <c r="A44" s="71"/>
      <c r="B44" s="71"/>
      <c r="C44" s="1392"/>
      <c r="D44" s="182"/>
      <c r="E44" s="200"/>
      <c r="F44" s="182" t="s">
        <v>808</v>
      </c>
      <c r="G44" s="182"/>
      <c r="H44" s="182" t="s">
        <v>802</v>
      </c>
      <c r="I44" s="182" t="s">
        <v>103</v>
      </c>
      <c r="J44" s="182" t="s">
        <v>307</v>
      </c>
      <c r="K44" s="201" t="s">
        <v>549</v>
      </c>
      <c r="L44" s="202" t="s">
        <v>808</v>
      </c>
      <c r="M44" s="182" t="s">
        <v>802</v>
      </c>
      <c r="N44" s="182" t="s">
        <v>103</v>
      </c>
      <c r="O44" s="203" t="s">
        <v>307</v>
      </c>
      <c r="P44" s="191" t="s">
        <v>549</v>
      </c>
      <c r="Q44" s="200"/>
      <c r="R44" s="177"/>
      <c r="S44" s="177"/>
      <c r="T44" s="177"/>
      <c r="U44" s="204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</row>
    <row r="45" spans="1:50">
      <c r="A45" s="71"/>
      <c r="B45" s="71"/>
      <c r="C45" s="1392" t="s">
        <v>21</v>
      </c>
      <c r="D45" s="205">
        <f>SUM(E22:J22)</f>
        <v>400.70115621951118</v>
      </c>
      <c r="E45" s="1393" t="s">
        <v>101</v>
      </c>
      <c r="F45" s="189">
        <f>VLOOKUP($E45,'Calc-Drivers'!$B$17:$G$27,F$51,FALSE)</f>
        <v>0.53226629902330469</v>
      </c>
      <c r="G45" s="189"/>
      <c r="H45" s="189">
        <f>VLOOKUP($E45,'Calc-Drivers'!$B$17:$G$27,H$51,FALSE)</f>
        <v>0.27202086792538993</v>
      </c>
      <c r="I45" s="189">
        <f>VLOOKUP($E45,'Calc-Drivers'!$B$17:$G$27,I$51,FALSE)</f>
        <v>5.9749506838939877E-2</v>
      </c>
      <c r="J45" s="189">
        <f>VLOOKUP($E45,'Calc-Drivers'!$B$17:$G$27,J$51,FALSE)</f>
        <v>7.5734364440090088E-2</v>
      </c>
      <c r="K45" s="189">
        <f>VLOOKUP($E45,'Calc-Drivers'!$B$17:$G$27,K$51,FALSE)</f>
        <v>6.0228961772275519E-2</v>
      </c>
      <c r="L45" s="207">
        <f>$D45*F45</f>
        <v>213.27972143531827</v>
      </c>
      <c r="M45" s="208">
        <f t="shared" ref="M45:O47" si="2">$D45*H45</f>
        <v>108.99907629353869</v>
      </c>
      <c r="N45" s="208">
        <f t="shared" si="2"/>
        <v>23.941696473908799</v>
      </c>
      <c r="O45" s="209">
        <f t="shared" si="2"/>
        <v>30.346847396693931</v>
      </c>
      <c r="P45" s="209">
        <f>$D45*K45</f>
        <v>24.133814620051538</v>
      </c>
      <c r="Q45" s="210"/>
      <c r="R45" s="211"/>
      <c r="S45" s="210"/>
      <c r="T45" s="210"/>
      <c r="U45" s="210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</row>
    <row r="46" spans="1:50">
      <c r="A46" s="71"/>
      <c r="B46" s="71"/>
      <c r="C46" s="1392" t="s">
        <v>142</v>
      </c>
      <c r="D46" s="205">
        <f>SUM(E16:J16)</f>
        <v>417.70000000000005</v>
      </c>
      <c r="E46" s="206" t="s">
        <v>101</v>
      </c>
      <c r="F46" s="189">
        <f>VLOOKUP($E46,'Calc-Drivers'!$B$17:$G$27,F$51,FALSE)</f>
        <v>0.53226629902330469</v>
      </c>
      <c r="G46" s="189"/>
      <c r="H46" s="189">
        <f>VLOOKUP($E46,'Calc-Drivers'!$B$17:$G$27,H$51,FALSE)</f>
        <v>0.27202086792538993</v>
      </c>
      <c r="I46" s="189">
        <f>VLOOKUP($E46,'Calc-Drivers'!$B$17:$G$27,I$51,FALSE)</f>
        <v>5.9749506838939877E-2</v>
      </c>
      <c r="J46" s="189">
        <f>VLOOKUP($E46,'Calc-Drivers'!$B$17:$G$27,J$51,FALSE)</f>
        <v>7.5734364440090088E-2</v>
      </c>
      <c r="K46" s="189">
        <f>VLOOKUP($E46,'Calc-Drivers'!$B$17:$G$27,K$51,FALSE)</f>
        <v>6.0228961772275519E-2</v>
      </c>
      <c r="L46" s="207">
        <f>$D46*F46</f>
        <v>222.32763310203438</v>
      </c>
      <c r="M46" s="208">
        <f t="shared" si="2"/>
        <v>113.62311653243539</v>
      </c>
      <c r="N46" s="208">
        <f t="shared" si="2"/>
        <v>24.957369006625189</v>
      </c>
      <c r="O46" s="209">
        <f t="shared" si="2"/>
        <v>31.634244026625634</v>
      </c>
      <c r="P46" s="209">
        <f>$D46*K46</f>
        <v>25.157637332279489</v>
      </c>
      <c r="Q46" s="210"/>
      <c r="R46" s="211"/>
      <c r="S46" s="210"/>
      <c r="T46" s="210"/>
      <c r="U46" s="210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</row>
    <row r="47" spans="1:50">
      <c r="A47" s="71"/>
      <c r="B47" s="71"/>
      <c r="C47" s="1394" t="s">
        <v>464</v>
      </c>
      <c r="D47" s="205">
        <f>SUM(E13:J13)</f>
        <v>413.36420000000004</v>
      </c>
      <c r="E47" s="206" t="s">
        <v>465</v>
      </c>
      <c r="F47" s="189">
        <f>'Calc - WPD Opex Allocation'!AO41</f>
        <v>0.26199527536422224</v>
      </c>
      <c r="H47" s="189">
        <f>'Calc - WPD Opex Allocation'!AP41</f>
        <v>0.18879691418015843</v>
      </c>
      <c r="I47" s="189">
        <f>'Calc - WPD Opex Allocation'!AQ41</f>
        <v>7.8595556024634902E-2</v>
      </c>
      <c r="J47" s="189">
        <f>'Calc - WPD Opex Allocation'!AR41</f>
        <v>0.24666775124993745</v>
      </c>
      <c r="K47" s="189">
        <f>'Calc - WPD Opex Allocation'!AS41</f>
        <v>0.223944503181047</v>
      </c>
      <c r="L47" s="207">
        <f>$D47*F47</f>
        <v>108.29946740471145</v>
      </c>
      <c r="M47" s="208">
        <f t="shared" si="2"/>
        <v>78.041885392549858</v>
      </c>
      <c r="N47" s="208">
        <f t="shared" si="2"/>
        <v>32.488589139678389</v>
      </c>
      <c r="O47" s="209">
        <f>$D47*J47</f>
        <v>101.96361766122941</v>
      </c>
      <c r="P47" s="209">
        <f>$D47*K47</f>
        <v>92.570640401830957</v>
      </c>
      <c r="Q47" s="210"/>
      <c r="R47" s="211"/>
      <c r="S47" s="210"/>
      <c r="T47" s="210"/>
      <c r="U47" s="210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</row>
    <row r="48" spans="1:50">
      <c r="A48" s="71"/>
      <c r="B48" s="71"/>
      <c r="C48" s="200"/>
      <c r="D48" s="205"/>
      <c r="E48" s="200"/>
      <c r="F48" s="177"/>
      <c r="G48" s="177"/>
      <c r="H48" s="177"/>
      <c r="I48" s="177"/>
      <c r="J48" s="177"/>
      <c r="K48" s="201"/>
      <c r="L48" s="202"/>
      <c r="M48" s="182"/>
      <c r="N48" s="208"/>
      <c r="O48" s="203"/>
      <c r="P48" s="191"/>
      <c r="Q48" s="212"/>
      <c r="R48" s="191"/>
      <c r="S48" s="191"/>
      <c r="T48" s="211"/>
      <c r="U48" s="204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</row>
    <row r="49" spans="1:50">
      <c r="A49" s="71"/>
      <c r="B49" s="71"/>
      <c r="C49" s="1394" t="s">
        <v>809</v>
      </c>
      <c r="D49" s="205">
        <f>SUM(D45:D47)</f>
        <v>1231.7653562195112</v>
      </c>
      <c r="E49" s="200"/>
      <c r="F49" s="177"/>
      <c r="G49" s="177"/>
      <c r="H49" s="177"/>
      <c r="I49" s="177"/>
      <c r="J49" s="177"/>
      <c r="K49" s="201"/>
      <c r="L49" s="207">
        <f>SUM(L45:L48)</f>
        <v>543.90682194206408</v>
      </c>
      <c r="M49" s="208">
        <f>SUM(M45:M48)</f>
        <v>300.66407821852397</v>
      </c>
      <c r="N49" s="208">
        <f>SUM(N45:N48)</f>
        <v>81.387654620212373</v>
      </c>
      <c r="O49" s="209">
        <f>SUM(O45:O48)</f>
        <v>163.94470908454898</v>
      </c>
      <c r="P49" s="209">
        <f>SUM(P45:P48)</f>
        <v>141.86209235416197</v>
      </c>
      <c r="Q49" s="213"/>
      <c r="R49" s="214"/>
      <c r="S49" s="214"/>
      <c r="T49" s="214"/>
      <c r="U49" s="215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</row>
    <row r="50" spans="1:50">
      <c r="A50" s="71"/>
      <c r="B50" s="71"/>
      <c r="C50" s="216"/>
      <c r="D50" s="217"/>
      <c r="E50" s="216"/>
      <c r="F50" s="217"/>
      <c r="G50" s="217"/>
      <c r="H50" s="217"/>
      <c r="I50" s="217"/>
      <c r="J50" s="217"/>
      <c r="K50" s="218"/>
      <c r="L50" s="219">
        <f>L49/SUM($L$49:$P$49)</f>
        <v>0.44156690979798519</v>
      </c>
      <c r="M50" s="219">
        <f>M49/SUM($L$49:$P$49)</f>
        <v>0.24409200721581503</v>
      </c>
      <c r="N50" s="219">
        <f>N49/SUM($L$49:$P$49)</f>
        <v>6.6073992265868187E-2</v>
      </c>
      <c r="O50" s="219">
        <f>O49/SUM($L$49:$P$49)</f>
        <v>0.13309735353145669</v>
      </c>
      <c r="P50" s="220">
        <f>P49/SUM($L$49:$P$49)</f>
        <v>0.11516973718887487</v>
      </c>
      <c r="Q50" s="221"/>
      <c r="R50" s="221"/>
      <c r="S50" s="221"/>
      <c r="T50" s="221"/>
      <c r="U50" s="22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</row>
    <row r="51" spans="1:50">
      <c r="A51" s="71"/>
      <c r="B51" s="71"/>
      <c r="C51" s="71"/>
      <c r="D51" s="71"/>
      <c r="E51" s="71"/>
      <c r="F51" s="71">
        <v>6</v>
      </c>
      <c r="G51" s="71"/>
      <c r="H51" s="71">
        <v>5</v>
      </c>
      <c r="I51" s="71">
        <v>4</v>
      </c>
      <c r="J51" s="71">
        <v>3</v>
      </c>
      <c r="K51" s="71">
        <v>2</v>
      </c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</row>
    <row r="52" spans="1:50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</row>
    <row r="53" spans="1:50">
      <c r="A53" s="71"/>
      <c r="B53" s="71"/>
      <c r="C53" s="71"/>
      <c r="D53" s="71"/>
      <c r="E53" s="1395" t="s">
        <v>109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</row>
    <row r="54" spans="1:50">
      <c r="A54" s="71"/>
      <c r="B54" s="71"/>
      <c r="C54" s="71"/>
      <c r="D54" s="71"/>
      <c r="E54" s="1395" t="s">
        <v>110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</row>
    <row r="55" spans="1:50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</row>
    <row r="56" spans="1:50" s="286" customFormat="1">
      <c r="A56" s="1379" t="s">
        <v>107</v>
      </c>
      <c r="B56" s="285"/>
      <c r="O56" s="287"/>
      <c r="P56" s="287"/>
      <c r="Q56" s="287"/>
      <c r="R56" s="287"/>
      <c r="S56" s="287"/>
      <c r="T56" s="287"/>
      <c r="U56" s="287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5"/>
    </row>
    <row r="58" spans="1:50" ht="13.5" thickBot="1">
      <c r="B58" s="1416" t="s">
        <v>214</v>
      </c>
      <c r="C58" s="1416"/>
      <c r="D58" s="1416"/>
      <c r="E58" s="1416"/>
      <c r="F58" s="1416"/>
      <c r="G58" s="1416"/>
      <c r="H58" s="1416"/>
    </row>
    <row r="59" spans="1:50" ht="13.5" thickBot="1">
      <c r="B59" s="162" t="s">
        <v>524</v>
      </c>
      <c r="C59" s="163"/>
      <c r="D59" s="163"/>
      <c r="E59" s="163"/>
      <c r="F59" s="163"/>
      <c r="G59" s="222">
        <f>'Summary of revenue'!J11</f>
        <v>276.42685499999999</v>
      </c>
      <c r="H59" s="164">
        <f>G59/$G$64</f>
        <v>0.94327570891569268</v>
      </c>
      <c r="K59" s="169"/>
      <c r="L59" s="169"/>
      <c r="M59" s="169"/>
      <c r="N59" s="169"/>
      <c r="O59" s="169"/>
      <c r="P59" s="169"/>
      <c r="Q59" s="169"/>
      <c r="R59" s="169"/>
      <c r="S59" s="169" t="s">
        <v>542</v>
      </c>
    </row>
    <row r="60" spans="1:50" ht="13.5" thickBot="1">
      <c r="B60" s="165" t="s">
        <v>162</v>
      </c>
      <c r="C60" s="166"/>
      <c r="D60" s="166"/>
      <c r="E60" s="166"/>
      <c r="F60" s="166"/>
      <c r="G60" s="222">
        <f>'Summary of revenue'!J12</f>
        <v>-4.5983270000000003</v>
      </c>
      <c r="H60" s="164">
        <f>G60/$G$64</f>
        <v>-1.5691276307980895E-2</v>
      </c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50" ht="13.5" thickBot="1">
      <c r="B61" s="165" t="s">
        <v>154</v>
      </c>
      <c r="C61" s="166"/>
      <c r="D61" s="166"/>
      <c r="E61" s="166"/>
      <c r="F61" s="166"/>
      <c r="G61" s="222">
        <f>'Summary of revenue'!J13</f>
        <v>26.407907999999999</v>
      </c>
      <c r="H61" s="164">
        <f>G61/$G$64</f>
        <v>9.0114030851598664E-2</v>
      </c>
      <c r="K61" s="169" t="s">
        <v>158</v>
      </c>
      <c r="L61" s="169"/>
      <c r="M61" s="169"/>
      <c r="N61" s="169"/>
      <c r="O61" s="169"/>
      <c r="P61" s="169"/>
      <c r="Q61" s="169"/>
      <c r="R61" s="169"/>
      <c r="S61" s="170">
        <f>G64</f>
        <v>293.04990300000003</v>
      </c>
      <c r="T61" s="1311" t="s">
        <v>281</v>
      </c>
    </row>
    <row r="62" spans="1:50" ht="13.5" thickBot="1">
      <c r="B62" s="1396" t="s">
        <v>58</v>
      </c>
      <c r="C62" s="166"/>
      <c r="D62" s="166"/>
      <c r="E62" s="166"/>
      <c r="F62" s="166"/>
      <c r="G62" s="222">
        <f>'Summary of revenue'!J21</f>
        <v>-11.856533000000001</v>
      </c>
      <c r="H62" s="164">
        <f>G62/$G$64</f>
        <v>-4.0459092047541133E-2</v>
      </c>
      <c r="K62" s="169"/>
      <c r="L62" s="169"/>
      <c r="M62" s="169"/>
      <c r="N62" s="169"/>
      <c r="O62" s="169"/>
      <c r="P62" s="169"/>
      <c r="Q62" s="169"/>
      <c r="R62" s="169"/>
      <c r="S62" s="170"/>
      <c r="T62" s="1311"/>
    </row>
    <row r="63" spans="1:50" ht="15" thickBot="1">
      <c r="B63" s="165" t="s">
        <v>155</v>
      </c>
      <c r="C63" s="166"/>
      <c r="D63" s="166"/>
      <c r="E63" s="166"/>
      <c r="F63" s="166"/>
      <c r="G63" s="222">
        <f>'Summary of revenue'!J46+'Summary of revenue'!J47</f>
        <v>6.67</v>
      </c>
      <c r="H63" s="164">
        <f>G63/$G$64</f>
        <v>2.2760628588230584E-2</v>
      </c>
      <c r="K63" s="169" t="s">
        <v>141</v>
      </c>
      <c r="L63" s="169"/>
      <c r="M63" s="169"/>
      <c r="N63" s="169"/>
      <c r="O63" s="169"/>
      <c r="P63" s="171" t="s">
        <v>780</v>
      </c>
      <c r="Q63" s="169"/>
      <c r="R63" s="169"/>
      <c r="S63" s="170">
        <f>IF(P63="Y",-G61,0)</f>
        <v>-26.407907999999999</v>
      </c>
      <c r="T63" s="1311" t="s">
        <v>281</v>
      </c>
    </row>
    <row r="64" spans="1:50" ht="15" thickBot="1">
      <c r="B64" s="167" t="s">
        <v>809</v>
      </c>
      <c r="C64" s="168"/>
      <c r="D64" s="168"/>
      <c r="E64" s="168"/>
      <c r="F64" s="168"/>
      <c r="G64" s="222">
        <f>SUM(G59:G63)</f>
        <v>293.04990300000003</v>
      </c>
      <c r="H64" s="164">
        <f>SUM(H59:H63)</f>
        <v>0.99999999999999989</v>
      </c>
      <c r="K64" s="169" t="s">
        <v>42</v>
      </c>
      <c r="L64" s="169"/>
      <c r="M64" s="169"/>
      <c r="N64" s="169"/>
      <c r="O64" s="169"/>
      <c r="P64" s="171" t="s">
        <v>46</v>
      </c>
      <c r="Q64" s="169"/>
      <c r="R64" s="169"/>
      <c r="S64" s="170">
        <f>IF(P64="Y",-G66,0)</f>
        <v>0</v>
      </c>
      <c r="T64" s="1311" t="s">
        <v>68</v>
      </c>
    </row>
    <row r="65" spans="2:20" ht="14.25">
      <c r="K65" s="169" t="s">
        <v>45</v>
      </c>
      <c r="L65" s="169"/>
      <c r="M65" s="169"/>
      <c r="N65" s="169"/>
      <c r="O65" s="169"/>
      <c r="P65" s="171" t="s">
        <v>46</v>
      </c>
      <c r="Q65" s="169"/>
      <c r="R65" s="169"/>
      <c r="S65" s="170">
        <f>IF(P65="Y",-16,0)</f>
        <v>0</v>
      </c>
    </row>
    <row r="66" spans="2:20">
      <c r="B66" s="288" t="s">
        <v>69</v>
      </c>
      <c r="G66" s="166">
        <v>0</v>
      </c>
      <c r="H66" s="1311" t="s">
        <v>68</v>
      </c>
      <c r="K66" s="169"/>
      <c r="L66" s="169"/>
      <c r="M66" s="169"/>
      <c r="N66" s="169"/>
      <c r="O66" s="169"/>
      <c r="P66" s="169"/>
      <c r="Q66" s="169"/>
      <c r="R66" s="169"/>
      <c r="S66" s="169">
        <f>-'Calc - WPD Opex Allocation'!I36</f>
        <v>-4.4000000000000004</v>
      </c>
    </row>
    <row r="67" spans="2:20">
      <c r="K67" s="169" t="s">
        <v>51</v>
      </c>
      <c r="L67" s="169"/>
      <c r="M67" s="169"/>
      <c r="N67" s="169"/>
      <c r="O67" s="169"/>
      <c r="P67" s="169"/>
      <c r="Q67" s="169"/>
      <c r="R67" s="169"/>
      <c r="S67" s="170">
        <f>S61+S63+S64+S65+S66</f>
        <v>262.24199500000003</v>
      </c>
    </row>
    <row r="68" spans="2:20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2:20" s="102" customFormat="1" ht="39" customHeight="1" thickBot="1">
      <c r="E69" s="1417" t="s">
        <v>108</v>
      </c>
      <c r="F69" s="1418"/>
      <c r="G69" s="1418"/>
      <c r="H69" s="1418"/>
      <c r="I69" s="1418"/>
      <c r="J69" s="1418"/>
      <c r="K69" s="1418"/>
      <c r="L69" s="1419"/>
      <c r="M69" s="1417" t="s">
        <v>457</v>
      </c>
      <c r="N69" s="1418"/>
      <c r="O69" s="1418"/>
      <c r="P69" s="1418"/>
      <c r="Q69" s="1418"/>
      <c r="R69" s="1418"/>
      <c r="S69" s="1419"/>
    </row>
    <row r="70" spans="2:20">
      <c r="B70" s="173" t="s">
        <v>15</v>
      </c>
      <c r="C70" s="174"/>
      <c r="D70" s="174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8"/>
    </row>
    <row r="71" spans="2:20" ht="13.5" thickBot="1">
      <c r="B71" s="176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8"/>
    </row>
    <row r="72" spans="2:20">
      <c r="B72" s="173"/>
      <c r="C72" s="174"/>
      <c r="D72" s="174"/>
      <c r="E72" s="1407" t="s">
        <v>542</v>
      </c>
      <c r="F72" s="1408"/>
      <c r="G72" s="1408"/>
      <c r="H72" s="1408"/>
      <c r="I72" s="1408"/>
      <c r="J72" s="1408"/>
      <c r="K72" s="1408"/>
      <c r="L72" s="175"/>
      <c r="M72" s="1407" t="s">
        <v>20</v>
      </c>
      <c r="N72" s="1409"/>
      <c r="O72" s="1409"/>
      <c r="P72" s="1409"/>
      <c r="Q72" s="1409"/>
      <c r="R72" s="1408"/>
      <c r="S72" s="1410"/>
    </row>
    <row r="73" spans="2:20">
      <c r="B73" s="176"/>
      <c r="C73" s="177"/>
      <c r="D73" s="177"/>
      <c r="E73" s="179" t="s">
        <v>809</v>
      </c>
      <c r="F73" s="179"/>
      <c r="G73" s="179" t="s">
        <v>808</v>
      </c>
      <c r="H73" s="179" t="s">
        <v>802</v>
      </c>
      <c r="I73" s="179" t="s">
        <v>103</v>
      </c>
      <c r="J73" s="179" t="s">
        <v>803</v>
      </c>
      <c r="K73" s="179" t="s">
        <v>78</v>
      </c>
      <c r="L73" s="179"/>
      <c r="M73" s="180" t="s">
        <v>808</v>
      </c>
      <c r="N73" s="180" t="s">
        <v>802</v>
      </c>
      <c r="O73" s="180" t="s">
        <v>103</v>
      </c>
      <c r="P73" s="180" t="s">
        <v>307</v>
      </c>
      <c r="Q73" s="179" t="s">
        <v>78</v>
      </c>
      <c r="R73" s="179"/>
      <c r="S73" s="179" t="s">
        <v>809</v>
      </c>
      <c r="T73" s="201" t="s">
        <v>549</v>
      </c>
    </row>
    <row r="74" spans="2:20">
      <c r="B74" s="176"/>
      <c r="C74" s="177"/>
      <c r="D74" s="177"/>
      <c r="E74" s="176"/>
      <c r="F74" s="177"/>
      <c r="G74" s="177"/>
      <c r="H74" s="177"/>
      <c r="I74" s="177"/>
      <c r="J74" s="177"/>
      <c r="K74" s="177"/>
      <c r="L74" s="178"/>
      <c r="M74" s="181"/>
      <c r="N74" s="182"/>
      <c r="O74" s="182"/>
      <c r="P74" s="182"/>
      <c r="Q74" s="177"/>
      <c r="R74" s="177"/>
      <c r="S74" s="178"/>
    </row>
    <row r="75" spans="2:20">
      <c r="B75" s="176" t="s">
        <v>341</v>
      </c>
      <c r="C75" s="177"/>
      <c r="D75" s="177"/>
      <c r="E75" s="183">
        <f>SUM(G75:K75)</f>
        <v>293.04990300000003</v>
      </c>
      <c r="F75" s="177"/>
      <c r="G75" s="184">
        <f>$S$67*L50</f>
        <v>115.7973873514087</v>
      </c>
      <c r="H75" s="184">
        <f>$S$67*M50</f>
        <v>64.011174935829743</v>
      </c>
      <c r="I75" s="184">
        <f>$S$67*N50</f>
        <v>17.327375549415844</v>
      </c>
      <c r="J75" s="184">
        <f>$S$67*(O50+P50)</f>
        <v>65.106057163345739</v>
      </c>
      <c r="K75" s="223">
        <f>S61-S67</f>
        <v>30.807907999999998</v>
      </c>
      <c r="L75" s="178"/>
      <c r="M75" s="185">
        <f>G75*100000000/'Calc-Units'!E21</f>
        <v>0.39433916492697318</v>
      </c>
      <c r="N75" s="185">
        <f>H75*100000000/'Calc-Units'!D21</f>
        <v>0.2231544572161315</v>
      </c>
      <c r="O75" s="185">
        <f>I75*100000000/'Calc-Units'!C21</f>
        <v>8.9844319970008524E-2</v>
      </c>
      <c r="P75" s="185">
        <f>J75*100000000/'Calc-Units'!C21</f>
        <v>0.33758196185495043</v>
      </c>
      <c r="Q75" s="185">
        <f>K75*100000000/'Calc-Units'!E21</f>
        <v>0.10491397942338139</v>
      </c>
      <c r="R75" s="177"/>
      <c r="S75" s="185"/>
    </row>
    <row r="76" spans="2:20">
      <c r="B76" s="176"/>
      <c r="C76" s="177"/>
      <c r="D76" s="177"/>
      <c r="E76" s="176"/>
      <c r="F76" s="177"/>
      <c r="G76" s="177"/>
      <c r="H76" s="177"/>
      <c r="I76" s="177"/>
      <c r="J76" s="177"/>
      <c r="K76" s="177"/>
      <c r="L76" s="178"/>
      <c r="M76" s="181"/>
      <c r="N76" s="182"/>
      <c r="O76" s="182"/>
      <c r="P76" s="182"/>
      <c r="Q76" s="182"/>
      <c r="R76" s="177"/>
      <c r="S76" s="178"/>
    </row>
    <row r="77" spans="2:20">
      <c r="B77" s="176"/>
      <c r="C77" s="177"/>
      <c r="D77" s="177"/>
      <c r="E77" s="176"/>
      <c r="F77" s="177"/>
      <c r="G77" s="177"/>
      <c r="H77" s="177"/>
      <c r="I77" s="177"/>
      <c r="J77" s="177"/>
      <c r="K77" s="177"/>
      <c r="L77" s="178"/>
      <c r="M77" s="181"/>
      <c r="N77" s="182"/>
      <c r="O77" s="182"/>
      <c r="P77" s="182"/>
      <c r="Q77" s="182"/>
      <c r="R77" s="177"/>
      <c r="S77" s="178"/>
    </row>
    <row r="78" spans="2:20">
      <c r="B78" s="176" t="s">
        <v>135</v>
      </c>
      <c r="C78" s="177"/>
      <c r="D78" s="177"/>
      <c r="E78" s="176"/>
      <c r="F78" s="177"/>
      <c r="G78" s="177"/>
      <c r="H78" s="177"/>
      <c r="I78" s="177"/>
      <c r="J78" s="177"/>
      <c r="K78" s="177"/>
      <c r="L78" s="178"/>
      <c r="M78" s="185">
        <f>M75</f>
        <v>0.39433916492697318</v>
      </c>
      <c r="N78" s="186">
        <f>N75</f>
        <v>0.2231544572161315</v>
      </c>
      <c r="O78" s="186">
        <f>O75</f>
        <v>8.9844319970008524E-2</v>
      </c>
      <c r="P78" s="186">
        <f>P75</f>
        <v>0.33758196185495043</v>
      </c>
      <c r="Q78" s="186">
        <f>Q75</f>
        <v>0.10491397942338139</v>
      </c>
      <c r="R78" s="177"/>
      <c r="S78" s="187">
        <f>SUM(M78:Q78)</f>
        <v>1.149833883391445</v>
      </c>
    </row>
    <row r="79" spans="2:20">
      <c r="B79" s="176" t="s">
        <v>136</v>
      </c>
      <c r="C79" s="177"/>
      <c r="D79" s="177"/>
      <c r="E79" s="176"/>
      <c r="F79" s="177"/>
      <c r="G79" s="177"/>
      <c r="H79" s="177"/>
      <c r="I79" s="177"/>
      <c r="J79" s="177"/>
      <c r="K79" s="177"/>
      <c r="L79" s="178"/>
      <c r="M79" s="185"/>
      <c r="N79" s="186"/>
      <c r="O79" s="186"/>
      <c r="P79" s="182"/>
      <c r="Q79" s="186"/>
      <c r="R79" s="177"/>
      <c r="S79" s="187"/>
    </row>
    <row r="80" spans="2:20">
      <c r="B80" s="176" t="s">
        <v>137</v>
      </c>
      <c r="C80" s="177"/>
      <c r="D80" s="177"/>
      <c r="E80" s="176"/>
      <c r="F80" s="177"/>
      <c r="G80" s="177"/>
      <c r="H80" s="177"/>
      <c r="I80" s="177"/>
      <c r="J80" s="177"/>
      <c r="K80" s="177"/>
      <c r="L80" s="178"/>
      <c r="M80" s="185"/>
      <c r="N80" s="182"/>
      <c r="O80" s="182"/>
      <c r="P80" s="182"/>
      <c r="Q80" s="186"/>
      <c r="R80" s="177"/>
      <c r="S80" s="187"/>
    </row>
    <row r="81" spans="2:20">
      <c r="B81" s="176"/>
      <c r="C81" s="177"/>
      <c r="D81" s="177"/>
      <c r="E81" s="176"/>
      <c r="F81" s="177"/>
      <c r="G81" s="177"/>
      <c r="H81" s="177"/>
      <c r="I81" s="177"/>
      <c r="J81" s="177"/>
      <c r="K81" s="177"/>
      <c r="L81" s="178"/>
      <c r="M81" s="181"/>
      <c r="N81" s="182"/>
      <c r="O81" s="182"/>
      <c r="P81" s="182"/>
      <c r="Q81" s="182"/>
      <c r="R81" s="177"/>
      <c r="S81" s="178"/>
    </row>
    <row r="82" spans="2:20">
      <c r="B82" s="176" t="s">
        <v>135</v>
      </c>
      <c r="C82" s="177"/>
      <c r="D82" s="177"/>
      <c r="E82" s="176"/>
      <c r="F82" s="177"/>
      <c r="G82" s="177"/>
      <c r="H82" s="177"/>
      <c r="I82" s="177"/>
      <c r="J82" s="177"/>
      <c r="K82" s="177"/>
      <c r="L82" s="178"/>
      <c r="M82" s="1397">
        <f>M78/$S78</f>
        <v>0.34295316099388756</v>
      </c>
      <c r="N82" s="1397">
        <f>N78/$S78</f>
        <v>0.19407538814035946</v>
      </c>
      <c r="O82" s="1397">
        <f>O78/$S78</f>
        <v>7.8136782423746221E-2</v>
      </c>
      <c r="P82" s="1397">
        <f>$P78/$S78*$O50/($O50+$P50)</f>
        <v>0.15739625528025014</v>
      </c>
      <c r="Q82" s="1397">
        <f>Q78/$S78</f>
        <v>9.1242727265904447E-2</v>
      </c>
      <c r="R82" s="1398"/>
      <c r="S82" s="1399">
        <f>SUM(M82:Q82)+T82</f>
        <v>1</v>
      </c>
      <c r="T82" s="1397">
        <f>$P78/$S78*$P50/($O50+$P50)</f>
        <v>0.13619568589585218</v>
      </c>
    </row>
    <row r="83" spans="2:20">
      <c r="B83" s="176" t="s">
        <v>136</v>
      </c>
      <c r="C83" s="177"/>
      <c r="D83" s="177"/>
      <c r="E83" s="176"/>
      <c r="F83" s="177"/>
      <c r="G83" s="177"/>
      <c r="H83" s="177"/>
      <c r="I83" s="177"/>
      <c r="J83" s="177"/>
      <c r="K83" s="177"/>
      <c r="L83" s="178"/>
      <c r="M83" s="188"/>
      <c r="N83" s="188"/>
      <c r="O83" s="188"/>
      <c r="P83" s="188"/>
      <c r="Q83" s="188"/>
      <c r="R83" s="191"/>
      <c r="S83" s="190"/>
    </row>
    <row r="84" spans="2:20" ht="13.5" thickBot="1">
      <c r="B84" s="192" t="s">
        <v>137</v>
      </c>
      <c r="C84" s="193"/>
      <c r="D84" s="193"/>
      <c r="E84" s="192"/>
      <c r="F84" s="193"/>
      <c r="G84" s="193"/>
      <c r="H84" s="193"/>
      <c r="I84" s="193"/>
      <c r="J84" s="193"/>
      <c r="K84" s="193"/>
      <c r="L84" s="194"/>
      <c r="M84" s="188"/>
      <c r="N84" s="188"/>
      <c r="O84" s="188"/>
      <c r="P84" s="188"/>
      <c r="Q84" s="188"/>
      <c r="R84" s="195"/>
      <c r="S84" s="190"/>
    </row>
  </sheetData>
  <mergeCells count="8">
    <mergeCell ref="E72:K72"/>
    <mergeCell ref="M72:S72"/>
    <mergeCell ref="F43:J43"/>
    <mergeCell ref="L43:O43"/>
    <mergeCell ref="Q43:U43"/>
    <mergeCell ref="B58:H58"/>
    <mergeCell ref="E69:L69"/>
    <mergeCell ref="M69:S69"/>
  </mergeCells>
  <phoneticPr fontId="0" type="noConversion"/>
  <hyperlinks>
    <hyperlink ref="B2" location="Inputs!A1" display="Index"/>
  </hyperlinks>
  <pageMargins left="0.70866141732283472" right="0.70866141732283472" top="0.74803149606299213" bottom="0.74803149606299213" header="0.31496062992125984" footer="0.31496062992125984"/>
  <pageSetup paperSize="9" scale="2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2"/>
  <sheetViews>
    <sheetView topLeftCell="C1" zoomScale="70" zoomScaleNormal="70" workbookViewId="0">
      <selection activeCell="L36" sqref="L36"/>
    </sheetView>
  </sheetViews>
  <sheetFormatPr defaultRowHeight="12.75"/>
  <cols>
    <col min="1" max="2" width="9.42578125" style="1347" customWidth="1"/>
    <col min="3" max="3" width="58" style="1347" bestFit="1" customWidth="1"/>
    <col min="4" max="4" width="14.85546875" style="1347" bestFit="1" customWidth="1"/>
    <col min="5" max="6" width="7.7109375" style="1347" bestFit="1" customWidth="1"/>
    <col min="7" max="7" width="7.7109375" style="1347" customWidth="1"/>
    <col min="8" max="8" width="6.42578125" style="1347" bestFit="1" customWidth="1"/>
    <col min="9" max="9" width="11.85546875" style="1347" customWidth="1"/>
    <col min="10" max="10" width="11.85546875" style="118" customWidth="1"/>
    <col min="11" max="11" width="7.7109375" style="1347" customWidth="1"/>
    <col min="12" max="12" width="20.42578125" style="1347" bestFit="1" customWidth="1"/>
    <col min="13" max="13" width="11.42578125" style="1347" customWidth="1"/>
    <col min="14" max="14" width="18.85546875" style="1347" customWidth="1"/>
    <col min="15" max="15" width="7.42578125" style="1347" customWidth="1"/>
    <col min="16" max="16" width="11" style="1347" customWidth="1"/>
    <col min="17" max="17" width="16.42578125" style="1347" customWidth="1"/>
    <col min="18" max="18" width="8" style="1347" customWidth="1"/>
    <col min="19" max="19" width="17.85546875" style="1347" customWidth="1"/>
    <col min="20" max="20" width="7.7109375" style="1347" bestFit="1" customWidth="1"/>
    <col min="21" max="21" width="7.7109375" style="1347" customWidth="1"/>
    <col min="22" max="23" width="18.140625" style="1347" customWidth="1"/>
    <col min="24" max="24" width="24.28515625" style="1347" customWidth="1"/>
    <col min="25" max="25" width="13.140625" style="1347" customWidth="1"/>
    <col min="26" max="26" width="10.28515625" style="1347" customWidth="1"/>
    <col min="27" max="27" width="7.28515625" style="1347" customWidth="1"/>
    <col min="28" max="28" width="13.140625" style="1347" customWidth="1"/>
    <col min="29" max="29" width="14.5703125" style="1347" customWidth="1"/>
    <col min="30" max="30" width="27" style="1347" customWidth="1"/>
    <col min="31" max="34" width="13.7109375" style="1347" customWidth="1"/>
    <col min="35" max="35" width="15" style="1347" customWidth="1"/>
    <col min="36" max="36" width="16.42578125" style="1347" customWidth="1"/>
    <col min="37" max="37" width="26.7109375" style="1347" customWidth="1"/>
    <col min="38" max="38" width="7.7109375" style="1347" bestFit="1" customWidth="1"/>
    <col min="39" max="39" width="7.7109375" style="1347" customWidth="1"/>
    <col min="40" max="40" width="23.7109375" style="1347" customWidth="1"/>
    <col min="41" max="41" width="12.140625" style="1347" customWidth="1"/>
    <col min="42" max="42" width="10.85546875" style="1347" customWidth="1"/>
    <col min="43" max="43" width="13.42578125" style="1347" customWidth="1"/>
    <col min="44" max="44" width="9.42578125" style="1347" customWidth="1"/>
    <col min="45" max="45" width="15.28515625" style="1347" customWidth="1"/>
    <col min="46" max="46" width="23.42578125" style="1347" customWidth="1"/>
    <col min="47" max="47" width="6.85546875" style="1347" bestFit="1" customWidth="1"/>
    <col min="48" max="49" width="7.28515625" style="1347" customWidth="1"/>
    <col min="50" max="50" width="23.42578125" style="1347" bestFit="1" customWidth="1"/>
    <col min="51" max="51" width="4.28515625" style="1347" customWidth="1"/>
    <col min="52" max="52" width="22.7109375" style="1347" bestFit="1" customWidth="1"/>
    <col min="53" max="53" width="24.140625" style="1347" customWidth="1"/>
    <col min="54" max="16384" width="9.140625" style="1347"/>
  </cols>
  <sheetData>
    <row r="1" spans="1:53">
      <c r="A1" s="891" t="s">
        <v>774</v>
      </c>
    </row>
    <row r="2" spans="1:53" s="1348" customFormat="1" ht="63.75" customHeight="1" thickBot="1">
      <c r="D2" s="1436" t="s">
        <v>7</v>
      </c>
      <c r="E2" s="1436"/>
      <c r="F2" s="1436"/>
      <c r="G2" s="1436"/>
      <c r="H2" s="1436"/>
      <c r="I2" s="1436"/>
      <c r="J2" s="281"/>
      <c r="L2" s="1436" t="s">
        <v>8</v>
      </c>
      <c r="M2" s="1436"/>
      <c r="N2" s="1436"/>
      <c r="O2" s="1436"/>
      <c r="P2" s="1436"/>
      <c r="S2" s="1436" t="s">
        <v>81</v>
      </c>
      <c r="T2" s="1436"/>
      <c r="U2" s="1436"/>
      <c r="V2" s="1436"/>
      <c r="Y2" s="1436" t="s">
        <v>82</v>
      </c>
      <c r="Z2" s="1436"/>
      <c r="AA2" s="1436"/>
      <c r="AB2" s="1436"/>
      <c r="AE2" s="1436" t="s">
        <v>339</v>
      </c>
      <c r="AF2" s="1436"/>
      <c r="AG2" s="1436"/>
      <c r="AH2" s="1436"/>
      <c r="AJ2" s="1436" t="s">
        <v>9</v>
      </c>
      <c r="AK2" s="1436"/>
      <c r="AL2" s="1436"/>
      <c r="AM2" s="1436"/>
      <c r="AN2" s="1436"/>
      <c r="AO2" s="1436"/>
      <c r="AP2" s="1436"/>
      <c r="AQ2" s="1436"/>
      <c r="AR2" s="1436"/>
    </row>
    <row r="3" spans="1:53" s="71" customFormat="1" ht="24" customHeight="1">
      <c r="A3" s="66"/>
      <c r="B3" s="67"/>
      <c r="C3" s="67"/>
      <c r="D3" s="134"/>
      <c r="E3" s="1442" t="s">
        <v>394</v>
      </c>
      <c r="F3" s="1443"/>
      <c r="G3" s="1443"/>
      <c r="H3" s="1443"/>
      <c r="I3" s="1444"/>
      <c r="J3" s="111"/>
      <c r="K3" s="68"/>
      <c r="L3" s="1425" t="s">
        <v>120</v>
      </c>
      <c r="M3" s="1426"/>
      <c r="N3" s="1426"/>
      <c r="O3" s="1426"/>
      <c r="P3" s="1427"/>
      <c r="Q3" s="69"/>
      <c r="R3" s="69"/>
      <c r="S3" s="1425" t="s">
        <v>369</v>
      </c>
      <c r="T3" s="1426"/>
      <c r="U3" s="1426"/>
      <c r="V3" s="1427"/>
      <c r="W3" s="128"/>
      <c r="X3" s="67"/>
      <c r="Y3" s="1428" t="s">
        <v>395</v>
      </c>
      <c r="Z3" s="1429"/>
      <c r="AA3" s="1429"/>
      <c r="AB3" s="1430"/>
      <c r="AC3" s="70"/>
      <c r="AD3" s="128"/>
      <c r="AE3" s="1423" t="s">
        <v>522</v>
      </c>
      <c r="AF3" s="1424"/>
      <c r="AG3" s="1424"/>
      <c r="AH3" s="1424"/>
      <c r="AI3" s="156"/>
      <c r="AJ3" s="1440" t="s">
        <v>119</v>
      </c>
      <c r="AK3" s="1438"/>
      <c r="AL3" s="1439"/>
      <c r="AM3" s="69"/>
      <c r="AN3" s="69"/>
      <c r="AO3" s="1441" t="s">
        <v>523</v>
      </c>
      <c r="AP3" s="1429"/>
      <c r="AQ3" s="1429"/>
      <c r="AR3" s="1430"/>
      <c r="AS3" s="160"/>
      <c r="AT3" s="70"/>
      <c r="AU3" s="1437" t="s">
        <v>102</v>
      </c>
      <c r="AV3" s="1438"/>
      <c r="AW3" s="1438"/>
      <c r="AX3" s="1439"/>
      <c r="AZ3" s="72"/>
      <c r="BA3" s="72"/>
    </row>
    <row r="4" spans="1:53" s="102" customFormat="1" ht="63.75" customHeight="1">
      <c r="A4" s="96"/>
      <c r="B4" s="97"/>
      <c r="C4" s="97"/>
      <c r="D4" s="100" t="s">
        <v>1</v>
      </c>
      <c r="E4" s="1421" t="s">
        <v>3</v>
      </c>
      <c r="F4" s="1422"/>
      <c r="G4" s="1422"/>
      <c r="H4" s="1422"/>
      <c r="I4" s="101" t="s">
        <v>2</v>
      </c>
      <c r="J4" s="112"/>
      <c r="K4" s="97"/>
      <c r="L4" s="121" t="s">
        <v>127</v>
      </c>
      <c r="M4" s="1432" t="s">
        <v>121</v>
      </c>
      <c r="N4" s="1433"/>
      <c r="O4" s="1433"/>
      <c r="P4" s="1434"/>
      <c r="Q4" s="74"/>
      <c r="R4" s="98"/>
      <c r="S4" s="137"/>
      <c r="T4" s="138"/>
      <c r="U4" s="138"/>
      <c r="V4" s="139"/>
      <c r="W4" s="97"/>
      <c r="X4" s="98"/>
      <c r="Y4" s="137"/>
      <c r="Z4" s="138"/>
      <c r="AA4" s="138"/>
      <c r="AB4" s="139"/>
      <c r="AC4" s="98"/>
      <c r="AD4" s="98"/>
      <c r="AE4" s="137"/>
      <c r="AF4" s="138"/>
      <c r="AG4" s="138"/>
      <c r="AH4" s="139"/>
      <c r="AI4" s="98"/>
      <c r="AJ4" s="1349" t="s">
        <v>34</v>
      </c>
      <c r="AK4" s="98" t="s">
        <v>232</v>
      </c>
      <c r="AL4" s="99" t="s">
        <v>231</v>
      </c>
      <c r="AM4" s="97"/>
      <c r="AN4" s="97"/>
      <c r="AO4" s="261" t="s">
        <v>808</v>
      </c>
      <c r="AP4" s="233" t="s">
        <v>802</v>
      </c>
      <c r="AQ4" s="233" t="s">
        <v>103</v>
      </c>
      <c r="AR4" s="132" t="s">
        <v>307</v>
      </c>
      <c r="AS4" s="74" t="s">
        <v>549</v>
      </c>
      <c r="AT4" s="98"/>
      <c r="AU4" s="261" t="s">
        <v>808</v>
      </c>
      <c r="AV4" s="233" t="s">
        <v>802</v>
      </c>
      <c r="AW4" s="233" t="s">
        <v>103</v>
      </c>
      <c r="AX4" s="262" t="s">
        <v>803</v>
      </c>
      <c r="AZ4" s="256"/>
      <c r="BA4" s="103"/>
    </row>
    <row r="5" spans="1:53" s="102" customFormat="1" ht="15">
      <c r="A5" s="97"/>
      <c r="B5" s="97"/>
      <c r="C5" s="97"/>
      <c r="D5" s="100"/>
      <c r="E5" s="98" t="s">
        <v>808</v>
      </c>
      <c r="F5" s="98" t="s">
        <v>802</v>
      </c>
      <c r="G5" s="98" t="s">
        <v>103</v>
      </c>
      <c r="H5" s="98" t="s">
        <v>803</v>
      </c>
      <c r="I5" s="101"/>
      <c r="J5" s="112"/>
      <c r="K5" s="97"/>
      <c r="L5" s="132"/>
      <c r="M5" s="133" t="s">
        <v>808</v>
      </c>
      <c r="N5" s="132" t="s">
        <v>802</v>
      </c>
      <c r="O5" s="132" t="s">
        <v>103</v>
      </c>
      <c r="P5" s="132" t="s">
        <v>307</v>
      </c>
      <c r="Q5" s="74" t="s">
        <v>549</v>
      </c>
      <c r="R5" s="98"/>
      <c r="S5" s="136" t="s">
        <v>808</v>
      </c>
      <c r="T5" s="129" t="s">
        <v>802</v>
      </c>
      <c r="U5" s="129" t="s">
        <v>103</v>
      </c>
      <c r="V5" s="132" t="s">
        <v>307</v>
      </c>
      <c r="W5" s="74" t="s">
        <v>549</v>
      </c>
      <c r="X5" s="98"/>
      <c r="Y5" s="228" t="s">
        <v>808</v>
      </c>
      <c r="Z5" s="229" t="s">
        <v>802</v>
      </c>
      <c r="AA5" s="229" t="s">
        <v>103</v>
      </c>
      <c r="AB5" s="132" t="s">
        <v>307</v>
      </c>
      <c r="AC5" s="74" t="s">
        <v>549</v>
      </c>
      <c r="AD5" s="98"/>
      <c r="AE5" s="228" t="s">
        <v>808</v>
      </c>
      <c r="AF5" s="229" t="s">
        <v>802</v>
      </c>
      <c r="AG5" s="229" t="s">
        <v>103</v>
      </c>
      <c r="AH5" s="132" t="s">
        <v>307</v>
      </c>
      <c r="AI5" s="98"/>
      <c r="AJ5" s="1350"/>
      <c r="AK5" s="233"/>
      <c r="AL5" s="139"/>
      <c r="AM5" s="97"/>
      <c r="AN5" s="97"/>
      <c r="AO5" s="261"/>
      <c r="AP5" s="233"/>
      <c r="AQ5" s="233"/>
      <c r="AR5" s="262"/>
      <c r="AS5" s="98"/>
      <c r="AT5" s="98"/>
      <c r="AU5" s="261"/>
      <c r="AV5" s="233"/>
      <c r="AW5" s="233"/>
      <c r="AX5" s="262"/>
      <c r="AZ5" s="256"/>
      <c r="BA5" s="103"/>
    </row>
    <row r="6" spans="1:53" s="71" customFormat="1" ht="51" customHeight="1">
      <c r="A6" s="91" t="s">
        <v>104</v>
      </c>
      <c r="B6" s="81" t="s">
        <v>343</v>
      </c>
      <c r="C6" s="107" t="s">
        <v>322</v>
      </c>
      <c r="D6" s="121">
        <f>'RRP 1.3'!D$12</f>
        <v>46.459524808852009</v>
      </c>
      <c r="E6" s="121">
        <f>'RRP 2.4'!L13+'RRP 2.4'!L14+'RRP 2.4'!L18+'RRP 2.4'!L19</f>
        <v>30.925733493062069</v>
      </c>
      <c r="F6" s="121">
        <f>'RRP 2.4'!L12+'RRP 2.4'!L17-'Calc - WPD Opex Allocation'!G6</f>
        <v>36.86</v>
      </c>
      <c r="G6" s="121">
        <v>0</v>
      </c>
      <c r="H6" s="121">
        <f>'RRP 2.4'!L11+'RRP 2.4'!L16+'RRP 2.4'!L24</f>
        <v>-21.4</v>
      </c>
      <c r="I6" s="121">
        <f t="shared" ref="I6:I39" si="0">D6-E6-F6-G6-H6</f>
        <v>7.3791315789939915E-2</v>
      </c>
      <c r="J6" s="119"/>
      <c r="K6" s="74"/>
      <c r="L6" s="121" t="s">
        <v>197</v>
      </c>
      <c r="M6" s="226">
        <f>IF(ISERROR(VLOOKUP($L6,'Calc-Drivers'!$B$17:$G$27,M$42,FALSE))," ",VLOOKUP($L6,'Calc-Drivers'!$B$17:$G$27,M$42,FALSE))</f>
        <v>0.38747343048261829</v>
      </c>
      <c r="N6" s="226">
        <f>IF(ISERROR(VLOOKUP($L6,'Calc-Drivers'!$B$17:$G$27,N$42,FALSE))," ",VLOOKUP($L6,'Calc-Drivers'!$B$17:$G$27,N$42,FALSE))</f>
        <v>0.11030677919037249</v>
      </c>
      <c r="O6" s="226">
        <f>IF(ISERROR(VLOOKUP($L6,'Calc-Drivers'!$B$17:$G$27,O$42,FALSE))," ",VLOOKUP($L6,'Calc-Drivers'!$B$17:$G$27,O$42,FALSE))</f>
        <v>3.4004292882242937E-2</v>
      </c>
      <c r="P6" s="226">
        <f>IF(ISERROR(VLOOKUP($L6,'Calc-Drivers'!$B$17:$G$27,P$42,FALSE))," ",VLOOKUP($L6,'Calc-Drivers'!$B$17:$G$27,P$42,FALSE))</f>
        <v>0.2454115097251649</v>
      </c>
      <c r="Q6" s="226">
        <f>IF(ISERROR(VLOOKUP($L6,'Calc-Drivers'!$B$17:$G$27,Q$42,FALSE))," ",VLOOKUP($L6,'Calc-Drivers'!$B$17:$G$27,Q$42,FALSE))</f>
        <v>0.22280398771960128</v>
      </c>
      <c r="R6" s="76"/>
      <c r="S6" s="144">
        <f t="shared" ref="S6:W38" si="1">IF(ISERROR($I6*M6)," ",$I6*M6)</f>
        <v>2.8592174268954218E-2</v>
      </c>
      <c r="T6" s="144">
        <f t="shared" si="1"/>
        <v>8.1396823770079497E-3</v>
      </c>
      <c r="U6" s="144">
        <f t="shared" si="1"/>
        <v>2.5092215142871947E-3</v>
      </c>
      <c r="V6" s="140">
        <f t="shared" si="1"/>
        <v>1.8109238212615553E-2</v>
      </c>
      <c r="W6" s="140">
        <f t="shared" si="1"/>
        <v>1.6440999417074994E-2</v>
      </c>
      <c r="X6" s="72"/>
      <c r="Y6" s="77">
        <f t="shared" ref="Y6:AA38" si="2">IF($L6="Do not allocate"," ",S6+E6)</f>
        <v>30.954325667331023</v>
      </c>
      <c r="Z6" s="77">
        <f t="shared" si="2"/>
        <v>36.868139682377006</v>
      </c>
      <c r="AA6" s="77">
        <f t="shared" si="2"/>
        <v>2.5092215142871947E-3</v>
      </c>
      <c r="AB6" s="141">
        <f>IF($L6="Do not allocate"," ",($H6*P6/($P6+$Q6)+V6))</f>
        <v>-11.198534244926398</v>
      </c>
      <c r="AC6" s="141">
        <f>IF($L6="Do not allocate"," ",($H6*Q6/($P6+$Q6)+W6))</f>
        <v>-10.166915517443909</v>
      </c>
      <c r="AD6" s="78"/>
      <c r="AE6" s="79">
        <f>IF(ISERROR(Y6*100000000/'Calc-Units'!$E$21)," ",Y6*100000000/'Calc-Units'!$E$21)</f>
        <v>0.10541259361482816</v>
      </c>
      <c r="AF6" s="79">
        <f>IF(ISERROR(Z6*100000000/'Calc-Units'!$D$21)," ",Z6*100000000/'Calc-Units'!$D$21)</f>
        <v>0.12852895932057326</v>
      </c>
      <c r="AG6" s="79">
        <f>IF(ISERROR(AA6*100000000/'Calc-Units'!$C$21)," ",AA6*100000000/'Calc-Units'!$C$21)</f>
        <v>1.3010585472815486E-5</v>
      </c>
      <c r="AH6" s="230">
        <f>IF(ISERROR(AB6*100000000/'Calc-Units'!$C$21)," ",AB6*100000000/'Calc-Units'!$C$21)</f>
        <v>-5.8065613631268269E-2</v>
      </c>
      <c r="AI6" s="80"/>
      <c r="AJ6" s="73">
        <v>1</v>
      </c>
      <c r="AK6" s="74">
        <f t="shared" ref="AK6:AK38" si="3">AJ6*D6</f>
        <v>46.459524808852009</v>
      </c>
      <c r="AL6" s="75">
        <f t="shared" ref="AL6:AL38" si="4">D6*(1-AJ6)</f>
        <v>0</v>
      </c>
      <c r="AM6" s="74"/>
      <c r="AN6" s="74"/>
      <c r="AO6" s="77">
        <f>IF(ISERROR(Y6*(1-$AJ6))," ",Y6*(1-$AJ6))</f>
        <v>0</v>
      </c>
      <c r="AP6" s="77">
        <f>IF(ISERROR(Z6*(1-$AJ6))," ",Z6*(1-$AJ6))</f>
        <v>0</v>
      </c>
      <c r="AQ6" s="77">
        <f>IF(ISERROR(AA6*(1-$AJ6))," ",AA6*(1-$AJ6))</f>
        <v>0</v>
      </c>
      <c r="AR6" s="141">
        <f>IF(ISERROR(AB6*(1-$AJ6))," ",AB6*(1-$AJ6))</f>
        <v>0</v>
      </c>
      <c r="AS6" s="141">
        <f>IF(ISERROR(AC6*(1-$AJ6))," ",AC6*(1-$AJ6))</f>
        <v>0</v>
      </c>
      <c r="AT6" s="80"/>
      <c r="AU6" s="259">
        <f>IF(ISERROR(AO6*100000000/'Calc-Units'!$E$21)," ",AO6*100000000/'Calc-Units'!$E$21)</f>
        <v>0</v>
      </c>
      <c r="AV6" s="259">
        <f>IF(ISERROR(AP6*100000000/'Calc-Units'!$D$21)," ",AP6*100000000/'Calc-Units'!$D$21)</f>
        <v>0</v>
      </c>
      <c r="AW6" s="259">
        <f>IF(ISERROR(AQ6*100000000/'Calc-Units'!$C$21)," ",AQ6*100000000/'Calc-Units'!$C$21)</f>
        <v>0</v>
      </c>
      <c r="AX6" s="260">
        <f>IF(ISERROR(AR6*100000000/'Calc-Units'!$C$21)," ",AR6*100000000/'Calc-Units'!$C$21)</f>
        <v>0</v>
      </c>
      <c r="AZ6" s="84"/>
      <c r="BA6" s="72"/>
    </row>
    <row r="7" spans="1:53" s="71" customFormat="1">
      <c r="A7" s="89"/>
      <c r="B7" s="81"/>
      <c r="C7" s="108" t="s">
        <v>178</v>
      </c>
      <c r="D7" s="120">
        <f>'RRP 1.3'!E$12</f>
        <v>62.531667485618783</v>
      </c>
      <c r="E7" s="150">
        <f>SUM('RRP 2.4'!G44:G55)+'RRP 2.4'!G71+'RRP 2.4'!H71</f>
        <v>16.692705678966107</v>
      </c>
      <c r="F7" s="120">
        <f>SUM('RRP 2.4'!G38:G40)+'RRP 2.4'!F71</f>
        <v>16.974055325584295</v>
      </c>
      <c r="G7" s="120">
        <f>'RRP 2.4'!G41+'RRP 2.4'!G42+'RRP 2.4'!G43</f>
        <v>10.149980671044496</v>
      </c>
      <c r="H7" s="120">
        <f>SUM('RRP 2.4'!G31:G37)+'RRP 2.4'!E71</f>
        <v>14.450237342257196</v>
      </c>
      <c r="I7" s="120">
        <f t="shared" si="0"/>
        <v>4.264688467766689</v>
      </c>
      <c r="J7" s="119"/>
      <c r="K7" s="74"/>
      <c r="L7" s="120" t="s">
        <v>197</v>
      </c>
      <c r="M7" s="135">
        <f>IF(ISERROR(VLOOKUP($L7,'Calc-Drivers'!$B$17:$G$27,M$42,FALSE))," ",VLOOKUP($L7,'Calc-Drivers'!$B$17:$G$27,M$42,FALSE))</f>
        <v>0.38747343048261829</v>
      </c>
      <c r="N7" s="135">
        <f>IF(ISERROR(VLOOKUP($L7,'Calc-Drivers'!$B$17:$G$27,N$42,FALSE))," ",VLOOKUP($L7,'Calc-Drivers'!$B$17:$G$27,N$42,FALSE))</f>
        <v>0.11030677919037249</v>
      </c>
      <c r="O7" s="135">
        <f>IF(ISERROR(VLOOKUP($L7,'Calc-Drivers'!$B$17:$G$27,O$42,FALSE))," ",VLOOKUP($L7,'Calc-Drivers'!$B$17:$G$27,O$42,FALSE))</f>
        <v>3.4004292882242937E-2</v>
      </c>
      <c r="P7" s="135">
        <f>IF(ISERROR(VLOOKUP($L7,'Calc-Drivers'!$B$17:$G$27,P$42,FALSE))," ",VLOOKUP($L7,'Calc-Drivers'!$B$17:$G$27,P$42,FALSE))</f>
        <v>0.2454115097251649</v>
      </c>
      <c r="Q7" s="135">
        <f>IF(ISERROR(VLOOKUP($L7,'Calc-Drivers'!$B$17:$G$27,Q$42,FALSE))," ",VLOOKUP($L7,'Calc-Drivers'!$B$17:$G$27,Q$42,FALSE))</f>
        <v>0.22280398771960128</v>
      </c>
      <c r="R7" s="76"/>
      <c r="S7" s="77">
        <f t="shared" si="1"/>
        <v>1.6524534705452201</v>
      </c>
      <c r="T7" s="77">
        <f t="shared" si="1"/>
        <v>0.47042404912966812</v>
      </c>
      <c r="U7" s="77">
        <f t="shared" si="1"/>
        <v>0.14501771570946237</v>
      </c>
      <c r="V7" s="141">
        <f t="shared" si="1"/>
        <v>1.0466036353821233</v>
      </c>
      <c r="W7" s="141">
        <f t="shared" si="1"/>
        <v>0.95018959700021455</v>
      </c>
      <c r="X7" s="72"/>
      <c r="Y7" s="77">
        <f t="shared" si="2"/>
        <v>18.345159149511325</v>
      </c>
      <c r="Z7" s="77">
        <f t="shared" si="2"/>
        <v>17.444479374713964</v>
      </c>
      <c r="AA7" s="77">
        <f t="shared" si="2"/>
        <v>10.294998386753958</v>
      </c>
      <c r="AB7" s="141">
        <f t="shared" ref="AB7:AC38" si="5">IF($L7="Do not allocate"," ",($H7*P7/($P7+$Q7)+V7))</f>
        <v>8.6205830986924603</v>
      </c>
      <c r="AC7" s="141">
        <f t="shared" si="5"/>
        <v>7.8264474759470728</v>
      </c>
      <c r="AD7" s="78"/>
      <c r="AE7" s="79">
        <f>IF(ISERROR(Y7*100000000/'Calc-Units'!$E$21)," ",Y7*100000000/'Calc-Units'!$E$21)</f>
        <v>6.2473039374516696E-2</v>
      </c>
      <c r="AF7" s="79">
        <f>IF(ISERROR(Z7*100000000/'Calc-Units'!$D$21)," ",Z7*100000000/'Calc-Units'!$D$21)</f>
        <v>6.0814589486676091E-2</v>
      </c>
      <c r="AG7" s="79">
        <f>IF(ISERROR(AA7*100000000/'Calc-Units'!$C$21)," ",AA7*100000000/'Calc-Units'!$C$21)</f>
        <v>5.3380682291579169E-2</v>
      </c>
      <c r="AH7" s="230">
        <f>IF(ISERROR(AB7*100000000/'Calc-Units'!$C$21)," ",AB7*100000000/'Calc-Units'!$C$21)</f>
        <v>4.4698657568663591E-2</v>
      </c>
      <c r="AI7" s="80"/>
      <c r="AJ7" s="73">
        <v>1</v>
      </c>
      <c r="AK7" s="74">
        <f t="shared" si="3"/>
        <v>62.531667485618783</v>
      </c>
      <c r="AL7" s="75">
        <f t="shared" si="4"/>
        <v>0</v>
      </c>
      <c r="AM7" s="74"/>
      <c r="AN7" s="74"/>
      <c r="AO7" s="77">
        <f t="shared" ref="AO7:AS38" si="6">IF(ISERROR(Y7*(1-$AJ7))," ",Y7*(1-$AJ7))</f>
        <v>0</v>
      </c>
      <c r="AP7" s="77">
        <f t="shared" si="6"/>
        <v>0</v>
      </c>
      <c r="AQ7" s="77">
        <f t="shared" si="6"/>
        <v>0</v>
      </c>
      <c r="AR7" s="141">
        <f t="shared" si="6"/>
        <v>0</v>
      </c>
      <c r="AS7" s="141">
        <f t="shared" si="6"/>
        <v>0</v>
      </c>
      <c r="AT7" s="80"/>
      <c r="AU7" s="79">
        <f>IF(ISERROR(AO7*100000000/'Calc-Units'!$E$21)," ",AO7*100000000/'Calc-Units'!$E$21)</f>
        <v>0</v>
      </c>
      <c r="AV7" s="79">
        <f>IF(ISERROR(AP7*100000000/'Calc-Units'!$D$21)," ",AP7*100000000/'Calc-Units'!$D$21)</f>
        <v>0</v>
      </c>
      <c r="AW7" s="79">
        <f>IF(ISERROR(AQ7*100000000/'Calc-Units'!$C$21)," ",AQ7*100000000/'Calc-Units'!$C$21)</f>
        <v>0</v>
      </c>
      <c r="AX7" s="230">
        <f>IF(ISERROR(AR7*100000000/'Calc-Units'!$C$21)," ",AR7*100000000/'Calc-Units'!$C$21)</f>
        <v>0</v>
      </c>
      <c r="AZ7" s="84"/>
      <c r="BA7" s="72"/>
    </row>
    <row r="8" spans="1:53" s="71" customFormat="1">
      <c r="A8" s="89"/>
      <c r="B8" s="81"/>
      <c r="C8" s="108" t="s">
        <v>179</v>
      </c>
      <c r="D8" s="120">
        <f>'RRP 1.3'!F$12</f>
        <v>2.3969412916799993</v>
      </c>
      <c r="E8" s="120">
        <v>0</v>
      </c>
      <c r="F8" s="120">
        <v>0</v>
      </c>
      <c r="G8" s="120">
        <v>0</v>
      </c>
      <c r="H8" s="120">
        <v>0</v>
      </c>
      <c r="I8" s="120">
        <f t="shared" si="0"/>
        <v>2.3969412916799993</v>
      </c>
      <c r="J8" s="113"/>
      <c r="K8" s="74"/>
      <c r="L8" s="120" t="s">
        <v>197</v>
      </c>
      <c r="M8" s="135">
        <f>IF(ISERROR(VLOOKUP($L8,'Calc-Drivers'!$B$17:$G$27,M$42,FALSE))," ",VLOOKUP($L8,'Calc-Drivers'!$B$17:$G$27,M$42,FALSE))</f>
        <v>0.38747343048261829</v>
      </c>
      <c r="N8" s="135">
        <f>IF(ISERROR(VLOOKUP($L8,'Calc-Drivers'!$B$17:$G$27,N$42,FALSE))," ",VLOOKUP($L8,'Calc-Drivers'!$B$17:$G$27,N$42,FALSE))</f>
        <v>0.11030677919037249</v>
      </c>
      <c r="O8" s="135">
        <f>IF(ISERROR(VLOOKUP($L8,'Calc-Drivers'!$B$17:$G$27,O$42,FALSE))," ",VLOOKUP($L8,'Calc-Drivers'!$B$17:$G$27,O$42,FALSE))</f>
        <v>3.4004292882242937E-2</v>
      </c>
      <c r="P8" s="135">
        <f>IF(ISERROR(VLOOKUP($L8,'Calc-Drivers'!$B$17:$G$27,P$42,FALSE))," ",VLOOKUP($L8,'Calc-Drivers'!$B$17:$G$27,P$42,FALSE))</f>
        <v>0.2454115097251649</v>
      </c>
      <c r="Q8" s="135">
        <f>IF(ISERROR(VLOOKUP($L8,'Calc-Drivers'!$B$17:$G$27,Q$42,FALSE))," ",VLOOKUP($L8,'Calc-Drivers'!$B$17:$G$27,Q$42,FALSE))</f>
        <v>0.22280398771960128</v>
      </c>
      <c r="R8" s="76"/>
      <c r="S8" s="77">
        <f t="shared" si="1"/>
        <v>0.92875106495268744</v>
      </c>
      <c r="T8" s="77">
        <f t="shared" si="1"/>
        <v>0.26439887379363192</v>
      </c>
      <c r="U8" s="77">
        <f t="shared" si="1"/>
        <v>8.1506293703828392E-2</v>
      </c>
      <c r="V8" s="141">
        <f t="shared" si="1"/>
        <v>0.58823698111377543</v>
      </c>
      <c r="W8" s="141">
        <f t="shared" si="1"/>
        <v>0.5340480781160758</v>
      </c>
      <c r="X8" s="72"/>
      <c r="Y8" s="77">
        <f t="shared" si="2"/>
        <v>0.92875106495268744</v>
      </c>
      <c r="Z8" s="77">
        <f t="shared" si="2"/>
        <v>0.26439887379363192</v>
      </c>
      <c r="AA8" s="77">
        <f t="shared" si="2"/>
        <v>8.1506293703828392E-2</v>
      </c>
      <c r="AB8" s="141">
        <f t="shared" si="5"/>
        <v>0.58823698111377543</v>
      </c>
      <c r="AC8" s="141">
        <f t="shared" si="5"/>
        <v>0.5340480781160758</v>
      </c>
      <c r="AD8" s="78"/>
      <c r="AE8" s="79">
        <f>IF(ISERROR(Y8*100000000/'Calc-Units'!$E$21)," ",Y8*100000000/'Calc-Units'!$E$21)</f>
        <v>3.1627908690810749E-3</v>
      </c>
      <c r="AF8" s="79">
        <f>IF(ISERROR(Z8*100000000/'Calc-Units'!$D$21)," ",Z8*100000000/'Calc-Units'!$D$21)</f>
        <v>9.2174198066388875E-4</v>
      </c>
      <c r="AG8" s="79">
        <f>IF(ISERROR(AA8*100000000/'Calc-Units'!$C$21)," ",AA8*100000000/'Calc-Units'!$C$21)</f>
        <v>4.2261896559073105E-4</v>
      </c>
      <c r="AH8" s="230">
        <f>IF(ISERROR(AB8*100000000/'Calc-Units'!$C$21)," ",AB8*100000000/'Calc-Units'!$C$21)</f>
        <v>3.0500724935900417E-3</v>
      </c>
      <c r="AI8" s="80"/>
      <c r="AJ8" s="73">
        <v>0.23499999999999999</v>
      </c>
      <c r="AK8" s="74">
        <f t="shared" si="3"/>
        <v>0.56328120354479982</v>
      </c>
      <c r="AL8" s="75">
        <f t="shared" si="4"/>
        <v>1.8336600881351994</v>
      </c>
      <c r="AM8" s="74"/>
      <c r="AN8" s="74"/>
      <c r="AO8" s="77">
        <f t="shared" si="6"/>
        <v>0.7104945646888059</v>
      </c>
      <c r="AP8" s="77">
        <f t="shared" si="6"/>
        <v>0.20226513845212843</v>
      </c>
      <c r="AQ8" s="77">
        <f t="shared" si="6"/>
        <v>6.2352314683428722E-2</v>
      </c>
      <c r="AR8" s="141">
        <f t="shared" si="6"/>
        <v>0.45000129055203819</v>
      </c>
      <c r="AS8" s="141">
        <f t="shared" si="6"/>
        <v>0.408546779758798</v>
      </c>
      <c r="AT8" s="80"/>
      <c r="AU8" s="79">
        <f>IF(ISERROR(AO8*100000000/'Calc-Units'!$E$21)," ",AO8*100000000/'Calc-Units'!$E$21)</f>
        <v>2.4195350148470225E-3</v>
      </c>
      <c r="AV8" s="79">
        <f>IF(ISERROR(AP8*100000000/'Calc-Units'!$D$21)," ",AP8*100000000/'Calc-Units'!$D$21)</f>
        <v>7.0513261520787501E-4</v>
      </c>
      <c r="AW8" s="79">
        <f>IF(ISERROR(AQ8*100000000/'Calc-Units'!$C$21)," ",AQ8*100000000/'Calc-Units'!$C$21)</f>
        <v>3.2330350867690929E-4</v>
      </c>
      <c r="AX8" s="230">
        <f>IF(ISERROR(AR8*100000000/'Calc-Units'!$C$21)," ",AR8*100000000/'Calc-Units'!$C$21)</f>
        <v>2.3333054575963817E-3</v>
      </c>
      <c r="AZ8" s="84"/>
      <c r="BA8" s="72"/>
    </row>
    <row r="9" spans="1:53" s="71" customFormat="1">
      <c r="A9" s="89"/>
      <c r="B9" s="81"/>
      <c r="C9" s="108" t="s">
        <v>760</v>
      </c>
      <c r="D9" s="120">
        <f>'RRP 1.3'!G$12</f>
        <v>26.514424209436648</v>
      </c>
      <c r="E9" s="120">
        <f>SUM('RRP 2.3'!I20:I27)</f>
        <v>1.5815681672983535</v>
      </c>
      <c r="F9" s="120">
        <f>SUM('RRP 2.3'!I17:I18)</f>
        <v>6.2658253461024884</v>
      </c>
      <c r="G9" s="120">
        <f>SUM('RRP 2.3'!I19)</f>
        <v>0.55050054364771606</v>
      </c>
      <c r="H9" s="120">
        <f>SUM('RRP 2.3'!I11:I16)</f>
        <v>15.945861262597509</v>
      </c>
      <c r="I9" s="120">
        <f t="shared" si="0"/>
        <v>2.1706688897905817</v>
      </c>
      <c r="J9" s="113"/>
      <c r="K9" s="74"/>
      <c r="L9" s="120" t="s">
        <v>197</v>
      </c>
      <c r="M9" s="135">
        <f>IF(ISERROR(VLOOKUP($L9,'Calc-Drivers'!$B$17:$G$27,M$42,FALSE))," ",VLOOKUP($L9,'Calc-Drivers'!$B$17:$G$27,M$42,FALSE))</f>
        <v>0.38747343048261829</v>
      </c>
      <c r="N9" s="135">
        <f>IF(ISERROR(VLOOKUP($L9,'Calc-Drivers'!$B$17:$G$27,N$42,FALSE))," ",VLOOKUP($L9,'Calc-Drivers'!$B$17:$G$27,N$42,FALSE))</f>
        <v>0.11030677919037249</v>
      </c>
      <c r="O9" s="135">
        <f>IF(ISERROR(VLOOKUP($L9,'Calc-Drivers'!$B$17:$G$27,O$42,FALSE))," ",VLOOKUP($L9,'Calc-Drivers'!$B$17:$G$27,O$42,FALSE))</f>
        <v>3.4004292882242937E-2</v>
      </c>
      <c r="P9" s="135">
        <f>IF(ISERROR(VLOOKUP($L9,'Calc-Drivers'!$B$17:$G$27,P$42,FALSE))," ",VLOOKUP($L9,'Calc-Drivers'!$B$17:$G$27,P$42,FALSE))</f>
        <v>0.2454115097251649</v>
      </c>
      <c r="Q9" s="135">
        <f>IF(ISERROR(VLOOKUP($L9,'Calc-Drivers'!$B$17:$G$27,Q$42,FALSE))," ",VLOOKUP($L9,'Calc-Drivers'!$B$17:$G$27,Q$42,FALSE))</f>
        <v>0.22280398771960128</v>
      </c>
      <c r="R9" s="76"/>
      <c r="S9" s="77">
        <f t="shared" si="1"/>
        <v>0.84107652116905318</v>
      </c>
      <c r="T9" s="77">
        <f t="shared" si="1"/>
        <v>0.23943949392154068</v>
      </c>
      <c r="U9" s="77">
        <f t="shared" si="1"/>
        <v>7.3812060678812061E-2</v>
      </c>
      <c r="V9" s="141">
        <f t="shared" si="1"/>
        <v>0.53270712935695419</v>
      </c>
      <c r="W9" s="141">
        <f t="shared" si="1"/>
        <v>0.4836336846642213</v>
      </c>
      <c r="X9" s="72"/>
      <c r="Y9" s="77">
        <f t="shared" si="2"/>
        <v>2.4226446884674067</v>
      </c>
      <c r="Z9" s="77">
        <f t="shared" si="2"/>
        <v>6.5052648400240294</v>
      </c>
      <c r="AA9" s="77">
        <f t="shared" si="2"/>
        <v>0.62431260432652813</v>
      </c>
      <c r="AB9" s="141">
        <f t="shared" si="5"/>
        <v>8.8906062328220568</v>
      </c>
      <c r="AC9" s="141">
        <f t="shared" si="5"/>
        <v>8.0715958437966258</v>
      </c>
      <c r="AD9" s="78"/>
      <c r="AE9" s="79">
        <f>IF(ISERROR(Y9*100000000/'Calc-Units'!$E$21)," ",Y9*100000000/'Calc-Units'!$E$21)</f>
        <v>8.2501315894618257E-3</v>
      </c>
      <c r="AF9" s="79">
        <f>IF(ISERROR(Z9*100000000/'Calc-Units'!$D$21)," ",Z9*100000000/'Calc-Units'!$D$21)</f>
        <v>2.267852208427721E-2</v>
      </c>
      <c r="AG9" s="79">
        <f>IF(ISERROR(AA9*100000000/'Calc-Units'!$C$21)," ",AA9*100000000/'Calc-Units'!$C$21)</f>
        <v>3.2371285094188952E-3</v>
      </c>
      <c r="AH9" s="230">
        <f>IF(ISERROR(AB9*100000000/'Calc-Units'!$C$21)," ",AB9*100000000/'Calc-Units'!$C$21)</f>
        <v>4.6098756781199089E-2</v>
      </c>
      <c r="AI9" s="80"/>
      <c r="AJ9" s="73">
        <v>0.23499999999999999</v>
      </c>
      <c r="AK9" s="74">
        <f t="shared" si="3"/>
        <v>6.2308896892176122</v>
      </c>
      <c r="AL9" s="75">
        <f t="shared" si="4"/>
        <v>20.283534520219035</v>
      </c>
      <c r="AM9" s="74"/>
      <c r="AN9" s="74"/>
      <c r="AO9" s="77">
        <f t="shared" si="6"/>
        <v>1.8533231866775661</v>
      </c>
      <c r="AP9" s="77">
        <f t="shared" si="6"/>
        <v>4.9765276026183827</v>
      </c>
      <c r="AQ9" s="77">
        <f t="shared" si="6"/>
        <v>0.47759914230979406</v>
      </c>
      <c r="AR9" s="141">
        <f t="shared" si="6"/>
        <v>6.8013137681088738</v>
      </c>
      <c r="AS9" s="141">
        <f t="shared" si="6"/>
        <v>6.1747708205044187</v>
      </c>
      <c r="AT9" s="80"/>
      <c r="AU9" s="79">
        <f>IF(ISERROR(AO9*100000000/'Calc-Units'!$E$21)," ",AO9*100000000/'Calc-Units'!$E$21)</f>
        <v>6.311350665938297E-3</v>
      </c>
      <c r="AV9" s="79">
        <f>IF(ISERROR(AP9*100000000/'Calc-Units'!$D$21)," ",AP9*100000000/'Calc-Units'!$D$21)</f>
        <v>1.7349069394472068E-2</v>
      </c>
      <c r="AW9" s="79">
        <f>IF(ISERROR(AQ9*100000000/'Calc-Units'!$C$21)," ",AQ9*100000000/'Calc-Units'!$C$21)</f>
        <v>2.4764033097054551E-3</v>
      </c>
      <c r="AX9" s="230">
        <f>IF(ISERROR(AR9*100000000/'Calc-Units'!$C$21)," ",AR9*100000000/'Calc-Units'!$C$21)</f>
        <v>3.5265548937617304E-2</v>
      </c>
      <c r="AZ9" s="84"/>
      <c r="BA9" s="72"/>
    </row>
    <row r="10" spans="1:53" s="71" customFormat="1">
      <c r="A10" s="89"/>
      <c r="B10" s="81"/>
      <c r="C10" s="108" t="s">
        <v>38</v>
      </c>
      <c r="D10" s="120">
        <f>'RRP 1.3'!H$12</f>
        <v>11.606716180984</v>
      </c>
      <c r="E10" s="120">
        <f>SUM('RRP 2.3'!G20:G27)</f>
        <v>4.3025137775305708</v>
      </c>
      <c r="F10" s="120">
        <f>SUM('RRP 2.3'!G17:G18)</f>
        <v>0.50908962554451409</v>
      </c>
      <c r="G10" s="150">
        <f>SUM('RRP 2.3'!G19)</f>
        <v>4.2769388247393829</v>
      </c>
      <c r="H10" s="120">
        <f>SUM('RRP 2.3'!G11:G16)</f>
        <v>1.219180953169533</v>
      </c>
      <c r="I10" s="120">
        <f t="shared" si="0"/>
        <v>1.2989929999999987</v>
      </c>
      <c r="J10" s="113"/>
      <c r="K10" s="74"/>
      <c r="L10" s="122" t="s">
        <v>197</v>
      </c>
      <c r="M10" s="135">
        <f>IF(ISERROR(VLOOKUP($L10,'Calc-Drivers'!$B$17:$G$27,M$42,FALSE))," ",VLOOKUP($L10,'Calc-Drivers'!$B$17:$G$27,M$42,FALSE))</f>
        <v>0.38747343048261829</v>
      </c>
      <c r="N10" s="135">
        <f>IF(ISERROR(VLOOKUP($L10,'Calc-Drivers'!$B$17:$G$27,N$42,FALSE))," ",VLOOKUP($L10,'Calc-Drivers'!$B$17:$G$27,N$42,FALSE))</f>
        <v>0.11030677919037249</v>
      </c>
      <c r="O10" s="135">
        <f>IF(ISERROR(VLOOKUP($L10,'Calc-Drivers'!$B$17:$G$27,O$42,FALSE))," ",VLOOKUP($L10,'Calc-Drivers'!$B$17:$G$27,O$42,FALSE))</f>
        <v>3.4004292882242937E-2</v>
      </c>
      <c r="P10" s="135">
        <f>IF(ISERROR(VLOOKUP($L10,'Calc-Drivers'!$B$17:$G$27,P$42,FALSE))," ",VLOOKUP($L10,'Calc-Drivers'!$B$17:$G$27,P$42,FALSE))</f>
        <v>0.2454115097251649</v>
      </c>
      <c r="Q10" s="135">
        <f>IF(ISERROR(VLOOKUP($L10,'Calc-Drivers'!$B$17:$G$27,Q$42,FALSE))," ",VLOOKUP($L10,'Calc-Drivers'!$B$17:$G$27,Q$42,FALSE))</f>
        <v>0.22280398771960128</v>
      </c>
      <c r="R10" s="76"/>
      <c r="S10" s="77">
        <f t="shared" si="1"/>
        <v>0.50332527388290726</v>
      </c>
      <c r="T10" s="77">
        <f t="shared" si="1"/>
        <v>0.14328773402083939</v>
      </c>
      <c r="U10" s="77">
        <f t="shared" si="1"/>
        <v>4.4171338423983353E-2</v>
      </c>
      <c r="V10" s="141">
        <f t="shared" si="1"/>
        <v>0.31878783325242083</v>
      </c>
      <c r="W10" s="141">
        <f t="shared" si="1"/>
        <v>0.28942082041984774</v>
      </c>
      <c r="X10" s="72"/>
      <c r="Y10" s="77">
        <f t="shared" si="2"/>
        <v>4.8058390514134786</v>
      </c>
      <c r="Z10" s="77">
        <f t="shared" si="2"/>
        <v>0.65237735956535348</v>
      </c>
      <c r="AA10" s="77">
        <f t="shared" si="2"/>
        <v>4.3211101631633664</v>
      </c>
      <c r="AB10" s="141">
        <f t="shared" si="5"/>
        <v>0.95781204321205893</v>
      </c>
      <c r="AC10" s="141">
        <f t="shared" si="5"/>
        <v>0.8695775636297427</v>
      </c>
      <c r="AD10" s="78"/>
      <c r="AE10" s="79">
        <f>IF(ISERROR(Y10*100000000/'Calc-Units'!$E$21)," ",Y10*100000000/'Calc-Units'!$E$21)</f>
        <v>1.636591810622378E-2</v>
      </c>
      <c r="AF10" s="79">
        <f>IF(ISERROR(Z10*100000000/'Calc-Units'!$D$21)," ",Z10*100000000/'Calc-Units'!$D$21)</f>
        <v>2.2743046932014953E-3</v>
      </c>
      <c r="AG10" s="79">
        <f>IF(ISERROR(AA10*100000000/'Calc-Units'!$C$21)," ",AA10*100000000/'Calc-Units'!$C$21)</f>
        <v>2.2405424469373464E-2</v>
      </c>
      <c r="AH10" s="230">
        <f>IF(ISERROR(AB10*100000000/'Calc-Units'!$C$21)," ",AB10*100000000/'Calc-Units'!$C$21)</f>
        <v>4.9663592409626622E-3</v>
      </c>
      <c r="AI10" s="80"/>
      <c r="AJ10" s="73">
        <v>0.23499999999999999</v>
      </c>
      <c r="AK10" s="74">
        <f t="shared" si="3"/>
        <v>2.7275783025312399</v>
      </c>
      <c r="AL10" s="75">
        <f t="shared" si="4"/>
        <v>8.8791378784527595</v>
      </c>
      <c r="AM10" s="74"/>
      <c r="AN10" s="74"/>
      <c r="AO10" s="145">
        <f t="shared" si="6"/>
        <v>3.6764668743313114</v>
      </c>
      <c r="AP10" s="145">
        <f t="shared" si="6"/>
        <v>0.49906868006749544</v>
      </c>
      <c r="AQ10" s="145">
        <f t="shared" si="6"/>
        <v>3.3056492748199755</v>
      </c>
      <c r="AR10" s="142">
        <f t="shared" si="6"/>
        <v>0.73272621305722507</v>
      </c>
      <c r="AS10" s="142">
        <f t="shared" si="6"/>
        <v>0.66522683617675316</v>
      </c>
      <c r="AT10" s="80"/>
      <c r="AU10" s="231">
        <f>IF(ISERROR(AO10*100000000/'Calc-Units'!$E$21)," ",AO10*100000000/'Calc-Units'!$E$21)</f>
        <v>1.2519927351261192E-2</v>
      </c>
      <c r="AV10" s="231">
        <f>IF(ISERROR(AP10*100000000/'Calc-Units'!$D$21)," ",AP10*100000000/'Calc-Units'!$D$21)</f>
        <v>1.7398430902991438E-3</v>
      </c>
      <c r="AW10" s="231">
        <f>IF(ISERROR(AQ10*100000000/'Calc-Units'!$C$21)," ",AQ10*100000000/'Calc-Units'!$C$21)</f>
        <v>1.7140149719070703E-2</v>
      </c>
      <c r="AX10" s="232">
        <f>IF(ISERROR(AR10*100000000/'Calc-Units'!$C$21)," ",AR10*100000000/'Calc-Units'!$C$21)</f>
        <v>3.7992648193364361E-3</v>
      </c>
      <c r="AZ10" s="84"/>
      <c r="BA10" s="72"/>
    </row>
    <row r="11" spans="1:53" s="71" customFormat="1">
      <c r="A11" s="92"/>
      <c r="B11" s="81"/>
      <c r="C11" s="225" t="s">
        <v>762</v>
      </c>
      <c r="D11" s="132">
        <f>'RRP 1.3'!I$12</f>
        <v>3.1208690599999995</v>
      </c>
      <c r="E11" s="132">
        <f>'RRP 2.3'!G46+'RRP 2.3'!G47</f>
        <v>0.81105305641463454</v>
      </c>
      <c r="F11" s="132">
        <f>'RRP 2.3'!G45</f>
        <v>3.8399956961413602</v>
      </c>
      <c r="G11" s="133">
        <v>0</v>
      </c>
      <c r="H11" s="132">
        <f>'RRP 2.3'!G44</f>
        <v>2.6698203074440059</v>
      </c>
      <c r="I11" s="132">
        <f t="shared" si="0"/>
        <v>-4.2000000000000011</v>
      </c>
      <c r="J11" s="113"/>
      <c r="K11" s="74"/>
      <c r="L11" s="143" t="s">
        <v>197</v>
      </c>
      <c r="M11" s="227">
        <f>IF(ISERROR(VLOOKUP($L11,'Calc-Drivers'!$B$17:$G$27,M$42,FALSE))," ",VLOOKUP($L11,'Calc-Drivers'!$B$17:$G$27,M$42,FALSE))</f>
        <v>0.38747343048261829</v>
      </c>
      <c r="N11" s="227">
        <f>IF(ISERROR(VLOOKUP($L11,'Calc-Drivers'!$B$17:$G$27,N$42,FALSE))," ",VLOOKUP($L11,'Calc-Drivers'!$B$17:$G$27,N$42,FALSE))</f>
        <v>0.11030677919037249</v>
      </c>
      <c r="O11" s="227">
        <f>IF(ISERROR(VLOOKUP($L11,'Calc-Drivers'!$B$17:$G$27,O$42,FALSE))," ",VLOOKUP($L11,'Calc-Drivers'!$B$17:$G$27,O$42,FALSE))</f>
        <v>3.4004292882242937E-2</v>
      </c>
      <c r="P11" s="227">
        <f>IF(ISERROR(VLOOKUP($L11,'Calc-Drivers'!$B$17:$G$27,P$42,FALSE))," ",VLOOKUP($L11,'Calc-Drivers'!$B$17:$G$27,P$42,FALSE))</f>
        <v>0.2454115097251649</v>
      </c>
      <c r="Q11" s="227">
        <f>IF(ISERROR(VLOOKUP($L11,'Calc-Drivers'!$B$17:$G$27,Q$42,FALSE))," ",VLOOKUP($L11,'Calc-Drivers'!$B$17:$G$27,Q$42,FALSE))</f>
        <v>0.22280398771960128</v>
      </c>
      <c r="R11" s="76"/>
      <c r="S11" s="145">
        <f t="shared" si="1"/>
        <v>-1.6273884080269971</v>
      </c>
      <c r="T11" s="145">
        <f t="shared" si="1"/>
        <v>-0.46328847259956457</v>
      </c>
      <c r="U11" s="145">
        <f t="shared" si="1"/>
        <v>-0.14281803010542038</v>
      </c>
      <c r="V11" s="142">
        <f t="shared" si="1"/>
        <v>-1.0307283408456929</v>
      </c>
      <c r="W11" s="142">
        <f t="shared" si="1"/>
        <v>-0.93577674842232561</v>
      </c>
      <c r="X11" s="72"/>
      <c r="Y11" s="145">
        <f t="shared" si="2"/>
        <v>-0.81633535161236259</v>
      </c>
      <c r="Z11" s="145">
        <f t="shared" si="2"/>
        <v>3.3767072235417954</v>
      </c>
      <c r="AA11" s="145">
        <f t="shared" si="2"/>
        <v>-0.14281803010542038</v>
      </c>
      <c r="AB11" s="142">
        <f t="shared" si="5"/>
        <v>0.36863719899748504</v>
      </c>
      <c r="AC11" s="142">
        <f t="shared" si="5"/>
        <v>0.33467801917850215</v>
      </c>
      <c r="AD11" s="78"/>
      <c r="AE11" s="231">
        <f>IF(ISERROR(Y11*100000000/'Calc-Units'!$E$21)," ",Y11*100000000/'Calc-Units'!$E$21)</f>
        <v>-2.7799677369082709E-3</v>
      </c>
      <c r="AF11" s="231">
        <f>IF(ISERROR(Z11*100000000/'Calc-Units'!$D$21)," ",Z11*100000000/'Calc-Units'!$D$21)</f>
        <v>1.1771808100736469E-2</v>
      </c>
      <c r="AG11" s="231">
        <f>IF(ISERROR(AA11*100000000/'Calc-Units'!$C$21)," ",AA11*100000000/'Calc-Units'!$C$21)</f>
        <v>-7.4052696311013367E-4</v>
      </c>
      <c r="AH11" s="232">
        <f>IF(ISERROR(AB11*100000000/'Calc-Units'!$C$21)," ",AB11*100000000/'Calc-Units'!$C$21)</f>
        <v>1.911423825559914E-3</v>
      </c>
      <c r="AI11" s="80"/>
      <c r="AJ11" s="234">
        <v>0.23499999999999999</v>
      </c>
      <c r="AK11" s="235">
        <f t="shared" si="3"/>
        <v>0.7334042290999998</v>
      </c>
      <c r="AL11" s="236">
        <f t="shared" si="4"/>
        <v>2.3874648308999995</v>
      </c>
      <c r="AM11" s="74"/>
      <c r="AN11" s="74"/>
      <c r="AO11" s="144">
        <f t="shared" si="6"/>
        <v>-0.62449654398345744</v>
      </c>
      <c r="AP11" s="144">
        <f t="shared" si="6"/>
        <v>2.5831810260094734</v>
      </c>
      <c r="AQ11" s="144">
        <f t="shared" si="6"/>
        <v>-0.10925579303064659</v>
      </c>
      <c r="AR11" s="140">
        <f t="shared" si="6"/>
        <v>0.28200745723307608</v>
      </c>
      <c r="AS11" s="140">
        <f t="shared" si="6"/>
        <v>0.25602868467155415</v>
      </c>
      <c r="AT11" s="80"/>
      <c r="AU11" s="259">
        <f>IF(ISERROR(AO11*100000000/'Calc-Units'!$E$21)," ",AO11*100000000/'Calc-Units'!$E$21)</f>
        <v>-2.1266753187348278E-3</v>
      </c>
      <c r="AV11" s="259">
        <f>IF(ISERROR(AP11*100000000/'Calc-Units'!$D$21)," ",AP11*100000000/'Calc-Units'!$D$21)</f>
        <v>9.0054331970633988E-3</v>
      </c>
      <c r="AW11" s="259">
        <f>IF(ISERROR(AQ11*100000000/'Calc-Units'!$C$21)," ",AQ11*100000000/'Calc-Units'!$C$21)</f>
        <v>-5.6650312677925224E-4</v>
      </c>
      <c r="AX11" s="260">
        <f>IF(ISERROR(AR11*100000000/'Calc-Units'!$C$21)," ",AR11*100000000/'Calc-Units'!$C$21)</f>
        <v>1.4622392265533344E-3</v>
      </c>
      <c r="AZ11" s="84"/>
      <c r="BA11" s="72"/>
    </row>
    <row r="12" spans="1:53" s="87" customFormat="1" ht="12.75" customHeight="1">
      <c r="A12" s="89"/>
      <c r="B12" s="224" t="s">
        <v>599</v>
      </c>
      <c r="C12" s="109" t="s">
        <v>587</v>
      </c>
      <c r="D12" s="122">
        <f>'RRP 1.3'!J$12</f>
        <v>0.63889207162799966</v>
      </c>
      <c r="E12" s="122">
        <v>0</v>
      </c>
      <c r="F12" s="122">
        <v>0</v>
      </c>
      <c r="G12" s="122">
        <v>0</v>
      </c>
      <c r="H12" s="122">
        <v>0</v>
      </c>
      <c r="I12" s="122">
        <f t="shared" si="0"/>
        <v>0.63889207162799966</v>
      </c>
      <c r="J12" s="114"/>
      <c r="K12" s="83"/>
      <c r="L12" s="122" t="s">
        <v>197</v>
      </c>
      <c r="M12" s="135">
        <f>IF(ISERROR(VLOOKUP($L12,'Calc-Drivers'!$B$17:$G$27,M$42,FALSE))," ",VLOOKUP($L12,'Calc-Drivers'!$B$17:$G$27,M$42,FALSE))</f>
        <v>0.38747343048261829</v>
      </c>
      <c r="N12" s="135">
        <f>IF(ISERROR(VLOOKUP($L12,'Calc-Drivers'!$B$17:$G$27,N$42,FALSE))," ",VLOOKUP($L12,'Calc-Drivers'!$B$17:$G$27,N$42,FALSE))</f>
        <v>0.11030677919037249</v>
      </c>
      <c r="O12" s="135">
        <f>IF(ISERROR(VLOOKUP($L12,'Calc-Drivers'!$B$17:$G$27,O$42,FALSE))," ",VLOOKUP($L12,'Calc-Drivers'!$B$17:$G$27,O$42,FALSE))</f>
        <v>3.4004292882242937E-2</v>
      </c>
      <c r="P12" s="135">
        <f>IF(ISERROR(VLOOKUP($L12,'Calc-Drivers'!$B$17:$G$27,P$42,FALSE))," ",VLOOKUP($L12,'Calc-Drivers'!$B$17:$G$27,P$42,FALSE))</f>
        <v>0.2454115097251649</v>
      </c>
      <c r="Q12" s="135">
        <f>IF(ISERROR(VLOOKUP($L12,'Calc-Drivers'!$B$17:$G$27,Q$42,FALSE))," ",VLOOKUP($L12,'Calc-Drivers'!$B$17:$G$27,Q$42,FALSE))</f>
        <v>0.22280398771960128</v>
      </c>
      <c r="R12" s="76"/>
      <c r="S12" s="77">
        <f t="shared" si="1"/>
        <v>0.24755370270184771</v>
      </c>
      <c r="T12" s="77">
        <f t="shared" si="1"/>
        <v>7.0474126671549397E-2</v>
      </c>
      <c r="U12" s="77">
        <f t="shared" si="1"/>
        <v>2.1725073123781434E-2</v>
      </c>
      <c r="V12" s="141">
        <f t="shared" si="1"/>
        <v>0.15679146784966558</v>
      </c>
      <c r="W12" s="141">
        <f t="shared" si="1"/>
        <v>0.14234770128115545</v>
      </c>
      <c r="X12" s="84"/>
      <c r="Y12" s="144">
        <f t="shared" si="2"/>
        <v>0.24755370270184771</v>
      </c>
      <c r="Z12" s="144">
        <f t="shared" si="2"/>
        <v>7.0474126671549397E-2</v>
      </c>
      <c r="AA12" s="144">
        <f t="shared" si="2"/>
        <v>2.1725073123781434E-2</v>
      </c>
      <c r="AB12" s="140">
        <f t="shared" si="5"/>
        <v>0.15679146784966558</v>
      </c>
      <c r="AC12" s="140">
        <f t="shared" si="5"/>
        <v>0.14234770128115545</v>
      </c>
      <c r="AD12" s="85"/>
      <c r="AE12" s="259">
        <f>IF(ISERROR(Y12*100000000/'Calc-Units'!$E$21)," ",Y12*100000000/'Calc-Units'!$E$21)</f>
        <v>8.4302524116351956E-4</v>
      </c>
      <c r="AF12" s="259">
        <f>IF(ISERROR(Z12*100000000/'Calc-Units'!$D$21)," ",Z12*100000000/'Calc-Units'!$D$21)</f>
        <v>2.4568546821607636E-4</v>
      </c>
      <c r="AG12" s="259">
        <f>IF(ISERROR(AA12*100000000/'Calc-Units'!$C$21)," ",AA12*100000000/'Calc-Units'!$C$21)</f>
        <v>1.1264685846614868E-4</v>
      </c>
      <c r="AH12" s="260">
        <f>IF(ISERROR(AB12*100000000/'Calc-Units'!$C$21)," ",AB12*100000000/'Calc-Units'!$C$21)</f>
        <v>8.1298075209823486E-4</v>
      </c>
      <c r="AI12" s="86"/>
      <c r="AJ12" s="263">
        <v>0.52569999999999995</v>
      </c>
      <c r="AK12" s="254">
        <f t="shared" si="3"/>
        <v>0.33586556205483936</v>
      </c>
      <c r="AL12" s="255">
        <f t="shared" si="4"/>
        <v>0.3030265095731603</v>
      </c>
      <c r="AM12" s="74"/>
      <c r="AN12" s="74"/>
      <c r="AO12" s="77">
        <f t="shared" si="6"/>
        <v>0.11741472119148638</v>
      </c>
      <c r="AP12" s="77">
        <f t="shared" si="6"/>
        <v>3.3425878280315881E-2</v>
      </c>
      <c r="AQ12" s="77">
        <f t="shared" si="6"/>
        <v>1.0304202182609535E-2</v>
      </c>
      <c r="AR12" s="141">
        <f t="shared" si="6"/>
        <v>7.4366193201096387E-2</v>
      </c>
      <c r="AS12" s="141">
        <f t="shared" si="6"/>
        <v>6.7515514717652034E-2</v>
      </c>
      <c r="AT12" s="86"/>
      <c r="AU12" s="79">
        <f>IF(ISERROR(AO12*100000000/'Calc-Units'!$E$21)," ",AO12*100000000/'Calc-Units'!$E$21)</f>
        <v>3.9984687188385735E-4</v>
      </c>
      <c r="AV12" s="79">
        <f>IF(ISERROR(AP12*100000000/'Calc-Units'!$D$21)," ",AP12*100000000/'Calc-Units'!$D$21)</f>
        <v>1.1652861757488501E-4</v>
      </c>
      <c r="AW12" s="79">
        <f>IF(ISERROR(AQ12*100000000/'Calc-Units'!$C$21)," ",AQ12*100000000/'Calc-Units'!$C$21)</f>
        <v>5.3428404970494324E-5</v>
      </c>
      <c r="AX12" s="230">
        <f>IF(ISERROR(AR12*100000000/'Calc-Units'!$C$21)," ",AR12*100000000/'Calc-Units'!$C$21)</f>
        <v>3.8559677072019278E-4</v>
      </c>
      <c r="AZ12" s="84"/>
      <c r="BA12" s="84"/>
    </row>
    <row r="13" spans="1:53" s="87" customFormat="1">
      <c r="A13" s="89"/>
      <c r="B13" s="88"/>
      <c r="C13" s="109" t="s">
        <v>588</v>
      </c>
      <c r="D13" s="122">
        <f>'RRP 1.3'!K$12</f>
        <v>5.1305774955097965</v>
      </c>
      <c r="E13" s="122">
        <v>0</v>
      </c>
      <c r="F13" s="122">
        <v>0</v>
      </c>
      <c r="G13" s="122">
        <v>0</v>
      </c>
      <c r="H13" s="122">
        <v>0</v>
      </c>
      <c r="I13" s="122">
        <f t="shared" si="0"/>
        <v>5.1305774955097965</v>
      </c>
      <c r="J13" s="114"/>
      <c r="K13" s="83"/>
      <c r="L13" s="122" t="s">
        <v>197</v>
      </c>
      <c r="M13" s="135">
        <f>IF(ISERROR(VLOOKUP($L13,'Calc-Drivers'!$B$17:$G$27,M$42,FALSE))," ",VLOOKUP($L13,'Calc-Drivers'!$B$17:$G$27,M$42,FALSE))</f>
        <v>0.38747343048261829</v>
      </c>
      <c r="N13" s="135">
        <f>IF(ISERROR(VLOOKUP($L13,'Calc-Drivers'!$B$17:$G$27,N$42,FALSE))," ",VLOOKUP($L13,'Calc-Drivers'!$B$17:$G$27,N$42,FALSE))</f>
        <v>0.11030677919037249</v>
      </c>
      <c r="O13" s="135">
        <f>IF(ISERROR(VLOOKUP($L13,'Calc-Drivers'!$B$17:$G$27,O$42,FALSE))," ",VLOOKUP($L13,'Calc-Drivers'!$B$17:$G$27,O$42,FALSE))</f>
        <v>3.4004292882242937E-2</v>
      </c>
      <c r="P13" s="135">
        <f>IF(ISERROR(VLOOKUP($L13,'Calc-Drivers'!$B$17:$G$27,P$42,FALSE))," ",VLOOKUP($L13,'Calc-Drivers'!$B$17:$G$27,P$42,FALSE))</f>
        <v>0.2454115097251649</v>
      </c>
      <c r="Q13" s="135">
        <f>IF(ISERROR(VLOOKUP($L13,'Calc-Drivers'!$B$17:$G$27,Q$42,FALSE))," ",VLOOKUP($L13,'Calc-Drivers'!$B$17:$G$27,Q$42,FALSE))</f>
        <v>0.22280398771960128</v>
      </c>
      <c r="R13" s="76"/>
      <c r="S13" s="77">
        <f t="shared" si="1"/>
        <v>1.9879624625421008</v>
      </c>
      <c r="T13" s="77">
        <f t="shared" si="1"/>
        <v>0.56593747891629342</v>
      </c>
      <c r="U13" s="77">
        <f t="shared" si="1"/>
        <v>0.17446165981235956</v>
      </c>
      <c r="V13" s="141">
        <f t="shared" si="1"/>
        <v>1.2591027689350145</v>
      </c>
      <c r="W13" s="141">
        <f t="shared" si="1"/>
        <v>1.1431131253040274</v>
      </c>
      <c r="X13" s="84"/>
      <c r="Y13" s="77">
        <f t="shared" si="2"/>
        <v>1.9879624625421008</v>
      </c>
      <c r="Z13" s="77">
        <f t="shared" si="2"/>
        <v>0.56593747891629342</v>
      </c>
      <c r="AA13" s="77">
        <f t="shared" si="2"/>
        <v>0.17446165981235956</v>
      </c>
      <c r="AB13" s="141">
        <f t="shared" si="5"/>
        <v>1.2591027689350145</v>
      </c>
      <c r="AC13" s="141">
        <f t="shared" si="5"/>
        <v>1.1431131253040274</v>
      </c>
      <c r="AD13" s="85"/>
      <c r="AE13" s="79">
        <f>IF(ISERROR(Y13*100000000/'Calc-Units'!$E$21)," ",Y13*100000000/'Calc-Units'!$E$21)</f>
        <v>6.7698544441770134E-3</v>
      </c>
      <c r="AF13" s="79">
        <f>IF(ISERROR(Z13*100000000/'Calc-Units'!$D$21)," ",Z13*100000000/'Calc-Units'!$D$21)</f>
        <v>1.972959737927583E-3</v>
      </c>
      <c r="AG13" s="79">
        <f>IF(ISERROR(AA13*100000000/'Calc-Units'!$C$21)," ",AA13*100000000/'Calc-Units'!$C$21)</f>
        <v>9.0460261232168176E-4</v>
      </c>
      <c r="AH13" s="230">
        <f>IF(ISERROR(AB13*100000000/'Calc-Units'!$C$21)," ",AB13*100000000/'Calc-Units'!$C$21)</f>
        <v>6.5285843043400103E-3</v>
      </c>
      <c r="AI13" s="86"/>
      <c r="AJ13" s="82">
        <v>0.52569999999999995</v>
      </c>
      <c r="AK13" s="74">
        <f t="shared" si="3"/>
        <v>2.6971445893894996</v>
      </c>
      <c r="AL13" s="75">
        <f t="shared" si="4"/>
        <v>2.4334329061202968</v>
      </c>
      <c r="AM13" s="74"/>
      <c r="AN13" s="74"/>
      <c r="AO13" s="77">
        <f t="shared" si="6"/>
        <v>0.94289059598371849</v>
      </c>
      <c r="AP13" s="77">
        <f t="shared" si="6"/>
        <v>0.268424146249998</v>
      </c>
      <c r="AQ13" s="77">
        <f t="shared" si="6"/>
        <v>8.274716524900215E-2</v>
      </c>
      <c r="AR13" s="141">
        <f t="shared" si="6"/>
        <v>0.5971924433058774</v>
      </c>
      <c r="AS13" s="141">
        <f t="shared" si="6"/>
        <v>0.54217855533170023</v>
      </c>
      <c r="AT13" s="86"/>
      <c r="AU13" s="79">
        <f>IF(ISERROR(AO13*100000000/'Calc-Units'!$E$21)," ",AO13*100000000/'Calc-Units'!$E$21)</f>
        <v>3.2109419628731577E-3</v>
      </c>
      <c r="AV13" s="79">
        <f>IF(ISERROR(AP13*100000000/'Calc-Units'!$D$21)," ",AP13*100000000/'Calc-Units'!$D$21)</f>
        <v>9.3577480369905273E-4</v>
      </c>
      <c r="AW13" s="79">
        <f>IF(ISERROR(AQ13*100000000/'Calc-Units'!$C$21)," ",AQ13*100000000/'Calc-Units'!$C$21)</f>
        <v>4.2905301902417372E-4</v>
      </c>
      <c r="AX13" s="230">
        <f>IF(ISERROR(AR13*100000000/'Calc-Units'!$C$21)," ",AR13*100000000/'Calc-Units'!$C$21)</f>
        <v>3.0965075355484672E-3</v>
      </c>
      <c r="AZ13" s="84"/>
      <c r="BA13" s="84"/>
    </row>
    <row r="14" spans="1:53" s="87" customFormat="1">
      <c r="A14" s="89"/>
      <c r="B14" s="88"/>
      <c r="C14" s="109" t="s">
        <v>589</v>
      </c>
      <c r="D14" s="122">
        <f>'RRP 1.3'!L$12</f>
        <v>2.2167176620892537</v>
      </c>
      <c r="E14" s="122">
        <v>0</v>
      </c>
      <c r="F14" s="122">
        <v>0</v>
      </c>
      <c r="G14" s="122">
        <v>0</v>
      </c>
      <c r="H14" s="122">
        <v>0</v>
      </c>
      <c r="I14" s="122">
        <f t="shared" si="0"/>
        <v>2.2167176620892537</v>
      </c>
      <c r="J14" s="114"/>
      <c r="K14" s="83"/>
      <c r="L14" s="122" t="s">
        <v>197</v>
      </c>
      <c r="M14" s="135">
        <f>IF(ISERROR(VLOOKUP($L14,'Calc-Drivers'!$B$17:$G$27,M$42,FALSE))," ",VLOOKUP($L14,'Calc-Drivers'!$B$17:$G$27,M$42,FALSE))</f>
        <v>0.38747343048261829</v>
      </c>
      <c r="N14" s="135">
        <f>IF(ISERROR(VLOOKUP($L14,'Calc-Drivers'!$B$17:$G$27,N$42,FALSE))," ",VLOOKUP($L14,'Calc-Drivers'!$B$17:$G$27,N$42,FALSE))</f>
        <v>0.11030677919037249</v>
      </c>
      <c r="O14" s="135">
        <f>IF(ISERROR(VLOOKUP($L14,'Calc-Drivers'!$B$17:$G$27,O$42,FALSE))," ",VLOOKUP($L14,'Calc-Drivers'!$B$17:$G$27,O$42,FALSE))</f>
        <v>3.4004292882242937E-2</v>
      </c>
      <c r="P14" s="135">
        <f>IF(ISERROR(VLOOKUP($L14,'Calc-Drivers'!$B$17:$G$27,P$42,FALSE))," ",VLOOKUP($L14,'Calc-Drivers'!$B$17:$G$27,P$42,FALSE))</f>
        <v>0.2454115097251649</v>
      </c>
      <c r="Q14" s="135">
        <f>IF(ISERROR(VLOOKUP($L14,'Calc-Drivers'!$B$17:$G$27,Q$42,FALSE))," ",VLOOKUP($L14,'Calc-Drivers'!$B$17:$G$27,Q$42,FALSE))</f>
        <v>0.22280398771960128</v>
      </c>
      <c r="R14" s="76"/>
      <c r="S14" s="77">
        <f t="shared" si="1"/>
        <v>0.85891919694113261</v>
      </c>
      <c r="T14" s="77">
        <f t="shared" si="1"/>
        <v>0.24451898567947805</v>
      </c>
      <c r="U14" s="77">
        <f t="shared" si="1"/>
        <v>7.5377916618923818E-2</v>
      </c>
      <c r="V14" s="141">
        <f t="shared" si="1"/>
        <v>0.54400802808776172</v>
      </c>
      <c r="W14" s="141">
        <f t="shared" si="1"/>
        <v>0.49389353476195735</v>
      </c>
      <c r="X14" s="84"/>
      <c r="Y14" s="77">
        <f t="shared" si="2"/>
        <v>0.85891919694113261</v>
      </c>
      <c r="Z14" s="77">
        <f t="shared" si="2"/>
        <v>0.24451898567947805</v>
      </c>
      <c r="AA14" s="77">
        <f t="shared" si="2"/>
        <v>7.5377916618923818E-2</v>
      </c>
      <c r="AB14" s="141">
        <f t="shared" si="5"/>
        <v>0.54400802808776172</v>
      </c>
      <c r="AC14" s="141">
        <f t="shared" si="5"/>
        <v>0.49389353476195735</v>
      </c>
      <c r="AD14" s="85"/>
      <c r="AE14" s="79">
        <f>IF(ISERROR(Y14*100000000/'Calc-Units'!$E$21)," ",Y14*100000000/'Calc-Units'!$E$21)</f>
        <v>2.9249837721610065E-3</v>
      </c>
      <c r="AF14" s="79">
        <f>IF(ISERROR(Z14*100000000/'Calc-Units'!$D$21)," ",Z14*100000000/'Calc-Units'!$D$21)</f>
        <v>8.5243711872253652E-4</v>
      </c>
      <c r="AG14" s="79">
        <f>IF(ISERROR(AA14*100000000/'Calc-Units'!$C$21)," ",AA14*100000000/'Calc-Units'!$C$21)</f>
        <v>3.9084266628084524E-4</v>
      </c>
      <c r="AH14" s="230">
        <f>IF(ISERROR(AB14*100000000/'Calc-Units'!$C$21)," ",AB14*100000000/'Calc-Units'!$C$21)</f>
        <v>2.820740579113148E-3</v>
      </c>
      <c r="AI14" s="86"/>
      <c r="AJ14" s="82">
        <v>0.52569999999999995</v>
      </c>
      <c r="AK14" s="74">
        <f t="shared" si="3"/>
        <v>1.1653284749603205</v>
      </c>
      <c r="AL14" s="75">
        <f t="shared" si="4"/>
        <v>1.0513891871289331</v>
      </c>
      <c r="AM14" s="74"/>
      <c r="AN14" s="74"/>
      <c r="AO14" s="77">
        <f t="shared" si="6"/>
        <v>0.40738537510917927</v>
      </c>
      <c r="AP14" s="77">
        <f t="shared" si="6"/>
        <v>0.11597535490777645</v>
      </c>
      <c r="AQ14" s="77">
        <f t="shared" si="6"/>
        <v>3.575174585235557E-2</v>
      </c>
      <c r="AR14" s="141">
        <f t="shared" si="6"/>
        <v>0.25802300772202541</v>
      </c>
      <c r="AS14" s="141">
        <f t="shared" si="6"/>
        <v>0.23425370353759639</v>
      </c>
      <c r="AT14" s="86"/>
      <c r="AU14" s="79">
        <f>IF(ISERROR(AO14*100000000/'Calc-Units'!$E$21)," ",AO14*100000000/'Calc-Units'!$E$21)</f>
        <v>1.3873198031359656E-3</v>
      </c>
      <c r="AV14" s="79">
        <f>IF(ISERROR(AP14*100000000/'Calc-Units'!$D$21)," ",AP14*100000000/'Calc-Units'!$D$21)</f>
        <v>4.0431092541009915E-4</v>
      </c>
      <c r="AW14" s="79">
        <f>IF(ISERROR(AQ14*100000000/'Calc-Units'!$C$21)," ",AQ14*100000000/'Calc-Units'!$C$21)</f>
        <v>1.8537667661700492E-4</v>
      </c>
      <c r="AX14" s="230">
        <f>IF(ISERROR(AR14*100000000/'Calc-Units'!$C$21)," ",AR14*100000000/'Calc-Units'!$C$21)</f>
        <v>1.3378772566733663E-3</v>
      </c>
      <c r="AZ14" s="84"/>
      <c r="BA14" s="84"/>
    </row>
    <row r="15" spans="1:53" s="87" customFormat="1">
      <c r="A15" s="89"/>
      <c r="B15" s="88"/>
      <c r="C15" s="109" t="s">
        <v>590</v>
      </c>
      <c r="D15" s="122">
        <f>'RRP 1.3'!M$12</f>
        <v>16.939612814221448</v>
      </c>
      <c r="E15" s="122">
        <v>0</v>
      </c>
      <c r="F15" s="122">
        <v>0</v>
      </c>
      <c r="G15" s="122">
        <v>0</v>
      </c>
      <c r="H15" s="122">
        <v>0</v>
      </c>
      <c r="I15" s="122">
        <f t="shared" si="0"/>
        <v>16.939612814221448</v>
      </c>
      <c r="J15" s="114"/>
      <c r="K15" s="83"/>
      <c r="L15" s="122" t="s">
        <v>197</v>
      </c>
      <c r="M15" s="135">
        <f>IF(ISERROR(VLOOKUP($L15,'Calc-Drivers'!$B$17:$G$27,M$42,FALSE))," ",VLOOKUP($L15,'Calc-Drivers'!$B$17:$G$27,M$42,FALSE))</f>
        <v>0.38747343048261829</v>
      </c>
      <c r="N15" s="135">
        <f>IF(ISERROR(VLOOKUP($L15,'Calc-Drivers'!$B$17:$G$27,N$42,FALSE))," ",VLOOKUP($L15,'Calc-Drivers'!$B$17:$G$27,N$42,FALSE))</f>
        <v>0.11030677919037249</v>
      </c>
      <c r="O15" s="135">
        <f>IF(ISERROR(VLOOKUP($L15,'Calc-Drivers'!$B$17:$G$27,O$42,FALSE))," ",VLOOKUP($L15,'Calc-Drivers'!$B$17:$G$27,O$42,FALSE))</f>
        <v>3.4004292882242937E-2</v>
      </c>
      <c r="P15" s="135">
        <f>IF(ISERROR(VLOOKUP($L15,'Calc-Drivers'!$B$17:$G$27,P$42,FALSE))," ",VLOOKUP($L15,'Calc-Drivers'!$B$17:$G$27,P$42,FALSE))</f>
        <v>0.2454115097251649</v>
      </c>
      <c r="Q15" s="135">
        <f>IF(ISERROR(VLOOKUP($L15,'Calc-Drivers'!$B$17:$G$27,Q$42,FALSE))," ",VLOOKUP($L15,'Calc-Drivers'!$B$17:$G$27,Q$42,FALSE))</f>
        <v>0.22280398771960128</v>
      </c>
      <c r="R15" s="76"/>
      <c r="S15" s="77">
        <f t="shared" si="1"/>
        <v>6.5636498881737042</v>
      </c>
      <c r="T15" s="77">
        <f t="shared" si="1"/>
        <v>1.8685541302687296</v>
      </c>
      <c r="U15" s="77">
        <f t="shared" si="1"/>
        <v>0.57601955544658168</v>
      </c>
      <c r="V15" s="141">
        <f t="shared" si="1"/>
        <v>4.1571759548978351</v>
      </c>
      <c r="W15" s="141">
        <f t="shared" si="1"/>
        <v>3.774213285434596</v>
      </c>
      <c r="X15" s="84"/>
      <c r="Y15" s="77">
        <f t="shared" si="2"/>
        <v>6.5636498881737042</v>
      </c>
      <c r="Z15" s="77">
        <f t="shared" si="2"/>
        <v>1.8685541302687296</v>
      </c>
      <c r="AA15" s="77">
        <f t="shared" si="2"/>
        <v>0.57601955544658168</v>
      </c>
      <c r="AB15" s="141">
        <f t="shared" si="5"/>
        <v>4.1571759548978351</v>
      </c>
      <c r="AC15" s="141">
        <f t="shared" si="5"/>
        <v>3.774213285434596</v>
      </c>
      <c r="AD15" s="85"/>
      <c r="AE15" s="79">
        <f>IF(ISERROR(Y15*100000000/'Calc-Units'!$E$21)," ",Y15*100000000/'Calc-Units'!$E$21)</f>
        <v>2.235200875405547E-2</v>
      </c>
      <c r="AF15" s="79">
        <f>IF(ISERROR(Z15*100000000/'Calc-Units'!$D$21)," ",Z15*100000000/'Calc-Units'!$D$21)</f>
        <v>6.5141154358921158E-3</v>
      </c>
      <c r="AG15" s="79">
        <f>IF(ISERROR(AA15*100000000/'Calc-Units'!$C$21)," ",AA15*100000000/'Calc-Units'!$C$21)</f>
        <v>2.9867238175183123E-3</v>
      </c>
      <c r="AH15" s="230">
        <f>IF(ISERROR(AB15*100000000/'Calc-Units'!$C$21)," ",AB15*100000000/'Calc-Units'!$C$21)</f>
        <v>2.155540783416901E-2</v>
      </c>
      <c r="AI15" s="86"/>
      <c r="AJ15" s="82">
        <v>0.52569999999999995</v>
      </c>
      <c r="AK15" s="74">
        <f t="shared" si="3"/>
        <v>8.9051544564362146</v>
      </c>
      <c r="AL15" s="75">
        <f t="shared" si="4"/>
        <v>8.0344583577852333</v>
      </c>
      <c r="AM15" s="74"/>
      <c r="AN15" s="74"/>
      <c r="AO15" s="77">
        <f t="shared" si="6"/>
        <v>3.1131391419607883</v>
      </c>
      <c r="AP15" s="77">
        <f t="shared" si="6"/>
        <v>0.88625522398645862</v>
      </c>
      <c r="AQ15" s="77">
        <f t="shared" si="6"/>
        <v>0.27320607514831374</v>
      </c>
      <c r="AR15" s="141">
        <f t="shared" si="6"/>
        <v>1.9717485554080434</v>
      </c>
      <c r="AS15" s="141">
        <f t="shared" si="6"/>
        <v>1.790109361281629</v>
      </c>
      <c r="AT15" s="86"/>
      <c r="AU15" s="79">
        <f>IF(ISERROR(AO15*100000000/'Calc-Units'!$E$21)," ",AO15*100000000/'Calc-Units'!$E$21)</f>
        <v>1.0601557752048511E-2</v>
      </c>
      <c r="AV15" s="79">
        <f>IF(ISERROR(AP15*100000000/'Calc-Units'!$D$21)," ",AP15*100000000/'Calc-Units'!$D$21)</f>
        <v>3.0896449512436311E-3</v>
      </c>
      <c r="AW15" s="79">
        <f>IF(ISERROR(AQ15*100000000/'Calc-Units'!$C$21)," ",AQ15*100000000/'Calc-Units'!$C$21)</f>
        <v>1.4166031066489358E-3</v>
      </c>
      <c r="AX15" s="230">
        <f>IF(ISERROR(AR15*100000000/'Calc-Units'!$C$21)," ",AR15*100000000/'Calc-Units'!$C$21)</f>
        <v>1.0223729935746361E-2</v>
      </c>
      <c r="AZ15" s="84"/>
      <c r="BA15" s="84"/>
    </row>
    <row r="16" spans="1:53" s="87" customFormat="1">
      <c r="A16" s="89"/>
      <c r="B16" s="88"/>
      <c r="C16" s="109" t="s">
        <v>591</v>
      </c>
      <c r="D16" s="122">
        <f>'RRP 1.3'!N$12</f>
        <v>4.4300162415596507</v>
      </c>
      <c r="E16" s="122">
        <v>0</v>
      </c>
      <c r="F16" s="122">
        <v>0</v>
      </c>
      <c r="G16" s="122">
        <v>0</v>
      </c>
      <c r="H16" s="122">
        <v>0</v>
      </c>
      <c r="I16" s="122">
        <f t="shared" si="0"/>
        <v>4.4300162415596507</v>
      </c>
      <c r="J16" s="114"/>
      <c r="K16" s="83"/>
      <c r="L16" s="122" t="s">
        <v>197</v>
      </c>
      <c r="M16" s="135">
        <f>IF(ISERROR(VLOOKUP($L16,'Calc-Drivers'!$B$17:$G$27,M$42,FALSE))," ",VLOOKUP($L16,'Calc-Drivers'!$B$17:$G$27,M$42,FALSE))</f>
        <v>0.38747343048261829</v>
      </c>
      <c r="N16" s="135">
        <f>IF(ISERROR(VLOOKUP($L16,'Calc-Drivers'!$B$17:$G$27,N$42,FALSE))," ",VLOOKUP($L16,'Calc-Drivers'!$B$17:$G$27,N$42,FALSE))</f>
        <v>0.11030677919037249</v>
      </c>
      <c r="O16" s="135">
        <f>IF(ISERROR(VLOOKUP($L16,'Calc-Drivers'!$B$17:$G$27,O$42,FALSE))," ",VLOOKUP($L16,'Calc-Drivers'!$B$17:$G$27,O$42,FALSE))</f>
        <v>3.4004292882242937E-2</v>
      </c>
      <c r="P16" s="135">
        <f>IF(ISERROR(VLOOKUP($L16,'Calc-Drivers'!$B$17:$G$27,P$42,FALSE))," ",VLOOKUP($L16,'Calc-Drivers'!$B$17:$G$27,P$42,FALSE))</f>
        <v>0.2454115097251649</v>
      </c>
      <c r="Q16" s="135">
        <f>IF(ISERROR(VLOOKUP($L16,'Calc-Drivers'!$B$17:$G$27,Q$42,FALSE))," ",VLOOKUP($L16,'Calc-Drivers'!$B$17:$G$27,Q$42,FALSE))</f>
        <v>0.22280398771960128</v>
      </c>
      <c r="R16" s="76"/>
      <c r="S16" s="77">
        <f t="shared" si="1"/>
        <v>1.7165135902108333</v>
      </c>
      <c r="T16" s="77">
        <f t="shared" si="1"/>
        <v>0.48866082336748423</v>
      </c>
      <c r="U16" s="77">
        <f t="shared" si="1"/>
        <v>0.15063956975108744</v>
      </c>
      <c r="V16" s="141">
        <f t="shared" si="1"/>
        <v>1.0871769739481547</v>
      </c>
      <c r="W16" s="141">
        <f t="shared" si="1"/>
        <v>0.98702528428209058</v>
      </c>
      <c r="X16" s="84"/>
      <c r="Y16" s="77">
        <f t="shared" si="2"/>
        <v>1.7165135902108333</v>
      </c>
      <c r="Z16" s="77">
        <f t="shared" si="2"/>
        <v>0.48866082336748423</v>
      </c>
      <c r="AA16" s="77">
        <f t="shared" si="2"/>
        <v>0.15063956975108744</v>
      </c>
      <c r="AB16" s="141">
        <f t="shared" si="5"/>
        <v>1.0871769739481547</v>
      </c>
      <c r="AC16" s="141">
        <f t="shared" si="5"/>
        <v>0.98702528428209058</v>
      </c>
      <c r="AD16" s="85"/>
      <c r="AE16" s="79">
        <f>IF(ISERROR(Y16*100000000/'Calc-Units'!$E$21)," ",Y16*100000000/'Calc-Units'!$E$21)</f>
        <v>5.8454560265284441E-3</v>
      </c>
      <c r="AF16" s="79">
        <f>IF(ISERROR(Z16*100000000/'Calc-Units'!$D$21)," ",Z16*100000000/'Calc-Units'!$D$21)</f>
        <v>1.7035594317816646E-3</v>
      </c>
      <c r="AG16" s="79">
        <f>IF(ISERROR(AA16*100000000/'Calc-Units'!$C$21)," ",AA16*100000000/'Calc-Units'!$C$21)</f>
        <v>7.8108249378350844E-4</v>
      </c>
      <c r="AH16" s="230">
        <f>IF(ISERROR(AB16*100000000/'Calc-Units'!$C$21)," ",AB16*100000000/'Calc-Units'!$C$21)</f>
        <v>5.6371304259470846E-3</v>
      </c>
      <c r="AI16" s="86"/>
      <c r="AJ16" s="82">
        <v>0.52569999999999995</v>
      </c>
      <c r="AK16" s="74">
        <f t="shared" si="3"/>
        <v>2.328859538187908</v>
      </c>
      <c r="AL16" s="75">
        <f t="shared" si="4"/>
        <v>2.1011567033717427</v>
      </c>
      <c r="AM16" s="74"/>
      <c r="AN16" s="74"/>
      <c r="AO16" s="77">
        <f t="shared" si="6"/>
        <v>0.81414239583699832</v>
      </c>
      <c r="AP16" s="77">
        <f t="shared" si="6"/>
        <v>0.2317718285231978</v>
      </c>
      <c r="AQ16" s="77">
        <f t="shared" si="6"/>
        <v>7.1448347932940789E-2</v>
      </c>
      <c r="AR16" s="141">
        <f t="shared" si="6"/>
        <v>0.51564803874360987</v>
      </c>
      <c r="AS16" s="141">
        <f t="shared" si="6"/>
        <v>0.4681460923349956</v>
      </c>
      <c r="AT16" s="86"/>
      <c r="AU16" s="79">
        <f>IF(ISERROR(AO16*100000000/'Calc-Units'!$E$21)," ",AO16*100000000/'Calc-Units'!$E$21)</f>
        <v>2.7724997933824417E-3</v>
      </c>
      <c r="AV16" s="79">
        <f>IF(ISERROR(AP16*100000000/'Calc-Units'!$D$21)," ",AP16*100000000/'Calc-Units'!$D$21)</f>
        <v>8.0799823849404373E-4</v>
      </c>
      <c r="AW16" s="79">
        <f>IF(ISERROR(AQ16*100000000/'Calc-Units'!$C$21)," ",AQ16*100000000/'Calc-Units'!$C$21)</f>
        <v>3.7046742680151815E-4</v>
      </c>
      <c r="AX16" s="230">
        <f>IF(ISERROR(AR16*100000000/'Calc-Units'!$C$21)," ",AR16*100000000/'Calc-Units'!$C$21)</f>
        <v>2.6736909610267025E-3</v>
      </c>
      <c r="AZ16" s="84"/>
      <c r="BA16" s="84"/>
    </row>
    <row r="17" spans="1:53" s="87" customFormat="1">
      <c r="A17" s="89"/>
      <c r="B17" s="88"/>
      <c r="C17" s="109" t="s">
        <v>592</v>
      </c>
      <c r="D17" s="122">
        <f>'RRP 1.3'!O$12</f>
        <v>1.5094657008872003</v>
      </c>
      <c r="E17" s="122">
        <v>0</v>
      </c>
      <c r="F17" s="122">
        <v>0</v>
      </c>
      <c r="G17" s="122">
        <v>0</v>
      </c>
      <c r="H17" s="122">
        <v>0</v>
      </c>
      <c r="I17" s="122">
        <f t="shared" si="0"/>
        <v>1.5094657008872003</v>
      </c>
      <c r="J17" s="114"/>
      <c r="K17" s="83"/>
      <c r="L17" s="122" t="s">
        <v>197</v>
      </c>
      <c r="M17" s="135">
        <f>IF(ISERROR(VLOOKUP($L17,'Calc-Drivers'!$B$17:$G$27,M$42,FALSE))," ",VLOOKUP($L17,'Calc-Drivers'!$B$17:$G$27,M$42,FALSE))</f>
        <v>0.38747343048261829</v>
      </c>
      <c r="N17" s="135">
        <f>IF(ISERROR(VLOOKUP($L17,'Calc-Drivers'!$B$17:$G$27,N$42,FALSE))," ",VLOOKUP($L17,'Calc-Drivers'!$B$17:$G$27,N$42,FALSE))</f>
        <v>0.11030677919037249</v>
      </c>
      <c r="O17" s="135">
        <f>IF(ISERROR(VLOOKUP($L17,'Calc-Drivers'!$B$17:$G$27,O$42,FALSE))," ",VLOOKUP($L17,'Calc-Drivers'!$B$17:$G$27,O$42,FALSE))</f>
        <v>3.4004292882242937E-2</v>
      </c>
      <c r="P17" s="135">
        <f>IF(ISERROR(VLOOKUP($L17,'Calc-Drivers'!$B$17:$G$27,P$42,FALSE))," ",VLOOKUP($L17,'Calc-Drivers'!$B$17:$G$27,P$42,FALSE))</f>
        <v>0.2454115097251649</v>
      </c>
      <c r="Q17" s="135">
        <f>IF(ISERROR(VLOOKUP($L17,'Calc-Drivers'!$B$17:$G$27,Q$42,FALSE))," ",VLOOKUP($L17,'Calc-Drivers'!$B$17:$G$27,Q$42,FALSE))</f>
        <v>0.22280398771960128</v>
      </c>
      <c r="R17" s="76"/>
      <c r="S17" s="77">
        <f t="shared" si="1"/>
        <v>0.58487785331861331</v>
      </c>
      <c r="T17" s="77">
        <f t="shared" si="1"/>
        <v>0.16650429976320524</v>
      </c>
      <c r="U17" s="77">
        <f t="shared" si="1"/>
        <v>5.1328313788668471E-2</v>
      </c>
      <c r="V17" s="141">
        <f t="shared" si="1"/>
        <v>0.37044025653308199</v>
      </c>
      <c r="W17" s="141">
        <f t="shared" si="1"/>
        <v>0.33631497748363109</v>
      </c>
      <c r="X17" s="84"/>
      <c r="Y17" s="77">
        <f t="shared" si="2"/>
        <v>0.58487785331861331</v>
      </c>
      <c r="Z17" s="77">
        <f t="shared" si="2"/>
        <v>0.16650429976320524</v>
      </c>
      <c r="AA17" s="77">
        <f t="shared" si="2"/>
        <v>5.1328313788668471E-2</v>
      </c>
      <c r="AB17" s="141">
        <f t="shared" si="5"/>
        <v>0.37044025653308199</v>
      </c>
      <c r="AC17" s="141">
        <f t="shared" si="5"/>
        <v>0.33631497748363109</v>
      </c>
      <c r="AD17" s="85"/>
      <c r="AE17" s="79">
        <f>IF(ISERROR(Y17*100000000/'Calc-Units'!$E$21)," ",Y17*100000000/'Calc-Units'!$E$21)</f>
        <v>1.9917568913884213E-3</v>
      </c>
      <c r="AF17" s="79">
        <f>IF(ISERROR(Z17*100000000/'Calc-Units'!$D$21)," ",Z17*100000000/'Calc-Units'!$D$21)</f>
        <v>5.8046390610793557E-4</v>
      </c>
      <c r="AG17" s="79">
        <f>IF(ISERROR(AA17*100000000/'Calc-Units'!$C$21)," ",AA17*100000000/'Calc-Units'!$C$21)</f>
        <v>2.6614286938021607E-4</v>
      </c>
      <c r="AH17" s="230">
        <f>IF(ISERROR(AB17*100000000/'Calc-Units'!$C$21)," ",AB17*100000000/'Calc-Units'!$C$21)</f>
        <v>1.9207728742771024E-3</v>
      </c>
      <c r="AI17" s="86"/>
      <c r="AJ17" s="82">
        <v>0.52569999999999995</v>
      </c>
      <c r="AK17" s="74">
        <f t="shared" si="3"/>
        <v>0.79352611895640113</v>
      </c>
      <c r="AL17" s="75">
        <f t="shared" si="4"/>
        <v>0.71593958193079921</v>
      </c>
      <c r="AM17" s="74"/>
      <c r="AN17" s="74"/>
      <c r="AO17" s="77">
        <f t="shared" si="6"/>
        <v>0.27740756582901832</v>
      </c>
      <c r="AP17" s="77">
        <f t="shared" si="6"/>
        <v>7.8972989377688263E-2</v>
      </c>
      <c r="AQ17" s="77">
        <f t="shared" si="6"/>
        <v>2.4345019229965459E-2</v>
      </c>
      <c r="AR17" s="141">
        <f t="shared" si="6"/>
        <v>0.17569981367364082</v>
      </c>
      <c r="AS17" s="141">
        <f t="shared" si="6"/>
        <v>0.15951419382048623</v>
      </c>
      <c r="AT17" s="86"/>
      <c r="AU17" s="79">
        <f>IF(ISERROR(AO17*100000000/'Calc-Units'!$E$21)," ",AO17*100000000/'Calc-Units'!$E$21)</f>
        <v>9.4469029358552827E-4</v>
      </c>
      <c r="AV17" s="79">
        <f>IF(ISERROR(AP17*100000000/'Calc-Units'!$D$21)," ",AP17*100000000/'Calc-Units'!$D$21)</f>
        <v>2.7531403066699393E-4</v>
      </c>
      <c r="AW17" s="79">
        <f>IF(ISERROR(AQ17*100000000/'Calc-Units'!$C$21)," ",AQ17*100000000/'Calc-Units'!$C$21)</f>
        <v>1.2623156294703648E-4</v>
      </c>
      <c r="AX17" s="230">
        <f>IF(ISERROR(AR17*100000000/'Calc-Units'!$C$21)," ",AR17*100000000/'Calc-Units'!$C$21)</f>
        <v>9.1102257426962994E-4</v>
      </c>
      <c r="AZ17" s="84"/>
      <c r="BA17" s="84"/>
    </row>
    <row r="18" spans="1:53" s="87" customFormat="1">
      <c r="A18" s="89"/>
      <c r="B18" s="88"/>
      <c r="C18" s="109" t="s">
        <v>783</v>
      </c>
      <c r="D18" s="122">
        <f>'RRP 1.3'!P$12</f>
        <v>1.3239399267640004</v>
      </c>
      <c r="E18" s="122">
        <v>0</v>
      </c>
      <c r="F18" s="122">
        <v>0</v>
      </c>
      <c r="G18" s="122">
        <v>0</v>
      </c>
      <c r="H18" s="122">
        <v>0</v>
      </c>
      <c r="I18" s="122">
        <f t="shared" si="0"/>
        <v>1.3239399267640004</v>
      </c>
      <c r="J18" s="114"/>
      <c r="K18" s="83"/>
      <c r="L18" s="122" t="s">
        <v>197</v>
      </c>
      <c r="M18" s="135">
        <f>IF(ISERROR(VLOOKUP($L18,'Calc-Drivers'!$B$17:$G$27,M$42,FALSE))," ",VLOOKUP($L18,'Calc-Drivers'!$B$17:$G$27,M$42,FALSE))</f>
        <v>0.38747343048261829</v>
      </c>
      <c r="N18" s="135">
        <f>IF(ISERROR(VLOOKUP($L18,'Calc-Drivers'!$B$17:$G$27,N$42,FALSE))," ",VLOOKUP($L18,'Calc-Drivers'!$B$17:$G$27,N$42,FALSE))</f>
        <v>0.11030677919037249</v>
      </c>
      <c r="O18" s="135">
        <f>IF(ISERROR(VLOOKUP($L18,'Calc-Drivers'!$B$17:$G$27,O$42,FALSE))," ",VLOOKUP($L18,'Calc-Drivers'!$B$17:$G$27,O$42,FALSE))</f>
        <v>3.4004292882242937E-2</v>
      </c>
      <c r="P18" s="135">
        <f>IF(ISERROR(VLOOKUP($L18,'Calc-Drivers'!$B$17:$G$27,P$42,FALSE))," ",VLOOKUP($L18,'Calc-Drivers'!$B$17:$G$27,P$42,FALSE))</f>
        <v>0.2454115097251649</v>
      </c>
      <c r="Q18" s="135">
        <f>IF(ISERROR(VLOOKUP($L18,'Calc-Drivers'!$B$17:$G$27,Q$42,FALSE))," ",VLOOKUP($L18,'Calc-Drivers'!$B$17:$G$27,Q$42,FALSE))</f>
        <v>0.22280398771960128</v>
      </c>
      <c r="R18" s="76"/>
      <c r="S18" s="77">
        <f t="shared" si="1"/>
        <v>0.51299154517615364</v>
      </c>
      <c r="T18" s="77">
        <f t="shared" si="1"/>
        <v>0.14603954916287451</v>
      </c>
      <c r="U18" s="77">
        <f t="shared" si="1"/>
        <v>4.5019641028178334E-2</v>
      </c>
      <c r="V18" s="141">
        <f t="shared" si="1"/>
        <v>0.3249100962125776</v>
      </c>
      <c r="W18" s="141">
        <f t="shared" si="1"/>
        <v>0.29497909518421617</v>
      </c>
      <c r="X18" s="84"/>
      <c r="Y18" s="77">
        <f t="shared" si="2"/>
        <v>0.51299154517615364</v>
      </c>
      <c r="Z18" s="77">
        <f t="shared" si="2"/>
        <v>0.14603954916287451</v>
      </c>
      <c r="AA18" s="77">
        <f t="shared" si="2"/>
        <v>4.5019641028178334E-2</v>
      </c>
      <c r="AB18" s="141">
        <f t="shared" si="5"/>
        <v>0.3249100962125776</v>
      </c>
      <c r="AC18" s="141">
        <f t="shared" si="5"/>
        <v>0.29497909518421617</v>
      </c>
      <c r="AD18" s="85"/>
      <c r="AE18" s="79">
        <f>IF(ISERROR(Y18*100000000/'Calc-Units'!$E$21)," ",Y18*100000000/'Calc-Units'!$E$21)</f>
        <v>1.7469535553981661E-3</v>
      </c>
      <c r="AF18" s="79">
        <f>IF(ISERROR(Z18*100000000/'Calc-Units'!$D$21)," ",Z18*100000000/'Calc-Units'!$D$21)</f>
        <v>5.0912010845294091E-4</v>
      </c>
      <c r="AG18" s="79">
        <f>IF(ISERROR(AA18*100000000/'Calc-Units'!$C$21)," ",AA18*100000000/'Calc-Units'!$C$21)</f>
        <v>2.3343171745399946E-4</v>
      </c>
      <c r="AH18" s="230">
        <f>IF(ISERROR(AB18*100000000/'Calc-Units'!$C$21)," ",AB18*100000000/'Calc-Units'!$C$21)</f>
        <v>1.6846940589680473E-3</v>
      </c>
      <c r="AI18" s="86"/>
      <c r="AJ18" s="82">
        <v>0.52569999999999995</v>
      </c>
      <c r="AK18" s="74">
        <f t="shared" si="3"/>
        <v>0.69599521949983489</v>
      </c>
      <c r="AL18" s="75">
        <f t="shared" si="4"/>
        <v>0.62794470726416551</v>
      </c>
      <c r="AM18" s="74"/>
      <c r="AN18" s="74"/>
      <c r="AO18" s="77">
        <f t="shared" si="6"/>
        <v>0.24331188987704969</v>
      </c>
      <c r="AP18" s="77">
        <f t="shared" si="6"/>
        <v>6.9266558167951395E-2</v>
      </c>
      <c r="AQ18" s="77">
        <f t="shared" si="6"/>
        <v>2.1352815739664986E-2</v>
      </c>
      <c r="AR18" s="141">
        <f t="shared" si="6"/>
        <v>0.15410485863362558</v>
      </c>
      <c r="AS18" s="141">
        <f t="shared" si="6"/>
        <v>0.13990858484587373</v>
      </c>
      <c r="AT18" s="86"/>
      <c r="AU18" s="79">
        <f>IF(ISERROR(AO18*100000000/'Calc-Units'!$E$21)," ",AO18*100000000/'Calc-Units'!$E$21)</f>
        <v>8.2858007132535034E-4</v>
      </c>
      <c r="AV18" s="79">
        <f>IF(ISERROR(AP18*100000000/'Calc-Units'!$D$21)," ",AP18*100000000/'Calc-Units'!$D$21)</f>
        <v>2.4147566743922994E-4</v>
      </c>
      <c r="AW18" s="79">
        <f>IF(ISERROR(AQ18*100000000/'Calc-Units'!$C$21)," ",AQ18*100000000/'Calc-Units'!$C$21)</f>
        <v>1.1071666358843194E-4</v>
      </c>
      <c r="AX18" s="230">
        <f>IF(ISERROR(AR18*100000000/'Calc-Units'!$C$21)," ",AR18*100000000/'Calc-Units'!$C$21)</f>
        <v>7.9905039216854497E-4</v>
      </c>
      <c r="AZ18" s="84"/>
      <c r="BA18" s="84"/>
    </row>
    <row r="19" spans="1:53" s="87" customFormat="1">
      <c r="A19" s="89"/>
      <c r="B19" s="88"/>
      <c r="C19" s="109" t="s">
        <v>784</v>
      </c>
      <c r="D19" s="122">
        <f>'RRP 1.3'!Q$12</f>
        <v>1.562325762189239</v>
      </c>
      <c r="E19" s="122">
        <v>0</v>
      </c>
      <c r="F19" s="122">
        <v>0</v>
      </c>
      <c r="G19" s="122">
        <v>0</v>
      </c>
      <c r="H19" s="122">
        <v>0</v>
      </c>
      <c r="I19" s="122">
        <f t="shared" si="0"/>
        <v>1.562325762189239</v>
      </c>
      <c r="J19" s="114"/>
      <c r="K19" s="83"/>
      <c r="L19" s="122" t="s">
        <v>197</v>
      </c>
      <c r="M19" s="135">
        <f>IF(ISERROR(VLOOKUP($L19,'Calc-Drivers'!$B$17:$G$27,M$42,FALSE))," ",VLOOKUP($L19,'Calc-Drivers'!$B$17:$G$27,M$42,FALSE))</f>
        <v>0.38747343048261829</v>
      </c>
      <c r="N19" s="135">
        <f>IF(ISERROR(VLOOKUP($L19,'Calc-Drivers'!$B$17:$G$27,N$42,FALSE))," ",VLOOKUP($L19,'Calc-Drivers'!$B$17:$G$27,N$42,FALSE))</f>
        <v>0.11030677919037249</v>
      </c>
      <c r="O19" s="135">
        <f>IF(ISERROR(VLOOKUP($L19,'Calc-Drivers'!$B$17:$G$27,O$42,FALSE))," ",VLOOKUP($L19,'Calc-Drivers'!$B$17:$G$27,O$42,FALSE))</f>
        <v>3.4004292882242937E-2</v>
      </c>
      <c r="P19" s="135">
        <f>IF(ISERROR(VLOOKUP($L19,'Calc-Drivers'!$B$17:$G$27,P$42,FALSE))," ",VLOOKUP($L19,'Calc-Drivers'!$B$17:$G$27,P$42,FALSE))</f>
        <v>0.2454115097251649</v>
      </c>
      <c r="Q19" s="135">
        <f>IF(ISERROR(VLOOKUP($L19,'Calc-Drivers'!$B$17:$G$27,Q$42,FALSE))," ",VLOOKUP($L19,'Calc-Drivers'!$B$17:$G$27,Q$42,FALSE))</f>
        <v>0.22280398771960128</v>
      </c>
      <c r="R19" s="76"/>
      <c r="S19" s="77">
        <f t="shared" si="1"/>
        <v>0.60535972260683568</v>
      </c>
      <c r="T19" s="77">
        <f t="shared" si="1"/>
        <v>0.17233512287323879</v>
      </c>
      <c r="U19" s="77">
        <f t="shared" si="1"/>
        <v>5.3125782794956312E-2</v>
      </c>
      <c r="V19" s="141">
        <f t="shared" si="1"/>
        <v>0.3834127239813801</v>
      </c>
      <c r="W19" s="141">
        <f t="shared" si="1"/>
        <v>0.34809240993282792</v>
      </c>
      <c r="X19" s="84"/>
      <c r="Y19" s="77">
        <f t="shared" si="2"/>
        <v>0.60535972260683568</v>
      </c>
      <c r="Z19" s="77">
        <f t="shared" si="2"/>
        <v>0.17233512287323879</v>
      </c>
      <c r="AA19" s="77">
        <f t="shared" si="2"/>
        <v>5.3125782794956312E-2</v>
      </c>
      <c r="AB19" s="141">
        <f t="shared" si="5"/>
        <v>0.3834127239813801</v>
      </c>
      <c r="AC19" s="141">
        <f t="shared" si="5"/>
        <v>0.34809240993282792</v>
      </c>
      <c r="AD19" s="85"/>
      <c r="AE19" s="79">
        <f>IF(ISERROR(Y19*100000000/'Calc-Units'!$E$21)," ",Y19*100000000/'Calc-Units'!$E$21)</f>
        <v>2.0615063340658321E-3</v>
      </c>
      <c r="AF19" s="79">
        <f>IF(ISERROR(Z19*100000000/'Calc-Units'!$D$21)," ",Z19*100000000/'Calc-Units'!$D$21)</f>
        <v>6.0079120313923096E-4</v>
      </c>
      <c r="AG19" s="79">
        <f>IF(ISERROR(AA19*100000000/'Calc-Units'!$C$21)," ",AA19*100000000/'Calc-Units'!$C$21)</f>
        <v>2.7546294096731473E-4</v>
      </c>
      <c r="AH19" s="230">
        <f>IF(ISERROR(AB19*100000000/'Calc-Units'!$C$21)," ",AB19*100000000/'Calc-Units'!$C$21)</f>
        <v>1.9880365238068034E-3</v>
      </c>
      <c r="AI19" s="86"/>
      <c r="AJ19" s="82">
        <v>0.52569999999999995</v>
      </c>
      <c r="AK19" s="74">
        <f t="shared" si="3"/>
        <v>0.82131465318288288</v>
      </c>
      <c r="AL19" s="75">
        <f t="shared" si="4"/>
        <v>0.74101110900635614</v>
      </c>
      <c r="AM19" s="74"/>
      <c r="AN19" s="74"/>
      <c r="AO19" s="77">
        <f t="shared" si="6"/>
        <v>0.28712211643242219</v>
      </c>
      <c r="AP19" s="77">
        <f t="shared" si="6"/>
        <v>8.1738548778777176E-2</v>
      </c>
      <c r="AQ19" s="77">
        <f t="shared" si="6"/>
        <v>2.5197558779647782E-2</v>
      </c>
      <c r="AR19" s="141">
        <f t="shared" si="6"/>
        <v>0.18185265498436859</v>
      </c>
      <c r="AS19" s="141">
        <f t="shared" si="6"/>
        <v>0.1651002300311403</v>
      </c>
      <c r="AT19" s="86"/>
      <c r="AU19" s="79">
        <f>IF(ISERROR(AO19*100000000/'Calc-Units'!$E$21)," ",AO19*100000000/'Calc-Units'!$E$21)</f>
        <v>9.777724542474242E-4</v>
      </c>
      <c r="AV19" s="79">
        <f>IF(ISERROR(AP19*100000000/'Calc-Units'!$D$21)," ",AP19*100000000/'Calc-Units'!$D$21)</f>
        <v>2.8495526764893729E-4</v>
      </c>
      <c r="AW19" s="79">
        <f>IF(ISERROR(AQ19*100000000/'Calc-Units'!$C$21)," ",AQ19*100000000/'Calc-Units'!$C$21)</f>
        <v>1.3065207290079739E-4</v>
      </c>
      <c r="AX19" s="230">
        <f>IF(ISERROR(AR19*100000000/'Calc-Units'!$C$21)," ",AR19*100000000/'Calc-Units'!$C$21)</f>
        <v>9.4292572324156695E-4</v>
      </c>
      <c r="AZ19" s="84"/>
      <c r="BA19" s="84"/>
    </row>
    <row r="20" spans="1:53" s="87" customFormat="1">
      <c r="A20" s="89"/>
      <c r="B20" s="88"/>
      <c r="C20" s="109" t="s">
        <v>470</v>
      </c>
      <c r="D20" s="122">
        <f>'RRP 1.3'!R$12</f>
        <v>6.1510443854799997</v>
      </c>
      <c r="E20" s="122">
        <v>0</v>
      </c>
      <c r="F20" s="122">
        <v>0</v>
      </c>
      <c r="G20" s="122">
        <v>0</v>
      </c>
      <c r="H20" s="122">
        <v>0</v>
      </c>
      <c r="I20" s="122">
        <f t="shared" si="0"/>
        <v>6.1510443854799997</v>
      </c>
      <c r="J20" s="114"/>
      <c r="K20" s="83"/>
      <c r="L20" s="122" t="s">
        <v>197</v>
      </c>
      <c r="M20" s="135">
        <f>IF(ISERROR(VLOOKUP($L20,'Calc-Drivers'!$B$17:$G$27,M$42,FALSE))," ",VLOOKUP($L20,'Calc-Drivers'!$B$17:$G$27,M$42,FALSE))</f>
        <v>0.38747343048261829</v>
      </c>
      <c r="N20" s="135">
        <f>IF(ISERROR(VLOOKUP($L20,'Calc-Drivers'!$B$17:$G$27,N$42,FALSE))," ",VLOOKUP($L20,'Calc-Drivers'!$B$17:$G$27,N$42,FALSE))</f>
        <v>0.11030677919037249</v>
      </c>
      <c r="O20" s="135">
        <f>IF(ISERROR(VLOOKUP($L20,'Calc-Drivers'!$B$17:$G$27,O$42,FALSE))," ",VLOOKUP($L20,'Calc-Drivers'!$B$17:$G$27,O$42,FALSE))</f>
        <v>3.4004292882242937E-2</v>
      </c>
      <c r="P20" s="135">
        <f>IF(ISERROR(VLOOKUP($L20,'Calc-Drivers'!$B$17:$G$27,P$42,FALSE))," ",VLOOKUP($L20,'Calc-Drivers'!$B$17:$G$27,P$42,FALSE))</f>
        <v>0.2454115097251649</v>
      </c>
      <c r="Q20" s="135">
        <f>IF(ISERROR(VLOOKUP($L20,'Calc-Drivers'!$B$17:$G$27,Q$42,FALSE))," ",VLOOKUP($L20,'Calc-Drivers'!$B$17:$G$27,Q$42,FALSE))</f>
        <v>0.22280398771960128</v>
      </c>
      <c r="R20" s="76"/>
      <c r="S20" s="77">
        <f t="shared" si="1"/>
        <v>2.3833662690927842</v>
      </c>
      <c r="T20" s="77">
        <f t="shared" si="1"/>
        <v>0.67850189481932277</v>
      </c>
      <c r="U20" s="77">
        <f t="shared" si="1"/>
        <v>0.20916191481553792</v>
      </c>
      <c r="V20" s="141">
        <f t="shared" si="1"/>
        <v>1.5095370890271458</v>
      </c>
      <c r="W20" s="141">
        <f t="shared" si="1"/>
        <v>1.3704772177252083</v>
      </c>
      <c r="X20" s="84"/>
      <c r="Y20" s="77">
        <f t="shared" si="2"/>
        <v>2.3833662690927842</v>
      </c>
      <c r="Z20" s="77">
        <f t="shared" si="2"/>
        <v>0.67850189481932277</v>
      </c>
      <c r="AA20" s="77">
        <f t="shared" si="2"/>
        <v>0.20916191481553792</v>
      </c>
      <c r="AB20" s="141">
        <f t="shared" si="5"/>
        <v>1.5095370890271458</v>
      </c>
      <c r="AC20" s="141">
        <f t="shared" si="5"/>
        <v>1.3704772177252083</v>
      </c>
      <c r="AD20" s="85"/>
      <c r="AE20" s="79">
        <f>IF(ISERROR(Y20*100000000/'Calc-Units'!$E$21)," ",Y20*100000000/'Calc-Units'!$E$21)</f>
        <v>8.1163719300246431E-3</v>
      </c>
      <c r="AF20" s="79">
        <f>IF(ISERROR(Z20*100000000/'Calc-Units'!$D$21)," ",Z20*100000000/'Calc-Units'!$D$21)</f>
        <v>2.3653795170969715E-3</v>
      </c>
      <c r="AG20" s="79">
        <f>IF(ISERROR(AA20*100000000/'Calc-Units'!$C$21)," ",AA20*100000000/'Calc-Units'!$C$21)</f>
        <v>1.0845271949369384E-3</v>
      </c>
      <c r="AH20" s="230">
        <f>IF(ISERROR(AB20*100000000/'Calc-Units'!$C$21)," ",AB20*100000000/'Calc-Units'!$C$21)</f>
        <v>7.8271133932756708E-3</v>
      </c>
      <c r="AI20" s="86"/>
      <c r="AJ20" s="82">
        <v>0.52569999999999995</v>
      </c>
      <c r="AK20" s="74">
        <f t="shared" si="3"/>
        <v>3.2336040334468357</v>
      </c>
      <c r="AL20" s="75">
        <f t="shared" si="4"/>
        <v>2.917440352033164</v>
      </c>
      <c r="AM20" s="74"/>
      <c r="AN20" s="74"/>
      <c r="AO20" s="77">
        <f t="shared" si="6"/>
        <v>1.1304306214307076</v>
      </c>
      <c r="AP20" s="77">
        <f t="shared" si="6"/>
        <v>0.32181344871280482</v>
      </c>
      <c r="AQ20" s="77">
        <f t="shared" si="6"/>
        <v>9.9205496197009649E-2</v>
      </c>
      <c r="AR20" s="141">
        <f t="shared" si="6"/>
        <v>0.71597344132557528</v>
      </c>
      <c r="AS20" s="141">
        <f t="shared" si="6"/>
        <v>0.65001734436706637</v>
      </c>
      <c r="AT20" s="86"/>
      <c r="AU20" s="79">
        <f>IF(ISERROR(AO20*100000000/'Calc-Units'!$E$21)," ",AO20*100000000/'Calc-Units'!$E$21)</f>
        <v>3.8495952064106879E-3</v>
      </c>
      <c r="AV20" s="79">
        <f>IF(ISERROR(AP20*100000000/'Calc-Units'!$D$21)," ",AP20*100000000/'Calc-Units'!$D$21)</f>
        <v>1.1218995049590936E-3</v>
      </c>
      <c r="AW20" s="79">
        <f>IF(ISERROR(AQ20*100000000/'Calc-Units'!$C$21)," ",AQ20*100000000/'Calc-Units'!$C$21)</f>
        <v>5.1439124855858984E-4</v>
      </c>
      <c r="AX20" s="230">
        <f>IF(ISERROR(AR20*100000000/'Calc-Units'!$C$21)," ",AR20*100000000/'Calc-Units'!$C$21)</f>
        <v>3.7123998824306506E-3</v>
      </c>
      <c r="AZ20" s="84"/>
      <c r="BA20" s="84"/>
    </row>
    <row r="21" spans="1:53" s="87" customFormat="1">
      <c r="A21" s="89"/>
      <c r="B21" s="88"/>
      <c r="C21" s="109" t="s">
        <v>346</v>
      </c>
      <c r="D21" s="122">
        <f>'RRP 1.3'!S$12</f>
        <v>10.240069047105548</v>
      </c>
      <c r="E21" s="122">
        <v>0</v>
      </c>
      <c r="F21" s="122">
        <v>0</v>
      </c>
      <c r="G21" s="122">
        <v>0</v>
      </c>
      <c r="H21" s="122">
        <v>0</v>
      </c>
      <c r="I21" s="122">
        <f t="shared" si="0"/>
        <v>10.240069047105548</v>
      </c>
      <c r="J21" s="114"/>
      <c r="K21" s="83"/>
      <c r="L21" s="122" t="s">
        <v>182</v>
      </c>
      <c r="M21" s="135" t="str">
        <f>IF(ISERROR(VLOOKUP($L21,'Calc-Drivers'!$B$17:$G$27,M$42,FALSE))," ",VLOOKUP($L21,'Calc-Drivers'!$B$17:$G$27,M$42,FALSE))</f>
        <v xml:space="preserve"> </v>
      </c>
      <c r="N21" s="135" t="str">
        <f>IF(ISERROR(VLOOKUP($L21,'Calc-Drivers'!$B$17:$G$27,N$42,FALSE))," ",VLOOKUP($L21,'Calc-Drivers'!$B$17:$G$27,N$42,FALSE))</f>
        <v xml:space="preserve"> </v>
      </c>
      <c r="O21" s="135" t="str">
        <f>IF(ISERROR(VLOOKUP($L21,'Calc-Drivers'!$B$17:$G$27,O$42,FALSE))," ",VLOOKUP($L21,'Calc-Drivers'!$B$17:$G$27,O$42,FALSE))</f>
        <v xml:space="preserve"> </v>
      </c>
      <c r="P21" s="135" t="str">
        <f>IF(ISERROR(VLOOKUP($L21,'Calc-Drivers'!$B$17:$G$27,P$42,FALSE))," ",VLOOKUP($L21,'Calc-Drivers'!$B$17:$G$27,P$42,FALSE))</f>
        <v xml:space="preserve"> </v>
      </c>
      <c r="Q21" s="135" t="str">
        <f>IF(ISERROR(VLOOKUP($L21,'Calc-Drivers'!$B$17:$G$27,Q$42,FALSE))," ",VLOOKUP($L21,'Calc-Drivers'!$B$17:$G$27,Q$42,FALSE))</f>
        <v xml:space="preserve"> </v>
      </c>
      <c r="R21" s="76"/>
      <c r="S21" s="77" t="str">
        <f t="shared" si="1"/>
        <v xml:space="preserve"> </v>
      </c>
      <c r="T21" s="77" t="str">
        <f t="shared" si="1"/>
        <v xml:space="preserve"> </v>
      </c>
      <c r="U21" s="77" t="str">
        <f t="shared" si="1"/>
        <v xml:space="preserve"> </v>
      </c>
      <c r="V21" s="141" t="str">
        <f t="shared" si="1"/>
        <v xml:space="preserve"> </v>
      </c>
      <c r="W21" s="141" t="str">
        <f t="shared" si="1"/>
        <v xml:space="preserve"> </v>
      </c>
      <c r="X21" s="84"/>
      <c r="Y21" s="77" t="str">
        <f t="shared" si="2"/>
        <v xml:space="preserve"> </v>
      </c>
      <c r="Z21" s="77" t="str">
        <f t="shared" si="2"/>
        <v xml:space="preserve"> </v>
      </c>
      <c r="AA21" s="77" t="str">
        <f t="shared" si="2"/>
        <v xml:space="preserve"> </v>
      </c>
      <c r="AB21" s="141" t="str">
        <f t="shared" si="5"/>
        <v xml:space="preserve"> </v>
      </c>
      <c r="AC21" s="141" t="str">
        <f t="shared" si="5"/>
        <v xml:space="preserve"> </v>
      </c>
      <c r="AD21" s="85"/>
      <c r="AE21" s="79" t="str">
        <f>IF(ISERROR(Y21*100000000/'Calc-Units'!$E$21)," ",Y21*100000000/'Calc-Units'!$E$21)</f>
        <v xml:space="preserve"> </v>
      </c>
      <c r="AF21" s="79" t="str">
        <f>IF(ISERROR(Z21*100000000/'Calc-Units'!$D$21)," ",Z21*100000000/'Calc-Units'!$D$21)</f>
        <v xml:space="preserve"> </v>
      </c>
      <c r="AG21" s="79" t="str">
        <f>IF(ISERROR(AA21*100000000/'Calc-Units'!$C$21)," ",AA21*100000000/'Calc-Units'!$C$21)</f>
        <v xml:space="preserve"> </v>
      </c>
      <c r="AH21" s="230" t="str">
        <f>IF(ISERROR(AB21*100000000/'Calc-Units'!$C$21)," ",AB21*100000000/'Calc-Units'!$C$21)</f>
        <v xml:space="preserve"> </v>
      </c>
      <c r="AI21" s="86"/>
      <c r="AJ21" s="82">
        <v>0.52569999999999995</v>
      </c>
      <c r="AK21" s="74">
        <f t="shared" si="3"/>
        <v>5.3832042980633856</v>
      </c>
      <c r="AL21" s="75">
        <f t="shared" si="4"/>
        <v>4.8568647490421624</v>
      </c>
      <c r="AM21" s="74"/>
      <c r="AN21" s="74"/>
      <c r="AO21" s="77" t="str">
        <f t="shared" si="6"/>
        <v xml:space="preserve"> </v>
      </c>
      <c r="AP21" s="77" t="str">
        <f t="shared" si="6"/>
        <v xml:space="preserve"> </v>
      </c>
      <c r="AQ21" s="77" t="str">
        <f t="shared" si="6"/>
        <v xml:space="preserve"> </v>
      </c>
      <c r="AR21" s="141" t="str">
        <f t="shared" si="6"/>
        <v xml:space="preserve"> </v>
      </c>
      <c r="AS21" s="141" t="str">
        <f t="shared" si="6"/>
        <v xml:space="preserve"> </v>
      </c>
      <c r="AT21" s="86"/>
      <c r="AU21" s="79" t="str">
        <f>IF(ISERROR(AO21*100000000/'Calc-Units'!$E$21)," ",AO21*100000000/'Calc-Units'!$E$21)</f>
        <v xml:space="preserve"> </v>
      </c>
      <c r="AV21" s="79" t="str">
        <f>IF(ISERROR(AP21*100000000/'Calc-Units'!$D$21)," ",AP21*100000000/'Calc-Units'!$D$21)</f>
        <v xml:space="preserve"> </v>
      </c>
      <c r="AW21" s="79" t="str">
        <f>IF(ISERROR(AQ21*100000000/'Calc-Units'!$C$21)," ",AQ21*100000000/'Calc-Units'!$C$21)</f>
        <v xml:space="preserve"> </v>
      </c>
      <c r="AX21" s="230" t="str">
        <f>IF(ISERROR(AR21*100000000/'Calc-Units'!$C$21)," ",AR21*100000000/'Calc-Units'!$C$21)</f>
        <v xml:space="preserve"> </v>
      </c>
      <c r="AZ21" s="84"/>
      <c r="BA21" s="84"/>
    </row>
    <row r="22" spans="1:53" s="87" customFormat="1">
      <c r="A22" s="89"/>
      <c r="B22" s="88"/>
      <c r="C22" s="109" t="s">
        <v>469</v>
      </c>
      <c r="D22" s="122">
        <f>'RRP 1.3'!T$12</f>
        <v>4.5836090382398558</v>
      </c>
      <c r="E22" s="122">
        <v>0</v>
      </c>
      <c r="F22" s="122">
        <v>0</v>
      </c>
      <c r="G22" s="122">
        <v>0</v>
      </c>
      <c r="H22" s="122">
        <v>0</v>
      </c>
      <c r="I22" s="122">
        <f t="shared" si="0"/>
        <v>4.5836090382398558</v>
      </c>
      <c r="J22" s="114"/>
      <c r="K22" s="83"/>
      <c r="L22" s="122" t="s">
        <v>182</v>
      </c>
      <c r="M22" s="135" t="str">
        <f>IF(ISERROR(VLOOKUP($L22,'Calc-Drivers'!$B$17:$G$27,M$42,FALSE))," ",VLOOKUP($L22,'Calc-Drivers'!$B$17:$G$27,M$42,FALSE))</f>
        <v xml:space="preserve"> </v>
      </c>
      <c r="N22" s="135" t="str">
        <f>IF(ISERROR(VLOOKUP($L22,'Calc-Drivers'!$B$17:$G$27,N$42,FALSE))," ",VLOOKUP($L22,'Calc-Drivers'!$B$17:$G$27,N$42,FALSE))</f>
        <v xml:space="preserve"> </v>
      </c>
      <c r="O22" s="135" t="str">
        <f>IF(ISERROR(VLOOKUP($L22,'Calc-Drivers'!$B$17:$G$27,O$42,FALSE))," ",VLOOKUP($L22,'Calc-Drivers'!$B$17:$G$27,O$42,FALSE))</f>
        <v xml:space="preserve"> </v>
      </c>
      <c r="P22" s="135" t="str">
        <f>IF(ISERROR(VLOOKUP($L22,'Calc-Drivers'!$B$17:$G$27,P$42,FALSE))," ",VLOOKUP($L22,'Calc-Drivers'!$B$17:$G$27,P$42,FALSE))</f>
        <v xml:space="preserve"> </v>
      </c>
      <c r="Q22" s="135" t="str">
        <f>IF(ISERROR(VLOOKUP($L22,'Calc-Drivers'!$B$17:$G$27,Q$42,FALSE))," ",VLOOKUP($L22,'Calc-Drivers'!$B$17:$G$27,Q$42,FALSE))</f>
        <v xml:space="preserve"> </v>
      </c>
      <c r="R22" s="76"/>
      <c r="S22" s="77" t="str">
        <f t="shared" si="1"/>
        <v xml:space="preserve"> </v>
      </c>
      <c r="T22" s="77" t="str">
        <f t="shared" si="1"/>
        <v xml:space="preserve"> </v>
      </c>
      <c r="U22" s="77" t="str">
        <f t="shared" si="1"/>
        <v xml:space="preserve"> </v>
      </c>
      <c r="V22" s="141" t="str">
        <f t="shared" si="1"/>
        <v xml:space="preserve"> </v>
      </c>
      <c r="W22" s="141" t="str">
        <f t="shared" si="1"/>
        <v xml:space="preserve"> </v>
      </c>
      <c r="X22" s="84"/>
      <c r="Y22" s="77" t="str">
        <f t="shared" si="2"/>
        <v xml:space="preserve"> </v>
      </c>
      <c r="Z22" s="77" t="str">
        <f t="shared" si="2"/>
        <v xml:space="preserve"> </v>
      </c>
      <c r="AA22" s="77" t="str">
        <f t="shared" si="2"/>
        <v xml:space="preserve"> </v>
      </c>
      <c r="AB22" s="141" t="str">
        <f t="shared" si="5"/>
        <v xml:space="preserve"> </v>
      </c>
      <c r="AC22" s="141" t="str">
        <f t="shared" si="5"/>
        <v xml:space="preserve"> </v>
      </c>
      <c r="AD22" s="85"/>
      <c r="AE22" s="79" t="str">
        <f>IF(ISERROR(Y22*100000000/'Calc-Units'!$E$21)," ",Y22*100000000/'Calc-Units'!$E$21)</f>
        <v xml:space="preserve"> </v>
      </c>
      <c r="AF22" s="79" t="str">
        <f>IF(ISERROR(Z22*100000000/'Calc-Units'!$D$21)," ",Z22*100000000/'Calc-Units'!$D$21)</f>
        <v xml:space="preserve"> </v>
      </c>
      <c r="AG22" s="79" t="str">
        <f>IF(ISERROR(AA22*100000000/'Calc-Units'!$C$21)," ",AA22*100000000/'Calc-Units'!$C$21)</f>
        <v xml:space="preserve"> </v>
      </c>
      <c r="AH22" s="230" t="str">
        <f>IF(ISERROR(AB22*100000000/'Calc-Units'!$C$21)," ",AB22*100000000/'Calc-Units'!$C$21)</f>
        <v xml:space="preserve"> </v>
      </c>
      <c r="AI22" s="86"/>
      <c r="AJ22" s="82">
        <v>0.52569999999999995</v>
      </c>
      <c r="AK22" s="74">
        <f t="shared" si="3"/>
        <v>2.409603271402692</v>
      </c>
      <c r="AL22" s="75">
        <f t="shared" si="4"/>
        <v>2.1740057668371637</v>
      </c>
      <c r="AM22" s="74"/>
      <c r="AN22" s="74"/>
      <c r="AO22" s="77" t="str">
        <f t="shared" si="6"/>
        <v xml:space="preserve"> </v>
      </c>
      <c r="AP22" s="77" t="str">
        <f t="shared" si="6"/>
        <v xml:space="preserve"> </v>
      </c>
      <c r="AQ22" s="77" t="str">
        <f t="shared" si="6"/>
        <v xml:space="preserve"> </v>
      </c>
      <c r="AR22" s="141" t="str">
        <f t="shared" si="6"/>
        <v xml:space="preserve"> </v>
      </c>
      <c r="AS22" s="141" t="str">
        <f t="shared" si="6"/>
        <v xml:space="preserve"> </v>
      </c>
      <c r="AT22" s="86"/>
      <c r="AU22" s="79" t="str">
        <f>IF(ISERROR(AO22*100000000/'Calc-Units'!$E$21)," ",AO22*100000000/'Calc-Units'!$E$21)</f>
        <v xml:space="preserve"> </v>
      </c>
      <c r="AV22" s="79" t="str">
        <f>IF(ISERROR(AP22*100000000/'Calc-Units'!$D$21)," ",AP22*100000000/'Calc-Units'!$D$21)</f>
        <v xml:space="preserve"> </v>
      </c>
      <c r="AW22" s="79" t="str">
        <f>IF(ISERROR(AQ22*100000000/'Calc-Units'!$C$21)," ",AQ22*100000000/'Calc-Units'!$C$21)</f>
        <v xml:space="preserve"> </v>
      </c>
      <c r="AX22" s="230" t="str">
        <f>IF(ISERROR(AR22*100000000/'Calc-Units'!$C$21)," ",AR22*100000000/'Calc-Units'!$C$21)</f>
        <v xml:space="preserve"> </v>
      </c>
      <c r="AZ22" s="84"/>
      <c r="BA22" s="84"/>
    </row>
    <row r="23" spans="1:53" s="87" customFormat="1">
      <c r="A23" s="89"/>
      <c r="B23" s="88"/>
      <c r="C23" s="109" t="s">
        <v>601</v>
      </c>
      <c r="D23" s="122">
        <f>'RRP 1.3'!U$12</f>
        <v>1.4397993171236436</v>
      </c>
      <c r="E23" s="122">
        <v>0</v>
      </c>
      <c r="F23" s="122">
        <v>0</v>
      </c>
      <c r="G23" s="122">
        <v>0</v>
      </c>
      <c r="H23" s="122">
        <v>0</v>
      </c>
      <c r="I23" s="122">
        <f t="shared" si="0"/>
        <v>1.4397993171236436</v>
      </c>
      <c r="J23" s="114"/>
      <c r="K23" s="83"/>
      <c r="L23" s="122" t="s">
        <v>197</v>
      </c>
      <c r="M23" s="135">
        <f>IF(ISERROR(VLOOKUP($L23,'Calc-Drivers'!$B$17:$G$27,M$42,FALSE))," ",VLOOKUP($L23,'Calc-Drivers'!$B$17:$G$27,M$42,FALSE))</f>
        <v>0.38747343048261829</v>
      </c>
      <c r="N23" s="135">
        <f>IF(ISERROR(VLOOKUP($L23,'Calc-Drivers'!$B$17:$G$27,N$42,FALSE))," ",VLOOKUP($L23,'Calc-Drivers'!$B$17:$G$27,N$42,FALSE))</f>
        <v>0.11030677919037249</v>
      </c>
      <c r="O23" s="135">
        <f>IF(ISERROR(VLOOKUP($L23,'Calc-Drivers'!$B$17:$G$27,O$42,FALSE))," ",VLOOKUP($L23,'Calc-Drivers'!$B$17:$G$27,O$42,FALSE))</f>
        <v>3.4004292882242937E-2</v>
      </c>
      <c r="P23" s="135">
        <f>IF(ISERROR(VLOOKUP($L23,'Calc-Drivers'!$B$17:$G$27,P$42,FALSE))," ",VLOOKUP($L23,'Calc-Drivers'!$B$17:$G$27,P$42,FALSE))</f>
        <v>0.2454115097251649</v>
      </c>
      <c r="Q23" s="135">
        <f>IF(ISERROR(VLOOKUP($L23,'Calc-Drivers'!$B$17:$G$27,Q$42,FALSE))," ",VLOOKUP($L23,'Calc-Drivers'!$B$17:$G$27,Q$42,FALSE))</f>
        <v>0.22280398771960128</v>
      </c>
      <c r="R23" s="76"/>
      <c r="S23" s="77">
        <f t="shared" si="1"/>
        <v>0.55788398061242939</v>
      </c>
      <c r="T23" s="77">
        <f t="shared" si="1"/>
        <v>0.15881962535240685</v>
      </c>
      <c r="U23" s="77">
        <f t="shared" si="1"/>
        <v>4.8959357671125754E-2</v>
      </c>
      <c r="V23" s="141">
        <f t="shared" si="1"/>
        <v>0.35334332411657488</v>
      </c>
      <c r="W23" s="141">
        <f t="shared" si="1"/>
        <v>0.3207930293711066</v>
      </c>
      <c r="X23" s="84"/>
      <c r="Y23" s="77">
        <f t="shared" si="2"/>
        <v>0.55788398061242939</v>
      </c>
      <c r="Z23" s="77">
        <f t="shared" si="2"/>
        <v>0.15881962535240685</v>
      </c>
      <c r="AA23" s="77">
        <f t="shared" si="2"/>
        <v>4.8959357671125754E-2</v>
      </c>
      <c r="AB23" s="141">
        <f t="shared" si="5"/>
        <v>0.35334332411657488</v>
      </c>
      <c r="AC23" s="141">
        <f t="shared" si="5"/>
        <v>0.3207930293711066</v>
      </c>
      <c r="AD23" s="85"/>
      <c r="AE23" s="79">
        <f>IF(ISERROR(Y23*100000000/'Calc-Units'!$E$21)," ",Y23*100000000/'Calc-Units'!$E$21)</f>
        <v>1.899831318069585E-3</v>
      </c>
      <c r="AF23" s="79">
        <f>IF(ISERROR(Z23*100000000/'Calc-Units'!$D$21)," ",Z23*100000000/'Calc-Units'!$D$21)</f>
        <v>5.5367375034617145E-4</v>
      </c>
      <c r="AG23" s="79">
        <f>IF(ISERROR(AA23*100000000/'Calc-Units'!$C$21)," ",AA23*100000000/'Calc-Units'!$C$21)</f>
        <v>2.538595751899085E-4</v>
      </c>
      <c r="AH23" s="230">
        <f>IF(ISERROR(AB23*100000000/'Calc-Units'!$C$21)," ",AB23*100000000/'Calc-Units'!$C$21)</f>
        <v>1.8321234269240635E-3</v>
      </c>
      <c r="AI23" s="86"/>
      <c r="AJ23" s="82">
        <v>0.52569999999999995</v>
      </c>
      <c r="AK23" s="74">
        <f t="shared" si="3"/>
        <v>0.75690250101189938</v>
      </c>
      <c r="AL23" s="75">
        <f t="shared" si="4"/>
        <v>0.68289681611174424</v>
      </c>
      <c r="AM23" s="74"/>
      <c r="AN23" s="74"/>
      <c r="AO23" s="77">
        <f t="shared" si="6"/>
        <v>0.26460437200447529</v>
      </c>
      <c r="AP23" s="77">
        <f t="shared" si="6"/>
        <v>7.5328148304646569E-2</v>
      </c>
      <c r="AQ23" s="77">
        <f t="shared" si="6"/>
        <v>2.3221423343414947E-2</v>
      </c>
      <c r="AR23" s="141">
        <f t="shared" si="6"/>
        <v>0.16759073862849147</v>
      </c>
      <c r="AS23" s="141">
        <f t="shared" si="6"/>
        <v>0.15215213383071588</v>
      </c>
      <c r="AT23" s="86"/>
      <c r="AU23" s="79">
        <f>IF(ISERROR(AO23*100000000/'Calc-Units'!$E$21)," ",AO23*100000000/'Calc-Units'!$E$21)</f>
        <v>9.0108999416040438E-4</v>
      </c>
      <c r="AV23" s="79">
        <f>IF(ISERROR(AP23*100000000/'Calc-Units'!$D$21)," ",AP23*100000000/'Calc-Units'!$D$21)</f>
        <v>2.6260745978918919E-4</v>
      </c>
      <c r="AW23" s="79">
        <f>IF(ISERROR(AQ23*100000000/'Calc-Units'!$C$21)," ",AQ23*100000000/'Calc-Units'!$C$21)</f>
        <v>1.2040559651257363E-4</v>
      </c>
      <c r="AX23" s="230">
        <f>IF(ISERROR(AR23*100000000/'Calc-Units'!$C$21)," ",AR23*100000000/'Calc-Units'!$C$21)</f>
        <v>8.6897614139008327E-4</v>
      </c>
      <c r="AZ23" s="84"/>
      <c r="BA23" s="84"/>
    </row>
    <row r="24" spans="1:53" s="87" customFormat="1">
      <c r="A24" s="89"/>
      <c r="B24" s="88"/>
      <c r="C24" s="109" t="s">
        <v>219</v>
      </c>
      <c r="D24" s="122">
        <f>'RRP 1.3'!V$12</f>
        <v>2.0706365899867683</v>
      </c>
      <c r="E24" s="122">
        <v>0</v>
      </c>
      <c r="F24" s="122">
        <v>0</v>
      </c>
      <c r="G24" s="122">
        <v>0</v>
      </c>
      <c r="H24" s="122">
        <v>0</v>
      </c>
      <c r="I24" s="122">
        <f t="shared" si="0"/>
        <v>2.0706365899867683</v>
      </c>
      <c r="J24" s="114"/>
      <c r="K24" s="83"/>
      <c r="L24" s="122" t="s">
        <v>197</v>
      </c>
      <c r="M24" s="135">
        <f>IF(ISERROR(VLOOKUP($L24,'Calc-Drivers'!$B$17:$G$27,M$42,FALSE))," ",VLOOKUP($L24,'Calc-Drivers'!$B$17:$G$27,M$42,FALSE))</f>
        <v>0.38747343048261829</v>
      </c>
      <c r="N24" s="135">
        <f>IF(ISERROR(VLOOKUP($L24,'Calc-Drivers'!$B$17:$G$27,N$42,FALSE))," ",VLOOKUP($L24,'Calc-Drivers'!$B$17:$G$27,N$42,FALSE))</f>
        <v>0.11030677919037249</v>
      </c>
      <c r="O24" s="135">
        <f>IF(ISERROR(VLOOKUP($L24,'Calc-Drivers'!$B$17:$G$27,O$42,FALSE))," ",VLOOKUP($L24,'Calc-Drivers'!$B$17:$G$27,O$42,FALSE))</f>
        <v>3.4004292882242937E-2</v>
      </c>
      <c r="P24" s="135">
        <f>IF(ISERROR(VLOOKUP($L24,'Calc-Drivers'!$B$17:$G$27,P$42,FALSE))," ",VLOOKUP($L24,'Calc-Drivers'!$B$17:$G$27,P$42,FALSE))</f>
        <v>0.2454115097251649</v>
      </c>
      <c r="Q24" s="135">
        <f>IF(ISERROR(VLOOKUP($L24,'Calc-Drivers'!$B$17:$G$27,Q$42,FALSE))," ",VLOOKUP($L24,'Calc-Drivers'!$B$17:$G$27,Q$42,FALSE))</f>
        <v>0.22280398771960128</v>
      </c>
      <c r="R24" s="76"/>
      <c r="S24" s="77">
        <f t="shared" si="1"/>
        <v>0.8023166628050038</v>
      </c>
      <c r="T24" s="77">
        <f t="shared" si="1"/>
        <v>0.22840525311517629</v>
      </c>
      <c r="U24" s="77">
        <f t="shared" si="1"/>
        <v>7.0410533058598845E-2</v>
      </c>
      <c r="V24" s="141">
        <f t="shared" si="1"/>
        <v>0.50815805164082006</v>
      </c>
      <c r="W24" s="141">
        <f t="shared" si="1"/>
        <v>0.46134608936716898</v>
      </c>
      <c r="X24" s="84"/>
      <c r="Y24" s="77">
        <f t="shared" si="2"/>
        <v>0.8023166628050038</v>
      </c>
      <c r="Z24" s="77">
        <f t="shared" si="2"/>
        <v>0.22840525311517629</v>
      </c>
      <c r="AA24" s="77">
        <f t="shared" si="2"/>
        <v>7.0410533058598845E-2</v>
      </c>
      <c r="AB24" s="141">
        <f t="shared" si="5"/>
        <v>0.50815805164082006</v>
      </c>
      <c r="AC24" s="141">
        <f t="shared" si="5"/>
        <v>0.46134608936716898</v>
      </c>
      <c r="AD24" s="85"/>
      <c r="AE24" s="79">
        <f>IF(ISERROR(Y24*100000000/'Calc-Units'!$E$21)," ",Y24*100000000/'Calc-Units'!$E$21)</f>
        <v>2.7322281620861823E-3</v>
      </c>
      <c r="AF24" s="79">
        <f>IF(ISERROR(Z24*100000000/'Calc-Units'!$D$21)," ",Z24*100000000/'Calc-Units'!$D$21)</f>
        <v>7.9626175172267373E-4</v>
      </c>
      <c r="AG24" s="79">
        <f>IF(ISERROR(AA24*100000000/'Calc-Units'!$C$21)," ",AA24*100000000/'Calc-Units'!$C$21)</f>
        <v>3.6508624421133901E-4</v>
      </c>
      <c r="AH24" s="230">
        <f>IF(ISERROR(AB24*100000000/'Calc-Units'!$C$21)," ",AB24*100000000/'Calc-Units'!$C$21)</f>
        <v>2.6348545662180861E-3</v>
      </c>
      <c r="AI24" s="86"/>
      <c r="AJ24" s="82">
        <v>0.52569999999999995</v>
      </c>
      <c r="AK24" s="74">
        <f t="shared" si="3"/>
        <v>1.0885336553560438</v>
      </c>
      <c r="AL24" s="75">
        <f t="shared" si="4"/>
        <v>0.98210293463072429</v>
      </c>
      <c r="AM24" s="74"/>
      <c r="AN24" s="74"/>
      <c r="AO24" s="77">
        <f t="shared" si="6"/>
        <v>0.38053879316841333</v>
      </c>
      <c r="AP24" s="77">
        <f t="shared" si="6"/>
        <v>0.10833261155252813</v>
      </c>
      <c r="AQ24" s="77">
        <f t="shared" si="6"/>
        <v>3.3395715829693438E-2</v>
      </c>
      <c r="AR24" s="141">
        <f t="shared" si="6"/>
        <v>0.241019363893241</v>
      </c>
      <c r="AS24" s="141">
        <f t="shared" si="6"/>
        <v>0.21881645018684828</v>
      </c>
      <c r="AT24" s="86"/>
      <c r="AU24" s="79">
        <f>IF(ISERROR(AO24*100000000/'Calc-Units'!$E$21)," ",AO24*100000000/'Calc-Units'!$E$21)</f>
        <v>1.2958958172774764E-3</v>
      </c>
      <c r="AV24" s="79">
        <f>IF(ISERROR(AP24*100000000/'Calc-Units'!$D$21)," ",AP24*100000000/'Calc-Units'!$D$21)</f>
        <v>3.7766694884206414E-4</v>
      </c>
      <c r="AW24" s="79">
        <f>IF(ISERROR(AQ24*100000000/'Calc-Units'!$C$21)," ",AQ24*100000000/'Calc-Units'!$C$21)</f>
        <v>1.7316040562943814E-4</v>
      </c>
      <c r="AX24" s="230">
        <f>IF(ISERROR(AR24*100000000/'Calc-Units'!$C$21)," ",AR24*100000000/'Calc-Units'!$C$21)</f>
        <v>1.2497115207572383E-3</v>
      </c>
      <c r="AZ24" s="84"/>
      <c r="BA24" s="84"/>
    </row>
    <row r="25" spans="1:53" s="87" customFormat="1">
      <c r="A25" s="89"/>
      <c r="B25" s="88"/>
      <c r="C25" s="109" t="s">
        <v>729</v>
      </c>
      <c r="D25" s="122">
        <f>'RRP 1.3'!W$12</f>
        <v>7.5444930721556567</v>
      </c>
      <c r="E25" s="122">
        <v>0</v>
      </c>
      <c r="F25" s="122">
        <v>0</v>
      </c>
      <c r="G25" s="122">
        <v>0</v>
      </c>
      <c r="H25" s="122">
        <v>0</v>
      </c>
      <c r="I25" s="122">
        <f t="shared" si="0"/>
        <v>7.5444930721556567</v>
      </c>
      <c r="J25" s="114"/>
      <c r="K25" s="83"/>
      <c r="L25" s="122" t="s">
        <v>197</v>
      </c>
      <c r="M25" s="135">
        <f>IF(ISERROR(VLOOKUP($L25,'Calc-Drivers'!$B$17:$G$27,M$42,FALSE))," ",VLOOKUP($L25,'Calc-Drivers'!$B$17:$G$27,M$42,FALSE))</f>
        <v>0.38747343048261829</v>
      </c>
      <c r="N25" s="135">
        <f>IF(ISERROR(VLOOKUP($L25,'Calc-Drivers'!$B$17:$G$27,N$42,FALSE))," ",VLOOKUP($L25,'Calc-Drivers'!$B$17:$G$27,N$42,FALSE))</f>
        <v>0.11030677919037249</v>
      </c>
      <c r="O25" s="135">
        <f>IF(ISERROR(VLOOKUP($L25,'Calc-Drivers'!$B$17:$G$27,O$42,FALSE))," ",VLOOKUP($L25,'Calc-Drivers'!$B$17:$G$27,O$42,FALSE))</f>
        <v>3.4004292882242937E-2</v>
      </c>
      <c r="P25" s="135">
        <f>IF(ISERROR(VLOOKUP($L25,'Calc-Drivers'!$B$17:$G$27,P$42,FALSE))," ",VLOOKUP($L25,'Calc-Drivers'!$B$17:$G$27,P$42,FALSE))</f>
        <v>0.2454115097251649</v>
      </c>
      <c r="Q25" s="135">
        <f>IF(ISERROR(VLOOKUP($L25,'Calc-Drivers'!$B$17:$G$27,Q$42,FALSE))," ",VLOOKUP($L25,'Calc-Drivers'!$B$17:$G$27,Q$42,FALSE))</f>
        <v>0.22280398771960128</v>
      </c>
      <c r="R25" s="76"/>
      <c r="S25" s="77">
        <f t="shared" si="1"/>
        <v>2.9232906119205002</v>
      </c>
      <c r="T25" s="77">
        <f t="shared" si="1"/>
        <v>0.83220873141356899</v>
      </c>
      <c r="U25" s="77">
        <f t="shared" si="1"/>
        <v>0.25654515207363376</v>
      </c>
      <c r="V25" s="141">
        <f t="shared" si="1"/>
        <v>1.8515054349487672</v>
      </c>
      <c r="W25" s="141">
        <f t="shared" si="1"/>
        <v>1.6809431417991858</v>
      </c>
      <c r="X25" s="84"/>
      <c r="Y25" s="77">
        <f t="shared" si="2"/>
        <v>2.9232906119205002</v>
      </c>
      <c r="Z25" s="77">
        <f t="shared" si="2"/>
        <v>0.83220873141356899</v>
      </c>
      <c r="AA25" s="77">
        <f t="shared" si="2"/>
        <v>0.25654515207363376</v>
      </c>
      <c r="AB25" s="141">
        <f t="shared" si="5"/>
        <v>1.8515054349487672</v>
      </c>
      <c r="AC25" s="141">
        <f t="shared" si="5"/>
        <v>1.6809431417991858</v>
      </c>
      <c r="AD25" s="85"/>
      <c r="AE25" s="79">
        <f>IF(ISERROR(Y25*100000000/'Calc-Units'!$E$21)," ",Y25*100000000/'Calc-Units'!$E$21)</f>
        <v>9.9550430723044023E-3</v>
      </c>
      <c r="AF25" s="79">
        <f>IF(ISERROR(Z25*100000000/'Calc-Units'!$D$21)," ",Z25*100000000/'Calc-Units'!$D$21)</f>
        <v>2.9012291671773401E-3</v>
      </c>
      <c r="AG25" s="79">
        <f>IF(ISERROR(AA25*100000000/'Calc-Units'!$C$21)," ",AA25*100000000/'Calc-Units'!$C$21)</f>
        <v>1.3302144149830643E-3</v>
      </c>
      <c r="AH25" s="230">
        <f>IF(ISERROR(AB25*100000000/'Calc-Units'!$C$21)," ",AB25*100000000/'Calc-Units'!$C$21)</f>
        <v>9.6002563255665613E-3</v>
      </c>
      <c r="AI25" s="86"/>
      <c r="AJ25" s="82">
        <v>0.52569999999999995</v>
      </c>
      <c r="AK25" s="74">
        <f t="shared" si="3"/>
        <v>3.9661400080322284</v>
      </c>
      <c r="AL25" s="75">
        <f t="shared" si="4"/>
        <v>3.5783530641234282</v>
      </c>
      <c r="AM25" s="74"/>
      <c r="AN25" s="74"/>
      <c r="AO25" s="77">
        <f t="shared" si="6"/>
        <v>1.3865167372338933</v>
      </c>
      <c r="AP25" s="77">
        <f t="shared" si="6"/>
        <v>0.39471660130945579</v>
      </c>
      <c r="AQ25" s="77">
        <f t="shared" si="6"/>
        <v>0.12167936562852451</v>
      </c>
      <c r="AR25" s="141">
        <f t="shared" si="6"/>
        <v>0.87816902779620043</v>
      </c>
      <c r="AS25" s="141">
        <f t="shared" si="6"/>
        <v>0.79727133215535395</v>
      </c>
      <c r="AT25" s="86"/>
      <c r="AU25" s="79">
        <f>IF(ISERROR(AO25*100000000/'Calc-Units'!$E$21)," ",AO25*100000000/'Calc-Units'!$E$21)</f>
        <v>4.7216769291939771E-3</v>
      </c>
      <c r="AV25" s="79">
        <f>IF(ISERROR(AP25*100000000/'Calc-Units'!$D$21)," ",AP25*100000000/'Calc-Units'!$D$21)</f>
        <v>1.3760529939922125E-3</v>
      </c>
      <c r="AW25" s="79">
        <f>IF(ISERROR(AQ25*100000000/'Calc-Units'!$C$21)," ",AQ25*100000000/'Calc-Units'!$C$21)</f>
        <v>6.3092069702646745E-4</v>
      </c>
      <c r="AX25" s="230">
        <f>IF(ISERROR(AR25*100000000/'Calc-Units'!$C$21)," ",AR25*100000000/'Calc-Units'!$C$21)</f>
        <v>4.5534015752162213E-3</v>
      </c>
      <c r="AZ25" s="84"/>
      <c r="BA25" s="84"/>
    </row>
    <row r="26" spans="1:53" s="87" customFormat="1">
      <c r="A26" s="92"/>
      <c r="B26" s="88"/>
      <c r="C26" s="109" t="s">
        <v>183</v>
      </c>
      <c r="D26" s="122">
        <f>'RRP 1.3'!X$12</f>
        <v>1.6451252035656032</v>
      </c>
      <c r="E26" s="122">
        <v>0</v>
      </c>
      <c r="F26" s="122">
        <v>0</v>
      </c>
      <c r="G26" s="122">
        <v>0</v>
      </c>
      <c r="H26" s="122">
        <v>0</v>
      </c>
      <c r="I26" s="122">
        <f t="shared" si="0"/>
        <v>1.6451252035656032</v>
      </c>
      <c r="J26" s="114"/>
      <c r="K26" s="83"/>
      <c r="L26" s="143" t="s">
        <v>197</v>
      </c>
      <c r="M26" s="135">
        <f>IF(ISERROR(VLOOKUP($L26,'Calc-Drivers'!$B$17:$G$27,M$42,FALSE))," ",VLOOKUP($L26,'Calc-Drivers'!$B$17:$G$27,M$42,FALSE))</f>
        <v>0.38747343048261829</v>
      </c>
      <c r="N26" s="135">
        <f>IF(ISERROR(VLOOKUP($L26,'Calc-Drivers'!$B$17:$G$27,N$42,FALSE))," ",VLOOKUP($L26,'Calc-Drivers'!$B$17:$G$27,N$42,FALSE))</f>
        <v>0.11030677919037249</v>
      </c>
      <c r="O26" s="135">
        <f>IF(ISERROR(VLOOKUP($L26,'Calc-Drivers'!$B$17:$G$27,O$42,FALSE))," ",VLOOKUP($L26,'Calc-Drivers'!$B$17:$G$27,O$42,FALSE))</f>
        <v>3.4004292882242937E-2</v>
      </c>
      <c r="P26" s="135">
        <f>IF(ISERROR(VLOOKUP($L26,'Calc-Drivers'!$B$17:$G$27,P$42,FALSE))," ",VLOOKUP($L26,'Calc-Drivers'!$B$17:$G$27,P$42,FALSE))</f>
        <v>0.2454115097251649</v>
      </c>
      <c r="Q26" s="135">
        <f>IF(ISERROR(VLOOKUP($L26,'Calc-Drivers'!$B$17:$G$27,Q$42,FALSE))," ",VLOOKUP($L26,'Calc-Drivers'!$B$17:$G$27,Q$42,FALSE))</f>
        <v>0.22280398771960128</v>
      </c>
      <c r="R26" s="76"/>
      <c r="S26" s="77">
        <f t="shared" si="1"/>
        <v>0.63744230619898001</v>
      </c>
      <c r="T26" s="77">
        <f t="shared" si="1"/>
        <v>0.18146846257022758</v>
      </c>
      <c r="U26" s="77">
        <f t="shared" si="1"/>
        <v>5.5941319250004305E-2</v>
      </c>
      <c r="V26" s="141">
        <f t="shared" si="1"/>
        <v>0.4037326598939539</v>
      </c>
      <c r="W26" s="141">
        <f t="shared" si="1"/>
        <v>0.3665404556524372</v>
      </c>
      <c r="X26" s="84"/>
      <c r="Y26" s="145">
        <f t="shared" si="2"/>
        <v>0.63744230619898001</v>
      </c>
      <c r="Z26" s="145">
        <f t="shared" si="2"/>
        <v>0.18146846257022758</v>
      </c>
      <c r="AA26" s="145">
        <f t="shared" si="2"/>
        <v>5.5941319250004305E-2</v>
      </c>
      <c r="AB26" s="142">
        <f t="shared" si="5"/>
        <v>0.4037326598939539</v>
      </c>
      <c r="AC26" s="142">
        <f t="shared" si="5"/>
        <v>0.3665404556524372</v>
      </c>
      <c r="AD26" s="85"/>
      <c r="AE26" s="231">
        <f>IF(ISERROR(Y26*100000000/'Calc-Units'!$E$21)," ",Y26*100000000/'Calc-Units'!$E$21)</f>
        <v>2.1707611239345612E-3</v>
      </c>
      <c r="AF26" s="231">
        <f>IF(ISERROR(Z26*100000000/'Calc-Units'!$D$21)," ",Z26*100000000/'Calc-Units'!$D$21)</f>
        <v>6.3263166638170831E-4</v>
      </c>
      <c r="AG26" s="231">
        <f>IF(ISERROR(AA26*100000000/'Calc-Units'!$C$21)," ",AA26*100000000/'Calc-Units'!$C$21)</f>
        <v>2.9006180260294671E-4</v>
      </c>
      <c r="AH26" s="232">
        <f>IF(ISERROR(AB26*100000000/'Calc-Units'!$C$21)," ",AB26*100000000/'Calc-Units'!$C$21)</f>
        <v>2.0933975935598561E-3</v>
      </c>
      <c r="AI26" s="86"/>
      <c r="AJ26" s="264">
        <v>0.52569999999999995</v>
      </c>
      <c r="AK26" s="235">
        <f t="shared" si="3"/>
        <v>0.86484231951443746</v>
      </c>
      <c r="AL26" s="236">
        <f t="shared" si="4"/>
        <v>0.78028288405116575</v>
      </c>
      <c r="AM26" s="74"/>
      <c r="AN26" s="74"/>
      <c r="AO26" s="145">
        <f t="shared" si="6"/>
        <v>0.30233888583017626</v>
      </c>
      <c r="AP26" s="145">
        <f t="shared" si="6"/>
        <v>8.6070491797058959E-2</v>
      </c>
      <c r="AQ26" s="145">
        <f t="shared" si="6"/>
        <v>2.6532967720277044E-2</v>
      </c>
      <c r="AR26" s="142">
        <f t="shared" si="6"/>
        <v>0.19149040058770236</v>
      </c>
      <c r="AS26" s="142">
        <f t="shared" si="6"/>
        <v>0.17385013811595099</v>
      </c>
      <c r="AT26" s="86"/>
      <c r="AU26" s="231">
        <f>IF(ISERROR(AO26*100000000/'Calc-Units'!$E$21)," ",AO26*100000000/'Calc-Units'!$E$21)</f>
        <v>1.0295920010821625E-3</v>
      </c>
      <c r="AV26" s="231">
        <f>IF(ISERROR(AP26*100000000/'Calc-Units'!$D$21)," ",AP26*100000000/'Calc-Units'!$D$21)</f>
        <v>3.000571993648443E-4</v>
      </c>
      <c r="AW26" s="231">
        <f>IF(ISERROR(AQ26*100000000/'Calc-Units'!$C$21)," ",AQ26*100000000/'Calc-Units'!$C$21)</f>
        <v>1.3757631297457764E-4</v>
      </c>
      <c r="AX26" s="232">
        <f>IF(ISERROR(AR26*100000000/'Calc-Units'!$C$21)," ",AR26*100000000/'Calc-Units'!$C$21)</f>
        <v>9.9289847862543993E-4</v>
      </c>
      <c r="AZ26" s="84"/>
      <c r="BA26" s="84"/>
    </row>
    <row r="27" spans="1:53" s="71" customFormat="1" ht="12.75" customHeight="1">
      <c r="A27" s="91" t="s">
        <v>0</v>
      </c>
      <c r="B27" s="105"/>
      <c r="C27" s="91" t="s">
        <v>184</v>
      </c>
      <c r="D27" s="123">
        <f>'RRP 1.3'!Y$12</f>
        <v>1.32151902</v>
      </c>
      <c r="E27" s="123">
        <v>0</v>
      </c>
      <c r="F27" s="123">
        <v>0</v>
      </c>
      <c r="G27" s="123">
        <v>0</v>
      </c>
      <c r="H27" s="123">
        <v>0</v>
      </c>
      <c r="I27" s="123">
        <f t="shared" si="0"/>
        <v>1.32151902</v>
      </c>
      <c r="J27" s="115"/>
      <c r="K27" s="74"/>
      <c r="L27" s="124" t="s">
        <v>182</v>
      </c>
      <c r="M27" s="135" t="str">
        <f>IF(ISERROR(VLOOKUP($L27,'Calc-Drivers'!$B$17:$G$27,M$42,FALSE))," ",VLOOKUP($L27,'Calc-Drivers'!$B$17:$G$27,M$42,FALSE))</f>
        <v xml:space="preserve"> </v>
      </c>
      <c r="N27" s="135" t="str">
        <f>IF(ISERROR(VLOOKUP($L27,'Calc-Drivers'!$B$17:$G$27,N$42,FALSE))," ",VLOOKUP($L27,'Calc-Drivers'!$B$17:$G$27,N$42,FALSE))</f>
        <v xml:space="preserve"> </v>
      </c>
      <c r="O27" s="135" t="str">
        <f>IF(ISERROR(VLOOKUP($L27,'Calc-Drivers'!$B$17:$G$27,O$42,FALSE))," ",VLOOKUP($L27,'Calc-Drivers'!$B$17:$G$27,O$42,FALSE))</f>
        <v xml:space="preserve"> </v>
      </c>
      <c r="P27" s="135" t="str">
        <f>IF(ISERROR(VLOOKUP($L27,'Calc-Drivers'!$B$17:$G$27,P$42,FALSE))," ",VLOOKUP($L27,'Calc-Drivers'!$B$17:$G$27,P$42,FALSE))</f>
        <v xml:space="preserve"> </v>
      </c>
      <c r="Q27" s="135" t="str">
        <f>IF(ISERROR(VLOOKUP($L27,'Calc-Drivers'!$B$17:$G$27,Q$42,FALSE))," ",VLOOKUP($L27,'Calc-Drivers'!$B$17:$G$27,Q$42,FALSE))</f>
        <v xml:space="preserve"> </v>
      </c>
      <c r="R27" s="76"/>
      <c r="S27" s="144" t="str">
        <f t="shared" si="1"/>
        <v xml:space="preserve"> </v>
      </c>
      <c r="T27" s="144" t="str">
        <f t="shared" si="1"/>
        <v xml:space="preserve"> </v>
      </c>
      <c r="U27" s="144" t="str">
        <f t="shared" si="1"/>
        <v xml:space="preserve"> </v>
      </c>
      <c r="V27" s="140" t="str">
        <f t="shared" si="1"/>
        <v xml:space="preserve"> </v>
      </c>
      <c r="W27" s="140" t="str">
        <f t="shared" si="1"/>
        <v xml:space="preserve"> </v>
      </c>
      <c r="X27" s="72"/>
      <c r="Y27" s="144" t="str">
        <f t="shared" si="2"/>
        <v xml:space="preserve"> </v>
      </c>
      <c r="Z27" s="144" t="str">
        <f t="shared" si="2"/>
        <v xml:space="preserve"> </v>
      </c>
      <c r="AA27" s="144" t="str">
        <f t="shared" si="2"/>
        <v xml:space="preserve"> </v>
      </c>
      <c r="AB27" s="140" t="str">
        <f t="shared" si="5"/>
        <v xml:space="preserve"> </v>
      </c>
      <c r="AC27" s="140" t="str">
        <f t="shared" si="5"/>
        <v xml:space="preserve"> </v>
      </c>
      <c r="AD27" s="78"/>
      <c r="AE27" s="259" t="str">
        <f>IF(ISERROR(Y27*100000000/'Calc-Units'!$E$21)," ",Y27*100000000/'Calc-Units'!$E$21)</f>
        <v xml:space="preserve"> </v>
      </c>
      <c r="AF27" s="259" t="str">
        <f>IF(ISERROR(Z27*100000000/'Calc-Units'!$D$21)," ",Z27*100000000/'Calc-Units'!$D$21)</f>
        <v xml:space="preserve"> </v>
      </c>
      <c r="AG27" s="259" t="str">
        <f>IF(ISERROR(AA27*100000000/'Calc-Units'!$C$21)," ",AA27*100000000/'Calc-Units'!$C$21)</f>
        <v xml:space="preserve"> </v>
      </c>
      <c r="AH27" s="260" t="str">
        <f>IF(ISERROR(AB27*100000000/'Calc-Units'!$C$21)," ",AB27*100000000/'Calc-Units'!$C$21)</f>
        <v xml:space="preserve"> </v>
      </c>
      <c r="AI27" s="80"/>
      <c r="AJ27" s="90">
        <v>0</v>
      </c>
      <c r="AK27" s="74">
        <f t="shared" si="3"/>
        <v>0</v>
      </c>
      <c r="AL27" s="75">
        <f t="shared" si="4"/>
        <v>1.32151902</v>
      </c>
      <c r="AM27" s="74"/>
      <c r="AN27" s="74"/>
      <c r="AO27" s="144" t="str">
        <f t="shared" si="6"/>
        <v xml:space="preserve"> </v>
      </c>
      <c r="AP27" s="144" t="str">
        <f t="shared" si="6"/>
        <v xml:space="preserve"> </v>
      </c>
      <c r="AQ27" s="144" t="str">
        <f t="shared" si="6"/>
        <v xml:space="preserve"> </v>
      </c>
      <c r="AR27" s="140" t="str">
        <f t="shared" si="6"/>
        <v xml:space="preserve"> </v>
      </c>
      <c r="AS27" s="140" t="str">
        <f t="shared" si="6"/>
        <v xml:space="preserve"> </v>
      </c>
      <c r="AT27" s="80"/>
      <c r="AU27" s="259" t="str">
        <f>IF(ISERROR(AO27*100000000/'Calc-Units'!$E$21)," ",AO27*100000000/'Calc-Units'!$E$21)</f>
        <v xml:space="preserve"> </v>
      </c>
      <c r="AV27" s="259" t="str">
        <f>IF(ISERROR(AP27*100000000/'Calc-Units'!$D$21)," ",AP27*100000000/'Calc-Units'!$D$21)</f>
        <v xml:space="preserve"> </v>
      </c>
      <c r="AW27" s="259" t="str">
        <f>IF(ISERROR(AQ27*100000000/'Calc-Units'!$C$21)," ",AQ27*100000000/'Calc-Units'!$C$21)</f>
        <v xml:space="preserve"> </v>
      </c>
      <c r="AX27" s="260" t="str">
        <f>IF(ISERROR(AR27*100000000/'Calc-Units'!$C$21)," ",AR27*100000000/'Calc-Units'!$C$21)</f>
        <v xml:space="preserve"> </v>
      </c>
      <c r="AZ27" s="84"/>
      <c r="BA27" s="72"/>
    </row>
    <row r="28" spans="1:53" s="71" customFormat="1">
      <c r="A28" s="89"/>
      <c r="B28" s="106"/>
      <c r="C28" s="89" t="s">
        <v>185</v>
      </c>
      <c r="D28" s="124">
        <f>'RRP 1.3'!Z$12</f>
        <v>9.5</v>
      </c>
      <c r="E28" s="124">
        <v>0</v>
      </c>
      <c r="F28" s="124">
        <v>0</v>
      </c>
      <c r="G28" s="124">
        <v>0</v>
      </c>
      <c r="H28" s="124">
        <v>0</v>
      </c>
      <c r="I28" s="124">
        <f t="shared" si="0"/>
        <v>9.5</v>
      </c>
      <c r="J28" s="115"/>
      <c r="K28" s="74"/>
      <c r="L28" s="123" t="s">
        <v>182</v>
      </c>
      <c r="M28" s="226" t="str">
        <f>IF(ISERROR(VLOOKUP($L28,'Calc-Drivers'!$B$17:$G$27,M$42,FALSE))," ",VLOOKUP($L28,'Calc-Drivers'!$B$17:$G$27,M$42,FALSE))</f>
        <v xml:space="preserve"> </v>
      </c>
      <c r="N28" s="226" t="str">
        <f>IF(ISERROR(VLOOKUP($L28,'Calc-Drivers'!$B$17:$G$27,N$42,FALSE))," ",VLOOKUP($L28,'Calc-Drivers'!$B$17:$G$27,N$42,FALSE))</f>
        <v xml:space="preserve"> </v>
      </c>
      <c r="O28" s="226" t="str">
        <f>IF(ISERROR(VLOOKUP($L28,'Calc-Drivers'!$B$17:$G$27,O$42,FALSE))," ",VLOOKUP($L28,'Calc-Drivers'!$B$17:$G$27,O$42,FALSE))</f>
        <v xml:space="preserve"> </v>
      </c>
      <c r="P28" s="226" t="str">
        <f>IF(ISERROR(VLOOKUP($L28,'Calc-Drivers'!$B$17:$G$27,P$42,FALSE))," ",VLOOKUP($L28,'Calc-Drivers'!$B$17:$G$27,P$42,FALSE))</f>
        <v xml:space="preserve"> </v>
      </c>
      <c r="Q28" s="226" t="str">
        <f>IF(ISERROR(VLOOKUP($L28,'Calc-Drivers'!$B$17:$G$27,Q$42,FALSE))," ",VLOOKUP($L28,'Calc-Drivers'!$B$17:$G$27,Q$42,FALSE))</f>
        <v xml:space="preserve"> </v>
      </c>
      <c r="R28" s="76"/>
      <c r="S28" s="77" t="str">
        <f t="shared" si="1"/>
        <v xml:space="preserve"> </v>
      </c>
      <c r="T28" s="77" t="str">
        <f t="shared" si="1"/>
        <v xml:space="preserve"> </v>
      </c>
      <c r="U28" s="77" t="str">
        <f t="shared" si="1"/>
        <v xml:space="preserve"> </v>
      </c>
      <c r="V28" s="141" t="str">
        <f t="shared" si="1"/>
        <v xml:space="preserve"> </v>
      </c>
      <c r="W28" s="141" t="str">
        <f t="shared" si="1"/>
        <v xml:space="preserve"> </v>
      </c>
      <c r="X28" s="72"/>
      <c r="Y28" s="77" t="str">
        <f t="shared" si="2"/>
        <v xml:space="preserve"> </v>
      </c>
      <c r="Z28" s="77" t="str">
        <f t="shared" si="2"/>
        <v xml:space="preserve"> </v>
      </c>
      <c r="AA28" s="77" t="str">
        <f t="shared" si="2"/>
        <v xml:space="preserve"> </v>
      </c>
      <c r="AB28" s="141" t="str">
        <f t="shared" si="5"/>
        <v xml:space="preserve"> </v>
      </c>
      <c r="AC28" s="141" t="str">
        <f t="shared" si="5"/>
        <v xml:space="preserve"> </v>
      </c>
      <c r="AD28" s="78"/>
      <c r="AE28" s="79" t="str">
        <f>IF(ISERROR(Y28*100000000/'Calc-Units'!$E$21)," ",Y28*100000000/'Calc-Units'!$E$21)</f>
        <v xml:space="preserve"> </v>
      </c>
      <c r="AF28" s="79" t="str">
        <f>IF(ISERROR(Z28*100000000/'Calc-Units'!$D$21)," ",Z28*100000000/'Calc-Units'!$D$21)</f>
        <v xml:space="preserve"> </v>
      </c>
      <c r="AG28" s="79" t="str">
        <f>IF(ISERROR(AA28*100000000/'Calc-Units'!$C$21)," ",AA28*100000000/'Calc-Units'!$C$21)</f>
        <v xml:space="preserve"> </v>
      </c>
      <c r="AH28" s="230" t="str">
        <f>IF(ISERROR(AB28*100000000/'Calc-Units'!$C$21)," ",AB28*100000000/'Calc-Units'!$C$21)</f>
        <v xml:space="preserve"> </v>
      </c>
      <c r="AI28" s="80"/>
      <c r="AJ28" s="90">
        <v>0.57699999999999996</v>
      </c>
      <c r="AK28" s="74">
        <f t="shared" si="3"/>
        <v>5.4814999999999996</v>
      </c>
      <c r="AL28" s="75">
        <f t="shared" si="4"/>
        <v>4.0185000000000004</v>
      </c>
      <c r="AM28" s="74"/>
      <c r="AN28" s="74"/>
      <c r="AO28" s="77" t="str">
        <f t="shared" si="6"/>
        <v xml:space="preserve"> </v>
      </c>
      <c r="AP28" s="77" t="str">
        <f t="shared" si="6"/>
        <v xml:space="preserve"> </v>
      </c>
      <c r="AQ28" s="77" t="str">
        <f t="shared" si="6"/>
        <v xml:space="preserve"> </v>
      </c>
      <c r="AR28" s="141" t="str">
        <f t="shared" si="6"/>
        <v xml:space="preserve"> </v>
      </c>
      <c r="AS28" s="141" t="str">
        <f t="shared" si="6"/>
        <v xml:space="preserve"> </v>
      </c>
      <c r="AT28" s="80"/>
      <c r="AU28" s="79" t="str">
        <f>IF(ISERROR(AO28*100000000/'Calc-Units'!$E$21)," ",AO28*100000000/'Calc-Units'!$E$21)</f>
        <v xml:space="preserve"> </v>
      </c>
      <c r="AV28" s="79" t="str">
        <f>IF(ISERROR(AP28*100000000/'Calc-Units'!$D$21)," ",AP28*100000000/'Calc-Units'!$D$21)</f>
        <v xml:space="preserve"> </v>
      </c>
      <c r="AW28" s="79" t="str">
        <f>IF(ISERROR(AQ28*100000000/'Calc-Units'!$C$21)," ",AQ28*100000000/'Calc-Units'!$C$21)</f>
        <v xml:space="preserve"> </v>
      </c>
      <c r="AX28" s="230" t="str">
        <f>IF(ISERROR(AR28*100000000/'Calc-Units'!$C$21)," ",AR28*100000000/'Calc-Units'!$C$21)</f>
        <v xml:space="preserve"> </v>
      </c>
      <c r="AZ28" s="84"/>
      <c r="BA28" s="72"/>
    </row>
    <row r="29" spans="1:53" s="71" customFormat="1">
      <c r="A29" s="89"/>
      <c r="B29" s="106"/>
      <c r="C29" s="89" t="s">
        <v>459</v>
      </c>
      <c r="D29" s="124">
        <f>'RRP 1.3'!AA$12</f>
        <v>0.79378199999999999</v>
      </c>
      <c r="E29" s="124">
        <v>0</v>
      </c>
      <c r="F29" s="124">
        <v>0</v>
      </c>
      <c r="G29" s="124">
        <v>0</v>
      </c>
      <c r="H29" s="124">
        <v>0</v>
      </c>
      <c r="I29" s="124">
        <f t="shared" si="0"/>
        <v>0.79378199999999999</v>
      </c>
      <c r="J29" s="115"/>
      <c r="K29" s="74"/>
      <c r="L29" s="124" t="s">
        <v>182</v>
      </c>
      <c r="M29" s="135" t="str">
        <f>IF(ISERROR(VLOOKUP($L29,'Calc-Drivers'!$B$17:$G$27,M$42,FALSE))," ",VLOOKUP($L29,'Calc-Drivers'!$B$17:$G$27,M$42,FALSE))</f>
        <v xml:space="preserve"> </v>
      </c>
      <c r="N29" s="135" t="str">
        <f>IF(ISERROR(VLOOKUP($L29,'Calc-Drivers'!$B$17:$G$27,N$42,FALSE))," ",VLOOKUP($L29,'Calc-Drivers'!$B$17:$G$27,N$42,FALSE))</f>
        <v xml:space="preserve"> </v>
      </c>
      <c r="O29" s="135" t="str">
        <f>IF(ISERROR(VLOOKUP($L29,'Calc-Drivers'!$B$17:$G$27,O$42,FALSE))," ",VLOOKUP($L29,'Calc-Drivers'!$B$17:$G$27,O$42,FALSE))</f>
        <v xml:space="preserve"> </v>
      </c>
      <c r="P29" s="135" t="str">
        <f>IF(ISERROR(VLOOKUP($L29,'Calc-Drivers'!$B$17:$G$27,P$42,FALSE))," ",VLOOKUP($L29,'Calc-Drivers'!$B$17:$G$27,P$42,FALSE))</f>
        <v xml:space="preserve"> </v>
      </c>
      <c r="Q29" s="135" t="str">
        <f>IF(ISERROR(VLOOKUP($L29,'Calc-Drivers'!$B$17:$G$27,Q$42,FALSE))," ",VLOOKUP($L29,'Calc-Drivers'!$B$17:$G$27,Q$42,FALSE))</f>
        <v xml:space="preserve"> </v>
      </c>
      <c r="R29" s="76"/>
      <c r="S29" s="77" t="str">
        <f t="shared" si="1"/>
        <v xml:space="preserve"> </v>
      </c>
      <c r="T29" s="77" t="str">
        <f t="shared" si="1"/>
        <v xml:space="preserve"> </v>
      </c>
      <c r="U29" s="77" t="str">
        <f t="shared" si="1"/>
        <v xml:space="preserve"> </v>
      </c>
      <c r="V29" s="141" t="str">
        <f t="shared" si="1"/>
        <v xml:space="preserve"> </v>
      </c>
      <c r="W29" s="141" t="str">
        <f t="shared" si="1"/>
        <v xml:space="preserve"> </v>
      </c>
      <c r="X29" s="72"/>
      <c r="Y29" s="77" t="str">
        <f t="shared" si="2"/>
        <v xml:space="preserve"> </v>
      </c>
      <c r="Z29" s="77" t="str">
        <f t="shared" si="2"/>
        <v xml:space="preserve"> </v>
      </c>
      <c r="AA29" s="77" t="str">
        <f t="shared" si="2"/>
        <v xml:space="preserve"> </v>
      </c>
      <c r="AB29" s="141" t="str">
        <f t="shared" si="5"/>
        <v xml:space="preserve"> </v>
      </c>
      <c r="AC29" s="141" t="str">
        <f t="shared" si="5"/>
        <v xml:space="preserve"> </v>
      </c>
      <c r="AD29" s="78"/>
      <c r="AE29" s="79" t="str">
        <f>IF(ISERROR(Y29*100000000/'Calc-Units'!$E$21)," ",Y29*100000000/'Calc-Units'!$E$21)</f>
        <v xml:space="preserve"> </v>
      </c>
      <c r="AF29" s="79" t="str">
        <f>IF(ISERROR(Z29*100000000/'Calc-Units'!$D$21)," ",Z29*100000000/'Calc-Units'!$D$21)</f>
        <v xml:space="preserve"> </v>
      </c>
      <c r="AG29" s="79" t="str">
        <f>IF(ISERROR(AA29*100000000/'Calc-Units'!$C$21)," ",AA29*100000000/'Calc-Units'!$C$21)</f>
        <v xml:space="preserve"> </v>
      </c>
      <c r="AH29" s="230" t="str">
        <f>IF(ISERROR(AB29*100000000/'Calc-Units'!$C$21)," ",AB29*100000000/'Calc-Units'!$C$21)</f>
        <v xml:space="preserve"> </v>
      </c>
      <c r="AI29" s="80"/>
      <c r="AJ29" s="90">
        <v>0</v>
      </c>
      <c r="AK29" s="74">
        <f t="shared" si="3"/>
        <v>0</v>
      </c>
      <c r="AL29" s="75">
        <f t="shared" si="4"/>
        <v>0.79378199999999999</v>
      </c>
      <c r="AM29" s="74"/>
      <c r="AN29" s="74"/>
      <c r="AO29" s="77" t="str">
        <f t="shared" si="6"/>
        <v xml:space="preserve"> </v>
      </c>
      <c r="AP29" s="77" t="str">
        <f t="shared" si="6"/>
        <v xml:space="preserve"> </v>
      </c>
      <c r="AQ29" s="77" t="str">
        <f t="shared" si="6"/>
        <v xml:space="preserve"> </v>
      </c>
      <c r="AR29" s="141" t="str">
        <f t="shared" si="6"/>
        <v xml:space="preserve"> </v>
      </c>
      <c r="AS29" s="141" t="str">
        <f t="shared" si="6"/>
        <v xml:space="preserve"> </v>
      </c>
      <c r="AT29" s="80"/>
      <c r="AU29" s="79" t="str">
        <f>IF(ISERROR(AO29*100000000/'Calc-Units'!$E$21)," ",AO29*100000000/'Calc-Units'!$E$21)</f>
        <v xml:space="preserve"> </v>
      </c>
      <c r="AV29" s="79" t="str">
        <f>IF(ISERROR(AP29*100000000/'Calc-Units'!$D$21)," ",AP29*100000000/'Calc-Units'!$D$21)</f>
        <v xml:space="preserve"> </v>
      </c>
      <c r="AW29" s="79" t="str">
        <f>IF(ISERROR(AQ29*100000000/'Calc-Units'!$C$21)," ",AQ29*100000000/'Calc-Units'!$C$21)</f>
        <v xml:space="preserve"> </v>
      </c>
      <c r="AX29" s="230" t="str">
        <f>IF(ISERROR(AR29*100000000/'Calc-Units'!$C$21)," ",AR29*100000000/'Calc-Units'!$C$21)</f>
        <v xml:space="preserve"> </v>
      </c>
      <c r="AZ29" s="72"/>
      <c r="BA29" s="72"/>
    </row>
    <row r="30" spans="1:53" s="71" customFormat="1">
      <c r="A30" s="89"/>
      <c r="B30" s="106"/>
      <c r="C30" s="89" t="s">
        <v>460</v>
      </c>
      <c r="D30" s="124">
        <f>'RRP 1.3'!AB$12</f>
        <v>9.751431000299192</v>
      </c>
      <c r="E30" s="124">
        <v>0</v>
      </c>
      <c r="F30" s="124">
        <v>0</v>
      </c>
      <c r="G30" s="124">
        <v>0</v>
      </c>
      <c r="H30" s="124">
        <v>0</v>
      </c>
      <c r="I30" s="124">
        <f t="shared" si="0"/>
        <v>9.751431000299192</v>
      </c>
      <c r="J30" s="115"/>
      <c r="K30" s="74"/>
      <c r="L30" s="124" t="s">
        <v>182</v>
      </c>
      <c r="M30" s="135" t="str">
        <f>IF(ISERROR(VLOOKUP($L30,'Calc-Drivers'!$B$17:$G$27,M$42,FALSE))," ",VLOOKUP($L30,'Calc-Drivers'!$B$17:$G$27,M$42,FALSE))</f>
        <v xml:space="preserve"> </v>
      </c>
      <c r="N30" s="135" t="str">
        <f>IF(ISERROR(VLOOKUP($L30,'Calc-Drivers'!$B$17:$G$27,N$42,FALSE))," ",VLOOKUP($L30,'Calc-Drivers'!$B$17:$G$27,N$42,FALSE))</f>
        <v xml:space="preserve"> </v>
      </c>
      <c r="O30" s="135" t="str">
        <f>IF(ISERROR(VLOOKUP($L30,'Calc-Drivers'!$B$17:$G$27,O$42,FALSE))," ",VLOOKUP($L30,'Calc-Drivers'!$B$17:$G$27,O$42,FALSE))</f>
        <v xml:space="preserve"> </v>
      </c>
      <c r="P30" s="135" t="str">
        <f>IF(ISERROR(VLOOKUP($L30,'Calc-Drivers'!$B$17:$G$27,P$42,FALSE))," ",VLOOKUP($L30,'Calc-Drivers'!$B$17:$G$27,P$42,FALSE))</f>
        <v xml:space="preserve"> </v>
      </c>
      <c r="Q30" s="135" t="str">
        <f>IF(ISERROR(VLOOKUP($L30,'Calc-Drivers'!$B$17:$G$27,Q$42,FALSE))," ",VLOOKUP($L30,'Calc-Drivers'!$B$17:$G$27,Q$42,FALSE))</f>
        <v xml:space="preserve"> </v>
      </c>
      <c r="R30" s="76"/>
      <c r="S30" s="77" t="str">
        <f t="shared" si="1"/>
        <v xml:space="preserve"> </v>
      </c>
      <c r="T30" s="77" t="str">
        <f t="shared" si="1"/>
        <v xml:space="preserve"> </v>
      </c>
      <c r="U30" s="77" t="str">
        <f t="shared" si="1"/>
        <v xml:space="preserve"> </v>
      </c>
      <c r="V30" s="141" t="str">
        <f t="shared" si="1"/>
        <v xml:space="preserve"> </v>
      </c>
      <c r="W30" s="141" t="str">
        <f t="shared" si="1"/>
        <v xml:space="preserve"> </v>
      </c>
      <c r="X30" s="72"/>
      <c r="Y30" s="77" t="str">
        <f t="shared" si="2"/>
        <v xml:space="preserve"> </v>
      </c>
      <c r="Z30" s="77" t="str">
        <f t="shared" si="2"/>
        <v xml:space="preserve"> </v>
      </c>
      <c r="AA30" s="77" t="str">
        <f t="shared" si="2"/>
        <v xml:space="preserve"> </v>
      </c>
      <c r="AB30" s="141" t="str">
        <f t="shared" si="5"/>
        <v xml:space="preserve"> </v>
      </c>
      <c r="AC30" s="141" t="str">
        <f t="shared" si="5"/>
        <v xml:space="preserve"> </v>
      </c>
      <c r="AD30" s="78"/>
      <c r="AE30" s="79" t="str">
        <f>IF(ISERROR(Y30*100000000/'Calc-Units'!$E$21)," ",Y30*100000000/'Calc-Units'!$E$21)</f>
        <v xml:space="preserve"> </v>
      </c>
      <c r="AF30" s="79" t="str">
        <f>IF(ISERROR(Z30*100000000/'Calc-Units'!$D$21)," ",Z30*100000000/'Calc-Units'!$D$21)</f>
        <v xml:space="preserve"> </v>
      </c>
      <c r="AG30" s="79" t="str">
        <f>IF(ISERROR(AA30*100000000/'Calc-Units'!$C$21)," ",AA30*100000000/'Calc-Units'!$C$21)</f>
        <v xml:space="preserve"> </v>
      </c>
      <c r="AH30" s="230" t="str">
        <f>IF(ISERROR(AB30*100000000/'Calc-Units'!$C$21)," ",AB30*100000000/'Calc-Units'!$C$21)</f>
        <v xml:space="preserve"> </v>
      </c>
      <c r="AI30" s="80"/>
      <c r="AJ30" s="90">
        <v>0</v>
      </c>
      <c r="AK30" s="74">
        <f t="shared" si="3"/>
        <v>0</v>
      </c>
      <c r="AL30" s="75">
        <f t="shared" si="4"/>
        <v>9.751431000299192</v>
      </c>
      <c r="AM30" s="74"/>
      <c r="AN30" s="74"/>
      <c r="AO30" s="77" t="str">
        <f t="shared" si="6"/>
        <v xml:space="preserve"> </v>
      </c>
      <c r="AP30" s="77" t="str">
        <f t="shared" si="6"/>
        <v xml:space="preserve"> </v>
      </c>
      <c r="AQ30" s="77" t="str">
        <f t="shared" si="6"/>
        <v xml:space="preserve"> </v>
      </c>
      <c r="AR30" s="141" t="str">
        <f t="shared" si="6"/>
        <v xml:space="preserve"> </v>
      </c>
      <c r="AS30" s="141" t="str">
        <f t="shared" si="6"/>
        <v xml:space="preserve"> </v>
      </c>
      <c r="AT30" s="80"/>
      <c r="AU30" s="79" t="str">
        <f>IF(ISERROR(AO30*100000000/'Calc-Units'!$E$21)," ",AO30*100000000/'Calc-Units'!$E$21)</f>
        <v xml:space="preserve"> </v>
      </c>
      <c r="AV30" s="79" t="str">
        <f>IF(ISERROR(AP30*100000000/'Calc-Units'!$D$21)," ",AP30*100000000/'Calc-Units'!$D$21)</f>
        <v xml:space="preserve"> </v>
      </c>
      <c r="AW30" s="79" t="str">
        <f>IF(ISERROR(AQ30*100000000/'Calc-Units'!$C$21)," ",AQ30*100000000/'Calc-Units'!$C$21)</f>
        <v xml:space="preserve"> </v>
      </c>
      <c r="AX30" s="230" t="str">
        <f>IF(ISERROR(AR30*100000000/'Calc-Units'!$C$21)," ",AR30*100000000/'Calc-Units'!$C$21)</f>
        <v xml:space="preserve"> </v>
      </c>
      <c r="AZ30" s="72"/>
      <c r="BA30" s="72"/>
    </row>
    <row r="31" spans="1:53" s="71" customFormat="1">
      <c r="A31" s="89"/>
      <c r="B31" s="106"/>
      <c r="C31" s="89" t="s">
        <v>444</v>
      </c>
      <c r="D31" s="124">
        <f>'RRP 1.3'!AC$12</f>
        <v>-8.3266726846886741E-16</v>
      </c>
      <c r="E31" s="124">
        <v>0</v>
      </c>
      <c r="F31" s="124">
        <v>0</v>
      </c>
      <c r="G31" s="124">
        <v>0</v>
      </c>
      <c r="H31" s="124">
        <v>0</v>
      </c>
      <c r="I31" s="124">
        <f t="shared" si="0"/>
        <v>-8.3266726846886741E-16</v>
      </c>
      <c r="J31" s="115"/>
      <c r="K31" s="74"/>
      <c r="L31" s="124" t="s">
        <v>182</v>
      </c>
      <c r="M31" s="135" t="str">
        <f>IF(ISERROR(VLOOKUP($L31,'Calc-Drivers'!$B$17:$G$27,M$42,FALSE))," ",VLOOKUP($L31,'Calc-Drivers'!$B$17:$G$27,M$42,FALSE))</f>
        <v xml:space="preserve"> </v>
      </c>
      <c r="N31" s="135" t="str">
        <f>IF(ISERROR(VLOOKUP($L31,'Calc-Drivers'!$B$17:$G$27,N$42,FALSE))," ",VLOOKUP($L31,'Calc-Drivers'!$B$17:$G$27,N$42,FALSE))</f>
        <v xml:space="preserve"> </v>
      </c>
      <c r="O31" s="135" t="str">
        <f>IF(ISERROR(VLOOKUP($L31,'Calc-Drivers'!$B$17:$G$27,O$42,FALSE))," ",VLOOKUP($L31,'Calc-Drivers'!$B$17:$G$27,O$42,FALSE))</f>
        <v xml:space="preserve"> </v>
      </c>
      <c r="P31" s="135" t="str">
        <f>IF(ISERROR(VLOOKUP($L31,'Calc-Drivers'!$B$17:$G$27,P$42,FALSE))," ",VLOOKUP($L31,'Calc-Drivers'!$B$17:$G$27,P$42,FALSE))</f>
        <v xml:space="preserve"> </v>
      </c>
      <c r="Q31" s="135" t="str">
        <f>IF(ISERROR(VLOOKUP($L31,'Calc-Drivers'!$B$17:$G$27,Q$42,FALSE))," ",VLOOKUP($L31,'Calc-Drivers'!$B$17:$G$27,Q$42,FALSE))</f>
        <v xml:space="preserve"> </v>
      </c>
      <c r="R31" s="76"/>
      <c r="S31" s="77" t="str">
        <f t="shared" si="1"/>
        <v xml:space="preserve"> </v>
      </c>
      <c r="T31" s="77" t="str">
        <f t="shared" si="1"/>
        <v xml:space="preserve"> </v>
      </c>
      <c r="U31" s="77" t="str">
        <f t="shared" si="1"/>
        <v xml:space="preserve"> </v>
      </c>
      <c r="V31" s="141" t="str">
        <f t="shared" si="1"/>
        <v xml:space="preserve"> </v>
      </c>
      <c r="W31" s="141" t="str">
        <f t="shared" si="1"/>
        <v xml:space="preserve"> </v>
      </c>
      <c r="X31" s="72"/>
      <c r="Y31" s="77" t="str">
        <f t="shared" si="2"/>
        <v xml:space="preserve"> </v>
      </c>
      <c r="Z31" s="77" t="str">
        <f t="shared" si="2"/>
        <v xml:space="preserve"> </v>
      </c>
      <c r="AA31" s="77" t="str">
        <f t="shared" si="2"/>
        <v xml:space="preserve"> </v>
      </c>
      <c r="AB31" s="141" t="str">
        <f t="shared" si="5"/>
        <v xml:space="preserve"> </v>
      </c>
      <c r="AC31" s="141" t="str">
        <f t="shared" si="5"/>
        <v xml:space="preserve"> </v>
      </c>
      <c r="AD31" s="78"/>
      <c r="AE31" s="79" t="str">
        <f>IF(ISERROR(Y31*100000000/'Calc-Units'!$E$21)," ",Y31*100000000/'Calc-Units'!$E$21)</f>
        <v xml:space="preserve"> </v>
      </c>
      <c r="AF31" s="79" t="str">
        <f>IF(ISERROR(Z31*100000000/'Calc-Units'!$D$21)," ",Z31*100000000/'Calc-Units'!$D$21)</f>
        <v xml:space="preserve"> </v>
      </c>
      <c r="AG31" s="79" t="str">
        <f>IF(ISERROR(AA31*100000000/'Calc-Units'!$C$21)," ",AA31*100000000/'Calc-Units'!$C$21)</f>
        <v xml:space="preserve"> </v>
      </c>
      <c r="AH31" s="230" t="str">
        <f>IF(ISERROR(AB31*100000000/'Calc-Units'!$C$21)," ",AB31*100000000/'Calc-Units'!$C$21)</f>
        <v xml:space="preserve"> </v>
      </c>
      <c r="AI31" s="80"/>
      <c r="AJ31" s="90">
        <v>0</v>
      </c>
      <c r="AK31" s="74">
        <f t="shared" si="3"/>
        <v>0</v>
      </c>
      <c r="AL31" s="75">
        <f t="shared" si="4"/>
        <v>-8.3266726846886741E-16</v>
      </c>
      <c r="AM31" s="74"/>
      <c r="AN31" s="74"/>
      <c r="AO31" s="77" t="str">
        <f t="shared" si="6"/>
        <v xml:space="preserve"> </v>
      </c>
      <c r="AP31" s="77" t="str">
        <f t="shared" si="6"/>
        <v xml:space="preserve"> </v>
      </c>
      <c r="AQ31" s="77" t="str">
        <f t="shared" si="6"/>
        <v xml:space="preserve"> </v>
      </c>
      <c r="AR31" s="141" t="str">
        <f t="shared" si="6"/>
        <v xml:space="preserve"> </v>
      </c>
      <c r="AS31" s="141" t="str">
        <f t="shared" si="6"/>
        <v xml:space="preserve"> </v>
      </c>
      <c r="AT31" s="80"/>
      <c r="AU31" s="79" t="str">
        <f>IF(ISERROR(AO31*100000000/'Calc-Units'!$E$21)," ",AO31*100000000/'Calc-Units'!$E$21)</f>
        <v xml:space="preserve"> </v>
      </c>
      <c r="AV31" s="79" t="str">
        <f>IF(ISERROR(AP31*100000000/'Calc-Units'!$D$21)," ",AP31*100000000/'Calc-Units'!$D$21)</f>
        <v xml:space="preserve"> </v>
      </c>
      <c r="AW31" s="79" t="str">
        <f>IF(ISERROR(AQ31*100000000/'Calc-Units'!$C$21)," ",AQ31*100000000/'Calc-Units'!$C$21)</f>
        <v xml:space="preserve"> </v>
      </c>
      <c r="AX31" s="230" t="str">
        <f>IF(ISERROR(AR31*100000000/'Calc-Units'!$C$21)," ",AR31*100000000/'Calc-Units'!$C$21)</f>
        <v xml:space="preserve"> </v>
      </c>
      <c r="AZ31" s="72"/>
      <c r="BA31" s="72"/>
    </row>
    <row r="32" spans="1:53" s="71" customFormat="1">
      <c r="A32" s="89"/>
      <c r="B32" s="106"/>
      <c r="C32" s="89" t="s">
        <v>586</v>
      </c>
      <c r="D32" s="124">
        <f>'RRP 1.3'!AD$12</f>
        <v>1.0145090392</v>
      </c>
      <c r="E32" s="124">
        <v>0</v>
      </c>
      <c r="F32" s="124">
        <v>0</v>
      </c>
      <c r="G32" s="124">
        <v>0</v>
      </c>
      <c r="H32" s="124">
        <v>0</v>
      </c>
      <c r="I32" s="124">
        <f t="shared" si="0"/>
        <v>1.0145090392</v>
      </c>
      <c r="J32" s="115"/>
      <c r="K32" s="74"/>
      <c r="L32" s="124" t="s">
        <v>182</v>
      </c>
      <c r="M32" s="135" t="str">
        <f>IF(ISERROR(VLOOKUP($L32,'Calc-Drivers'!$B$17:$G$27,M$42,FALSE))," ",VLOOKUP($L32,'Calc-Drivers'!$B$17:$G$27,M$42,FALSE))</f>
        <v xml:space="preserve"> </v>
      </c>
      <c r="N32" s="135" t="str">
        <f>IF(ISERROR(VLOOKUP($L32,'Calc-Drivers'!$B$17:$G$27,N$42,FALSE))," ",VLOOKUP($L32,'Calc-Drivers'!$B$17:$G$27,N$42,FALSE))</f>
        <v xml:space="preserve"> </v>
      </c>
      <c r="O32" s="135" t="str">
        <f>IF(ISERROR(VLOOKUP($L32,'Calc-Drivers'!$B$17:$G$27,O$42,FALSE))," ",VLOOKUP($L32,'Calc-Drivers'!$B$17:$G$27,O$42,FALSE))</f>
        <v xml:space="preserve"> </v>
      </c>
      <c r="P32" s="135" t="str">
        <f>IF(ISERROR(VLOOKUP($L32,'Calc-Drivers'!$B$17:$G$27,P$42,FALSE))," ",VLOOKUP($L32,'Calc-Drivers'!$B$17:$G$27,P$42,FALSE))</f>
        <v xml:space="preserve"> </v>
      </c>
      <c r="Q32" s="135" t="str">
        <f>IF(ISERROR(VLOOKUP($L32,'Calc-Drivers'!$B$17:$G$27,Q$42,FALSE))," ",VLOOKUP($L32,'Calc-Drivers'!$B$17:$G$27,Q$42,FALSE))</f>
        <v xml:space="preserve"> </v>
      </c>
      <c r="R32" s="76"/>
      <c r="S32" s="77" t="str">
        <f t="shared" si="1"/>
        <v xml:space="preserve"> </v>
      </c>
      <c r="T32" s="77" t="str">
        <f t="shared" si="1"/>
        <v xml:space="preserve"> </v>
      </c>
      <c r="U32" s="77" t="str">
        <f t="shared" si="1"/>
        <v xml:space="preserve"> </v>
      </c>
      <c r="V32" s="141" t="str">
        <f t="shared" si="1"/>
        <v xml:space="preserve"> </v>
      </c>
      <c r="W32" s="141" t="str">
        <f t="shared" si="1"/>
        <v xml:space="preserve"> </v>
      </c>
      <c r="X32" s="72"/>
      <c r="Y32" s="77" t="str">
        <f t="shared" si="2"/>
        <v xml:space="preserve"> </v>
      </c>
      <c r="Z32" s="77" t="str">
        <f t="shared" si="2"/>
        <v xml:space="preserve"> </v>
      </c>
      <c r="AA32" s="77" t="str">
        <f t="shared" si="2"/>
        <v xml:space="preserve"> </v>
      </c>
      <c r="AB32" s="141" t="str">
        <f t="shared" si="5"/>
        <v xml:space="preserve"> </v>
      </c>
      <c r="AC32" s="141" t="str">
        <f t="shared" si="5"/>
        <v xml:space="preserve"> </v>
      </c>
      <c r="AD32" s="78"/>
      <c r="AE32" s="79" t="str">
        <f>IF(ISERROR(Y32*100000000/'Calc-Units'!$E$21)," ",Y32*100000000/'Calc-Units'!$E$21)</f>
        <v xml:space="preserve"> </v>
      </c>
      <c r="AF32" s="79" t="str">
        <f>IF(ISERROR(Z32*100000000/'Calc-Units'!$D$21)," ",Z32*100000000/'Calc-Units'!$D$21)</f>
        <v xml:space="preserve"> </v>
      </c>
      <c r="AG32" s="79" t="str">
        <f>IF(ISERROR(AA32*100000000/'Calc-Units'!$C$21)," ",AA32*100000000/'Calc-Units'!$C$21)</f>
        <v xml:space="preserve"> </v>
      </c>
      <c r="AH32" s="230" t="str">
        <f>IF(ISERROR(AB32*100000000/'Calc-Units'!$C$21)," ",AB32*100000000/'Calc-Units'!$C$21)</f>
        <v xml:space="preserve"> </v>
      </c>
      <c r="AI32" s="80"/>
      <c r="AJ32" s="90">
        <v>0</v>
      </c>
      <c r="AK32" s="74">
        <f t="shared" si="3"/>
        <v>0</v>
      </c>
      <c r="AL32" s="75">
        <f t="shared" si="4"/>
        <v>1.0145090392</v>
      </c>
      <c r="AM32" s="74"/>
      <c r="AN32" s="74"/>
      <c r="AO32" s="77" t="str">
        <f t="shared" si="6"/>
        <v xml:space="preserve"> </v>
      </c>
      <c r="AP32" s="77" t="str">
        <f t="shared" si="6"/>
        <v xml:space="preserve"> </v>
      </c>
      <c r="AQ32" s="77" t="str">
        <f t="shared" si="6"/>
        <v xml:space="preserve"> </v>
      </c>
      <c r="AR32" s="141" t="str">
        <f t="shared" si="6"/>
        <v xml:space="preserve"> </v>
      </c>
      <c r="AS32" s="141" t="str">
        <f t="shared" si="6"/>
        <v xml:space="preserve"> </v>
      </c>
      <c r="AT32" s="80"/>
      <c r="AU32" s="79" t="str">
        <f>IF(ISERROR(AO32*100000000/'Calc-Units'!$E$21)," ",AO32*100000000/'Calc-Units'!$E$21)</f>
        <v xml:space="preserve"> </v>
      </c>
      <c r="AV32" s="79" t="str">
        <f>IF(ISERROR(AP32*100000000/'Calc-Units'!$D$21)," ",AP32*100000000/'Calc-Units'!$D$21)</f>
        <v xml:space="preserve"> </v>
      </c>
      <c r="AW32" s="79" t="str">
        <f>IF(ISERROR(AQ32*100000000/'Calc-Units'!$C$21)," ",AQ32*100000000/'Calc-Units'!$C$21)</f>
        <v xml:space="preserve"> </v>
      </c>
      <c r="AX32" s="230" t="str">
        <f>IF(ISERROR(AR32*100000000/'Calc-Units'!$C$21)," ",AR32*100000000/'Calc-Units'!$C$21)</f>
        <v xml:space="preserve"> </v>
      </c>
      <c r="AZ32" s="72"/>
      <c r="BA32" s="72"/>
    </row>
    <row r="33" spans="1:53" s="71" customFormat="1">
      <c r="A33" s="89"/>
      <c r="B33" s="106"/>
      <c r="C33" s="89" t="s">
        <v>445</v>
      </c>
      <c r="D33" s="124">
        <f>'RRP 1.3'!AE$12</f>
        <v>4.3032873328058328</v>
      </c>
      <c r="E33" s="124">
        <v>0</v>
      </c>
      <c r="F33" s="124">
        <v>0</v>
      </c>
      <c r="G33" s="124">
        <v>0</v>
      </c>
      <c r="H33" s="124">
        <v>0</v>
      </c>
      <c r="I33" s="124">
        <f t="shared" si="0"/>
        <v>4.3032873328058328</v>
      </c>
      <c r="J33" s="115"/>
      <c r="K33" s="74"/>
      <c r="L33" s="124" t="s">
        <v>182</v>
      </c>
      <c r="M33" s="135" t="str">
        <f>IF(ISERROR(VLOOKUP($L33,'Calc-Drivers'!$B$17:$G$27,M$42,FALSE))," ",VLOOKUP($L33,'Calc-Drivers'!$B$17:$G$27,M$42,FALSE))</f>
        <v xml:space="preserve"> </v>
      </c>
      <c r="N33" s="135" t="str">
        <f>IF(ISERROR(VLOOKUP($L33,'Calc-Drivers'!$B$17:$G$27,N$42,FALSE))," ",VLOOKUP($L33,'Calc-Drivers'!$B$17:$G$27,N$42,FALSE))</f>
        <v xml:space="preserve"> </v>
      </c>
      <c r="O33" s="135" t="str">
        <f>IF(ISERROR(VLOOKUP($L33,'Calc-Drivers'!$B$17:$G$27,O$42,FALSE))," ",VLOOKUP($L33,'Calc-Drivers'!$B$17:$G$27,O$42,FALSE))</f>
        <v xml:space="preserve"> </v>
      </c>
      <c r="P33" s="135" t="str">
        <f>IF(ISERROR(VLOOKUP($L33,'Calc-Drivers'!$B$17:$G$27,P$42,FALSE))," ",VLOOKUP($L33,'Calc-Drivers'!$B$17:$G$27,P$42,FALSE))</f>
        <v xml:space="preserve"> </v>
      </c>
      <c r="Q33" s="135" t="str">
        <f>IF(ISERROR(VLOOKUP($L33,'Calc-Drivers'!$B$17:$G$27,Q$42,FALSE))," ",VLOOKUP($L33,'Calc-Drivers'!$B$17:$G$27,Q$42,FALSE))</f>
        <v xml:space="preserve"> </v>
      </c>
      <c r="R33" s="76"/>
      <c r="S33" s="77" t="str">
        <f t="shared" si="1"/>
        <v xml:space="preserve"> </v>
      </c>
      <c r="T33" s="77" t="str">
        <f t="shared" si="1"/>
        <v xml:space="preserve"> </v>
      </c>
      <c r="U33" s="77" t="str">
        <f t="shared" si="1"/>
        <v xml:space="preserve"> </v>
      </c>
      <c r="V33" s="141" t="str">
        <f t="shared" si="1"/>
        <v xml:space="preserve"> </v>
      </c>
      <c r="W33" s="141" t="str">
        <f t="shared" si="1"/>
        <v xml:space="preserve"> </v>
      </c>
      <c r="X33" s="72"/>
      <c r="Y33" s="77" t="str">
        <f t="shared" si="2"/>
        <v xml:space="preserve"> </v>
      </c>
      <c r="Z33" s="77" t="str">
        <f t="shared" si="2"/>
        <v xml:space="preserve"> </v>
      </c>
      <c r="AA33" s="77" t="str">
        <f t="shared" si="2"/>
        <v xml:space="preserve"> </v>
      </c>
      <c r="AB33" s="141" t="str">
        <f t="shared" si="5"/>
        <v xml:space="preserve"> </v>
      </c>
      <c r="AC33" s="141" t="str">
        <f t="shared" si="5"/>
        <v xml:space="preserve"> </v>
      </c>
      <c r="AD33" s="78"/>
      <c r="AE33" s="79" t="str">
        <f>IF(ISERROR(Y33*100000000/'Calc-Units'!$E$21)," ",Y33*100000000/'Calc-Units'!$E$21)</f>
        <v xml:space="preserve"> </v>
      </c>
      <c r="AF33" s="79" t="str">
        <f>IF(ISERROR(Z33*100000000/'Calc-Units'!$D$21)," ",Z33*100000000/'Calc-Units'!$D$21)</f>
        <v xml:space="preserve"> </v>
      </c>
      <c r="AG33" s="79" t="str">
        <f>IF(ISERROR(AA33*100000000/'Calc-Units'!$C$21)," ",AA33*100000000/'Calc-Units'!$C$21)</f>
        <v xml:space="preserve"> </v>
      </c>
      <c r="AH33" s="230" t="str">
        <f>IF(ISERROR(AB33*100000000/'Calc-Units'!$C$21)," ",AB33*100000000/'Calc-Units'!$C$21)</f>
        <v xml:space="preserve"> </v>
      </c>
      <c r="AI33" s="80"/>
      <c r="AJ33" s="90">
        <v>0</v>
      </c>
      <c r="AK33" s="74">
        <f t="shared" si="3"/>
        <v>0</v>
      </c>
      <c r="AL33" s="75">
        <f t="shared" si="4"/>
        <v>4.3032873328058328</v>
      </c>
      <c r="AM33" s="74"/>
      <c r="AN33" s="74"/>
      <c r="AO33" s="77" t="str">
        <f t="shared" si="6"/>
        <v xml:space="preserve"> </v>
      </c>
      <c r="AP33" s="77" t="str">
        <f t="shared" si="6"/>
        <v xml:space="preserve"> </v>
      </c>
      <c r="AQ33" s="77" t="str">
        <f t="shared" si="6"/>
        <v xml:space="preserve"> </v>
      </c>
      <c r="AR33" s="141" t="str">
        <f t="shared" si="6"/>
        <v xml:space="preserve"> </v>
      </c>
      <c r="AS33" s="141" t="str">
        <f t="shared" si="6"/>
        <v xml:space="preserve"> </v>
      </c>
      <c r="AT33" s="80"/>
      <c r="AU33" s="79" t="str">
        <f>IF(ISERROR(AO33*100000000/'Calc-Units'!$E$21)," ",AO33*100000000/'Calc-Units'!$E$21)</f>
        <v xml:space="preserve"> </v>
      </c>
      <c r="AV33" s="79" t="str">
        <f>IF(ISERROR(AP33*100000000/'Calc-Units'!$D$21)," ",AP33*100000000/'Calc-Units'!$D$21)</f>
        <v xml:space="preserve"> </v>
      </c>
      <c r="AW33" s="79" t="str">
        <f>IF(ISERROR(AQ33*100000000/'Calc-Units'!$C$21)," ",AQ33*100000000/'Calc-Units'!$C$21)</f>
        <v xml:space="preserve"> </v>
      </c>
      <c r="AX33" s="230" t="str">
        <f>IF(ISERROR(AR33*100000000/'Calc-Units'!$C$21)," ",AR33*100000000/'Calc-Units'!$C$21)</f>
        <v xml:space="preserve"> </v>
      </c>
      <c r="AZ33" s="72"/>
      <c r="BA33" s="72"/>
    </row>
    <row r="34" spans="1:53" s="71" customFormat="1">
      <c r="A34" s="89"/>
      <c r="B34" s="106"/>
      <c r="C34" s="89" t="s">
        <v>446</v>
      </c>
      <c r="D34" s="124">
        <f>'RRP 1.3'!AF$12</f>
        <v>41.912756859700004</v>
      </c>
      <c r="E34" s="124">
        <v>0</v>
      </c>
      <c r="F34" s="124">
        <v>0</v>
      </c>
      <c r="G34" s="124">
        <v>0</v>
      </c>
      <c r="H34" s="124">
        <v>0</v>
      </c>
      <c r="I34" s="124">
        <f t="shared" si="0"/>
        <v>41.912756859700004</v>
      </c>
      <c r="J34" s="115"/>
      <c r="K34" s="74"/>
      <c r="L34" s="124" t="s">
        <v>182</v>
      </c>
      <c r="M34" s="135" t="str">
        <f>IF(ISERROR(VLOOKUP($L34,'Calc-Drivers'!$B$17:$G$27,M$42,FALSE))," ",VLOOKUP($L34,'Calc-Drivers'!$B$17:$G$27,M$42,FALSE))</f>
        <v xml:space="preserve"> </v>
      </c>
      <c r="N34" s="135" t="str">
        <f>IF(ISERROR(VLOOKUP($L34,'Calc-Drivers'!$B$17:$G$27,N$42,FALSE))," ",VLOOKUP($L34,'Calc-Drivers'!$B$17:$G$27,N$42,FALSE))</f>
        <v xml:space="preserve"> </v>
      </c>
      <c r="O34" s="135" t="str">
        <f>IF(ISERROR(VLOOKUP($L34,'Calc-Drivers'!$B$17:$G$27,O$42,FALSE))," ",VLOOKUP($L34,'Calc-Drivers'!$B$17:$G$27,O$42,FALSE))</f>
        <v xml:space="preserve"> </v>
      </c>
      <c r="P34" s="135" t="str">
        <f>IF(ISERROR(VLOOKUP($L34,'Calc-Drivers'!$B$17:$G$27,P$42,FALSE))," ",VLOOKUP($L34,'Calc-Drivers'!$B$17:$G$27,P$42,FALSE))</f>
        <v xml:space="preserve"> </v>
      </c>
      <c r="Q34" s="135" t="str">
        <f>IF(ISERROR(VLOOKUP($L34,'Calc-Drivers'!$B$17:$G$27,Q$42,FALSE))," ",VLOOKUP($L34,'Calc-Drivers'!$B$17:$G$27,Q$42,FALSE))</f>
        <v xml:space="preserve"> </v>
      </c>
      <c r="R34" s="76"/>
      <c r="S34" s="77" t="str">
        <f t="shared" si="1"/>
        <v xml:space="preserve"> </v>
      </c>
      <c r="T34" s="77" t="str">
        <f t="shared" si="1"/>
        <v xml:space="preserve"> </v>
      </c>
      <c r="U34" s="77" t="str">
        <f t="shared" si="1"/>
        <v xml:space="preserve"> </v>
      </c>
      <c r="V34" s="141" t="str">
        <f t="shared" si="1"/>
        <v xml:space="preserve"> </v>
      </c>
      <c r="W34" s="141" t="str">
        <f t="shared" si="1"/>
        <v xml:space="preserve"> </v>
      </c>
      <c r="X34" s="72"/>
      <c r="Y34" s="77" t="str">
        <f t="shared" si="2"/>
        <v xml:space="preserve"> </v>
      </c>
      <c r="Z34" s="77" t="str">
        <f t="shared" si="2"/>
        <v xml:space="preserve"> </v>
      </c>
      <c r="AA34" s="77" t="str">
        <f t="shared" si="2"/>
        <v xml:space="preserve"> </v>
      </c>
      <c r="AB34" s="141" t="str">
        <f t="shared" si="5"/>
        <v xml:space="preserve"> </v>
      </c>
      <c r="AC34" s="141" t="str">
        <f t="shared" si="5"/>
        <v xml:space="preserve"> </v>
      </c>
      <c r="AD34" s="78"/>
      <c r="AE34" s="79" t="str">
        <f>IF(ISERROR(Y34*100000000/'Calc-Units'!$E$21)," ",Y34*100000000/'Calc-Units'!$E$21)</f>
        <v xml:space="preserve"> </v>
      </c>
      <c r="AF34" s="79" t="str">
        <f>IF(ISERROR(Z34*100000000/'Calc-Units'!$D$21)," ",Z34*100000000/'Calc-Units'!$D$21)</f>
        <v xml:space="preserve"> </v>
      </c>
      <c r="AG34" s="79" t="str">
        <f>IF(ISERROR(AA34*100000000/'Calc-Units'!$C$21)," ",AA34*100000000/'Calc-Units'!$C$21)</f>
        <v xml:space="preserve"> </v>
      </c>
      <c r="AH34" s="230" t="str">
        <f>IF(ISERROR(AB34*100000000/'Calc-Units'!$C$21)," ",AB34*100000000/'Calc-Units'!$C$21)</f>
        <v xml:space="preserve"> </v>
      </c>
      <c r="AI34" s="80"/>
      <c r="AJ34" s="90">
        <v>0</v>
      </c>
      <c r="AK34" s="74">
        <f t="shared" si="3"/>
        <v>0</v>
      </c>
      <c r="AL34" s="75">
        <f t="shared" si="4"/>
        <v>41.912756859700004</v>
      </c>
      <c r="AM34" s="74"/>
      <c r="AN34" s="74"/>
      <c r="AO34" s="77" t="str">
        <f t="shared" si="6"/>
        <v xml:space="preserve"> </v>
      </c>
      <c r="AP34" s="77" t="str">
        <f t="shared" si="6"/>
        <v xml:space="preserve"> </v>
      </c>
      <c r="AQ34" s="77" t="str">
        <f t="shared" si="6"/>
        <v xml:space="preserve"> </v>
      </c>
      <c r="AR34" s="141" t="str">
        <f t="shared" si="6"/>
        <v xml:space="preserve"> </v>
      </c>
      <c r="AS34" s="141" t="str">
        <f t="shared" si="6"/>
        <v xml:space="preserve"> </v>
      </c>
      <c r="AT34" s="80"/>
      <c r="AU34" s="79" t="str">
        <f>IF(ISERROR(AO34*100000000/'Calc-Units'!$E$21)," ",AO34*100000000/'Calc-Units'!$E$21)</f>
        <v xml:space="preserve"> </v>
      </c>
      <c r="AV34" s="79" t="str">
        <f>IF(ISERROR(AP34*100000000/'Calc-Units'!$D$21)," ",AP34*100000000/'Calc-Units'!$D$21)</f>
        <v xml:space="preserve"> </v>
      </c>
      <c r="AW34" s="79" t="str">
        <f>IF(ISERROR(AQ34*100000000/'Calc-Units'!$C$21)," ",AQ34*100000000/'Calc-Units'!$C$21)</f>
        <v xml:space="preserve"> </v>
      </c>
      <c r="AX34" s="230" t="str">
        <f>IF(ISERROR(AR34*100000000/'Calc-Units'!$C$21)," ",AR34*100000000/'Calc-Units'!$C$21)</f>
        <v xml:space="preserve"> </v>
      </c>
      <c r="AZ34" s="72"/>
      <c r="BA34" s="72"/>
    </row>
    <row r="35" spans="1:53" s="71" customFormat="1">
      <c r="A35" s="89"/>
      <c r="B35" s="106"/>
      <c r="C35" s="89" t="s">
        <v>447</v>
      </c>
      <c r="D35" s="124">
        <f>'RRP 1.3'!AG$12</f>
        <v>27.091992000000001</v>
      </c>
      <c r="E35" s="124">
        <v>0</v>
      </c>
      <c r="F35" s="124">
        <v>0</v>
      </c>
      <c r="G35" s="124">
        <v>0</v>
      </c>
      <c r="H35" s="124">
        <v>0</v>
      </c>
      <c r="I35" s="124">
        <f t="shared" si="0"/>
        <v>27.091992000000001</v>
      </c>
      <c r="J35" s="115"/>
      <c r="K35" s="74"/>
      <c r="L35" s="124" t="s">
        <v>182</v>
      </c>
      <c r="M35" s="135" t="str">
        <f>IF(ISERROR(VLOOKUP($L35,'Calc-Drivers'!$B$17:$G$27,M$42,FALSE))," ",VLOOKUP($L35,'Calc-Drivers'!$B$17:$G$27,M$42,FALSE))</f>
        <v xml:space="preserve"> </v>
      </c>
      <c r="N35" s="135" t="str">
        <f>IF(ISERROR(VLOOKUP($L35,'Calc-Drivers'!$B$17:$G$27,N$42,FALSE))," ",VLOOKUP($L35,'Calc-Drivers'!$B$17:$G$27,N$42,FALSE))</f>
        <v xml:space="preserve"> </v>
      </c>
      <c r="O35" s="135" t="str">
        <f>IF(ISERROR(VLOOKUP($L35,'Calc-Drivers'!$B$17:$G$27,O$42,FALSE))," ",VLOOKUP($L35,'Calc-Drivers'!$B$17:$G$27,O$42,FALSE))</f>
        <v xml:space="preserve"> </v>
      </c>
      <c r="P35" s="135" t="str">
        <f>IF(ISERROR(VLOOKUP($L35,'Calc-Drivers'!$B$17:$G$27,P$42,FALSE))," ",VLOOKUP($L35,'Calc-Drivers'!$B$17:$G$27,P$42,FALSE))</f>
        <v xml:space="preserve"> </v>
      </c>
      <c r="Q35" s="135" t="str">
        <f>IF(ISERROR(VLOOKUP($L35,'Calc-Drivers'!$B$17:$G$27,Q$42,FALSE))," ",VLOOKUP($L35,'Calc-Drivers'!$B$17:$G$27,Q$42,FALSE))</f>
        <v xml:space="preserve"> </v>
      </c>
      <c r="R35" s="76"/>
      <c r="S35" s="77" t="str">
        <f t="shared" si="1"/>
        <v xml:space="preserve"> </v>
      </c>
      <c r="T35" s="77" t="str">
        <f t="shared" si="1"/>
        <v xml:space="preserve"> </v>
      </c>
      <c r="U35" s="77" t="str">
        <f t="shared" si="1"/>
        <v xml:space="preserve"> </v>
      </c>
      <c r="V35" s="141" t="str">
        <f t="shared" si="1"/>
        <v xml:space="preserve"> </v>
      </c>
      <c r="W35" s="141" t="str">
        <f t="shared" si="1"/>
        <v xml:space="preserve"> </v>
      </c>
      <c r="X35" s="72"/>
      <c r="Y35" s="77" t="str">
        <f t="shared" si="2"/>
        <v xml:space="preserve"> </v>
      </c>
      <c r="Z35" s="77" t="str">
        <f t="shared" si="2"/>
        <v xml:space="preserve"> </v>
      </c>
      <c r="AA35" s="77" t="str">
        <f t="shared" si="2"/>
        <v xml:space="preserve"> </v>
      </c>
      <c r="AB35" s="141" t="str">
        <f t="shared" si="5"/>
        <v xml:space="preserve"> </v>
      </c>
      <c r="AC35" s="141" t="str">
        <f t="shared" si="5"/>
        <v xml:space="preserve"> </v>
      </c>
      <c r="AD35" s="78"/>
      <c r="AE35" s="79" t="str">
        <f>IF(ISERROR(Y35*100000000/'Calc-Units'!$E$21)," ",Y35*100000000/'Calc-Units'!$E$21)</f>
        <v xml:space="preserve"> </v>
      </c>
      <c r="AF35" s="79" t="str">
        <f>IF(ISERROR(Z35*100000000/'Calc-Units'!$D$21)," ",Z35*100000000/'Calc-Units'!$D$21)</f>
        <v xml:space="preserve"> </v>
      </c>
      <c r="AG35" s="79" t="str">
        <f>IF(ISERROR(AA35*100000000/'Calc-Units'!$C$21)," ",AA35*100000000/'Calc-Units'!$C$21)</f>
        <v xml:space="preserve"> </v>
      </c>
      <c r="AH35" s="230" t="str">
        <f>IF(ISERROR(AB35*100000000/'Calc-Units'!$C$21)," ",AB35*100000000/'Calc-Units'!$C$21)</f>
        <v xml:space="preserve"> </v>
      </c>
      <c r="AI35" s="80"/>
      <c r="AJ35" s="90">
        <v>0</v>
      </c>
      <c r="AK35" s="74">
        <f t="shared" si="3"/>
        <v>0</v>
      </c>
      <c r="AL35" s="75">
        <f t="shared" si="4"/>
        <v>27.091992000000001</v>
      </c>
      <c r="AM35" s="74"/>
      <c r="AN35" s="74"/>
      <c r="AO35" s="77" t="str">
        <f t="shared" si="6"/>
        <v xml:space="preserve"> </v>
      </c>
      <c r="AP35" s="77" t="str">
        <f t="shared" si="6"/>
        <v xml:space="preserve"> </v>
      </c>
      <c r="AQ35" s="77" t="str">
        <f t="shared" si="6"/>
        <v xml:space="preserve"> </v>
      </c>
      <c r="AR35" s="141" t="str">
        <f t="shared" si="6"/>
        <v xml:space="preserve"> </v>
      </c>
      <c r="AS35" s="141" t="str">
        <f t="shared" si="6"/>
        <v xml:space="preserve"> </v>
      </c>
      <c r="AT35" s="80"/>
      <c r="AU35" s="79" t="str">
        <f>IF(ISERROR(AO35*100000000/'Calc-Units'!$E$21)," ",AO35*100000000/'Calc-Units'!$E$21)</f>
        <v xml:space="preserve"> </v>
      </c>
      <c r="AV35" s="79" t="str">
        <f>IF(ISERROR(AP35*100000000/'Calc-Units'!$D$21)," ",AP35*100000000/'Calc-Units'!$D$21)</f>
        <v xml:space="preserve"> </v>
      </c>
      <c r="AW35" s="79" t="str">
        <f>IF(ISERROR(AQ35*100000000/'Calc-Units'!$C$21)," ",AQ35*100000000/'Calc-Units'!$C$21)</f>
        <v xml:space="preserve"> </v>
      </c>
      <c r="AX35" s="230" t="str">
        <f>IF(ISERROR(AR35*100000000/'Calc-Units'!$C$21)," ",AR35*100000000/'Calc-Units'!$C$21)</f>
        <v xml:space="preserve"> </v>
      </c>
      <c r="AZ35" s="72"/>
      <c r="BA35" s="72"/>
    </row>
    <row r="36" spans="1:53" s="71" customFormat="1">
      <c r="A36" s="89"/>
      <c r="B36" s="106"/>
      <c r="C36" s="89" t="s">
        <v>327</v>
      </c>
      <c r="D36" s="124">
        <f>'RRP 1.3'!AH$12</f>
        <v>4.4000000000000004</v>
      </c>
      <c r="E36" s="124">
        <v>0</v>
      </c>
      <c r="F36" s="124">
        <v>0</v>
      </c>
      <c r="G36" s="124">
        <v>0</v>
      </c>
      <c r="H36" s="124">
        <v>0</v>
      </c>
      <c r="I36" s="124">
        <f t="shared" si="0"/>
        <v>4.4000000000000004</v>
      </c>
      <c r="J36" s="115"/>
      <c r="K36" s="74"/>
      <c r="L36" s="124" t="s">
        <v>182</v>
      </c>
      <c r="M36" s="135" t="str">
        <f>IF(ISERROR(VLOOKUP($L36,'Calc-Drivers'!$B$17:$G$27,M$42,FALSE))," ",VLOOKUP($L36,'Calc-Drivers'!$B$17:$G$27,M$42,FALSE))</f>
        <v xml:space="preserve"> </v>
      </c>
      <c r="N36" s="135" t="str">
        <f>IF(ISERROR(VLOOKUP($L36,'Calc-Drivers'!$B$17:$G$27,N$42,FALSE))," ",VLOOKUP($L36,'Calc-Drivers'!$B$17:$G$27,N$42,FALSE))</f>
        <v xml:space="preserve"> </v>
      </c>
      <c r="O36" s="135" t="str">
        <f>IF(ISERROR(VLOOKUP($L36,'Calc-Drivers'!$B$17:$G$27,O$42,FALSE))," ",VLOOKUP($L36,'Calc-Drivers'!$B$17:$G$27,O$42,FALSE))</f>
        <v xml:space="preserve"> </v>
      </c>
      <c r="P36" s="135" t="str">
        <f>IF(ISERROR(VLOOKUP($L36,'Calc-Drivers'!$B$17:$G$27,P$42,FALSE))," ",VLOOKUP($L36,'Calc-Drivers'!$B$17:$G$27,P$42,FALSE))</f>
        <v xml:space="preserve"> </v>
      </c>
      <c r="Q36" s="135" t="str">
        <f>IF(ISERROR(VLOOKUP($L36,'Calc-Drivers'!$B$17:$G$27,Q$42,FALSE))," ",VLOOKUP($L36,'Calc-Drivers'!$B$17:$G$27,Q$42,FALSE))</f>
        <v xml:space="preserve"> </v>
      </c>
      <c r="R36" s="76"/>
      <c r="S36" s="77" t="str">
        <f t="shared" si="1"/>
        <v xml:space="preserve"> </v>
      </c>
      <c r="T36" s="77" t="str">
        <f t="shared" si="1"/>
        <v xml:space="preserve"> </v>
      </c>
      <c r="U36" s="77" t="str">
        <f t="shared" si="1"/>
        <v xml:space="preserve"> </v>
      </c>
      <c r="V36" s="141" t="str">
        <f t="shared" si="1"/>
        <v xml:space="preserve"> </v>
      </c>
      <c r="W36" s="141" t="str">
        <f t="shared" si="1"/>
        <v xml:space="preserve"> </v>
      </c>
      <c r="X36" s="72"/>
      <c r="Y36" s="77" t="str">
        <f t="shared" si="2"/>
        <v xml:space="preserve"> </v>
      </c>
      <c r="Z36" s="77" t="str">
        <f t="shared" si="2"/>
        <v xml:space="preserve"> </v>
      </c>
      <c r="AA36" s="77" t="str">
        <f t="shared" si="2"/>
        <v xml:space="preserve"> </v>
      </c>
      <c r="AB36" s="141">
        <v>0</v>
      </c>
      <c r="AC36" s="141">
        <v>0</v>
      </c>
      <c r="AD36" s="78"/>
      <c r="AE36" s="79" t="str">
        <f>IF(ISERROR(Y36*100000000/'Calc-Units'!$E$21)," ",Y36*100000000/'Calc-Units'!$E$21)</f>
        <v xml:space="preserve"> </v>
      </c>
      <c r="AF36" s="79" t="str">
        <f>IF(ISERROR(Z36*100000000/'Calc-Units'!$D$21)," ",Z36*100000000/'Calc-Units'!$D$21)</f>
        <v xml:space="preserve"> </v>
      </c>
      <c r="AG36" s="79" t="str">
        <f>IF(ISERROR(AA36*100000000/'Calc-Units'!$C$21)," ",AA36*100000000/'Calc-Units'!$C$21)</f>
        <v xml:space="preserve"> </v>
      </c>
      <c r="AH36" s="230">
        <f>IF(ISERROR(AB36*100000000/'Calc-Units'!$C$21)," ",AB36*100000000/'Calc-Units'!$C$21)</f>
        <v>0</v>
      </c>
      <c r="AI36" s="80"/>
      <c r="AJ36" s="90">
        <v>0</v>
      </c>
      <c r="AK36" s="74">
        <f t="shared" si="3"/>
        <v>0</v>
      </c>
      <c r="AL36" s="75">
        <f t="shared" si="4"/>
        <v>4.4000000000000004</v>
      </c>
      <c r="AM36" s="74"/>
      <c r="AN36" s="74"/>
      <c r="AO36" s="77" t="str">
        <f t="shared" si="6"/>
        <v xml:space="preserve"> </v>
      </c>
      <c r="AP36" s="77" t="str">
        <f t="shared" si="6"/>
        <v xml:space="preserve"> </v>
      </c>
      <c r="AQ36" s="77" t="str">
        <f t="shared" si="6"/>
        <v xml:space="preserve"> </v>
      </c>
      <c r="AR36" s="141">
        <f t="shared" si="6"/>
        <v>0</v>
      </c>
      <c r="AS36" s="141">
        <f t="shared" si="6"/>
        <v>0</v>
      </c>
      <c r="AT36" s="80"/>
      <c r="AU36" s="79" t="str">
        <f>IF(ISERROR(AO36*100000000/'Calc-Units'!$E$21)," ",AO36*100000000/'Calc-Units'!$E$21)</f>
        <v xml:space="preserve"> </v>
      </c>
      <c r="AV36" s="79" t="str">
        <f>IF(ISERROR(AP36*100000000/'Calc-Units'!$D$21)," ",AP36*100000000/'Calc-Units'!$D$21)</f>
        <v xml:space="preserve"> </v>
      </c>
      <c r="AW36" s="79" t="str">
        <f>IF(ISERROR(AQ36*100000000/'Calc-Units'!$C$21)," ",AQ36*100000000/'Calc-Units'!$C$21)</f>
        <v xml:space="preserve"> </v>
      </c>
      <c r="AX36" s="230">
        <f>IF(ISERROR(AR36*100000000/'Calc-Units'!$C$21)," ",AR36*100000000/'Calc-Units'!$C$21)</f>
        <v>0</v>
      </c>
      <c r="AZ36" s="72"/>
      <c r="BA36" s="72"/>
    </row>
    <row r="37" spans="1:53" s="71" customFormat="1">
      <c r="A37" s="89"/>
      <c r="B37" s="106"/>
      <c r="C37" s="89" t="s">
        <v>329</v>
      </c>
      <c r="D37" s="124">
        <f>'RRP 1.3'!AI$12</f>
        <v>-9.5</v>
      </c>
      <c r="E37" s="124">
        <v>0</v>
      </c>
      <c r="F37" s="124">
        <v>0</v>
      </c>
      <c r="G37" s="124">
        <v>0</v>
      </c>
      <c r="H37" s="124">
        <v>0</v>
      </c>
      <c r="I37" s="124">
        <f t="shared" si="0"/>
        <v>-9.5</v>
      </c>
      <c r="J37" s="115"/>
      <c r="K37" s="74"/>
      <c r="L37" s="124" t="s">
        <v>182</v>
      </c>
      <c r="M37" s="135" t="str">
        <f>IF(ISERROR(VLOOKUP($L37,'Calc-Drivers'!$B$17:$G$27,M$42,FALSE))," ",VLOOKUP($L37,'Calc-Drivers'!$B$17:$G$27,M$42,FALSE))</f>
        <v xml:space="preserve"> </v>
      </c>
      <c r="N37" s="135" t="str">
        <f>IF(ISERROR(VLOOKUP($L37,'Calc-Drivers'!$B$17:$G$27,N$42,FALSE))," ",VLOOKUP($L37,'Calc-Drivers'!$B$17:$G$27,N$42,FALSE))</f>
        <v xml:space="preserve"> </v>
      </c>
      <c r="O37" s="135" t="str">
        <f>IF(ISERROR(VLOOKUP($L37,'Calc-Drivers'!$B$17:$G$27,O$42,FALSE))," ",VLOOKUP($L37,'Calc-Drivers'!$B$17:$G$27,O$42,FALSE))</f>
        <v xml:space="preserve"> </v>
      </c>
      <c r="P37" s="135" t="str">
        <f>IF(ISERROR(VLOOKUP($L37,'Calc-Drivers'!$B$17:$G$27,P$42,FALSE))," ",VLOOKUP($L37,'Calc-Drivers'!$B$17:$G$27,P$42,FALSE))</f>
        <v xml:space="preserve"> </v>
      </c>
      <c r="Q37" s="135" t="str">
        <f>IF(ISERROR(VLOOKUP($L37,'Calc-Drivers'!$B$17:$G$27,Q$42,FALSE))," ",VLOOKUP($L37,'Calc-Drivers'!$B$17:$G$27,Q$42,FALSE))</f>
        <v xml:space="preserve"> </v>
      </c>
      <c r="R37" s="76"/>
      <c r="S37" s="77" t="str">
        <f t="shared" si="1"/>
        <v xml:space="preserve"> </v>
      </c>
      <c r="T37" s="77" t="str">
        <f t="shared" si="1"/>
        <v xml:space="preserve"> </v>
      </c>
      <c r="U37" s="77" t="str">
        <f t="shared" si="1"/>
        <v xml:space="preserve"> </v>
      </c>
      <c r="V37" s="141" t="str">
        <f t="shared" si="1"/>
        <v xml:space="preserve"> </v>
      </c>
      <c r="W37" s="141" t="str">
        <f t="shared" si="1"/>
        <v xml:space="preserve"> </v>
      </c>
      <c r="X37" s="72"/>
      <c r="Y37" s="77" t="str">
        <f t="shared" si="2"/>
        <v xml:space="preserve"> </v>
      </c>
      <c r="Z37" s="77" t="str">
        <f t="shared" si="2"/>
        <v xml:space="preserve"> </v>
      </c>
      <c r="AA37" s="77" t="str">
        <f t="shared" si="2"/>
        <v xml:space="preserve"> </v>
      </c>
      <c r="AB37" s="141" t="str">
        <f t="shared" si="5"/>
        <v xml:space="preserve"> </v>
      </c>
      <c r="AC37" s="141" t="str">
        <f t="shared" si="5"/>
        <v xml:space="preserve"> </v>
      </c>
      <c r="AD37" s="78"/>
      <c r="AE37" s="79" t="str">
        <f>IF(ISERROR(Y37*100000000/'Calc-Units'!$E$21)," ",Y37*100000000/'Calc-Units'!$E$21)</f>
        <v xml:space="preserve"> </v>
      </c>
      <c r="AF37" s="79" t="str">
        <f>IF(ISERROR(Z37*100000000/'Calc-Units'!$D$21)," ",Z37*100000000/'Calc-Units'!$D$21)</f>
        <v xml:space="preserve"> </v>
      </c>
      <c r="AG37" s="79" t="str">
        <f>IF(ISERROR(AA37*100000000/'Calc-Units'!$C$21)," ",AA37*100000000/'Calc-Units'!$C$21)</f>
        <v xml:space="preserve"> </v>
      </c>
      <c r="AH37" s="230" t="str">
        <f>IF(ISERROR(AB37*100000000/'Calc-Units'!$C$21)," ",AB37*100000000/'Calc-Units'!$C$21)</f>
        <v xml:space="preserve"> </v>
      </c>
      <c r="AI37" s="80"/>
      <c r="AJ37" s="90">
        <v>0</v>
      </c>
      <c r="AK37" s="74">
        <f t="shared" si="3"/>
        <v>0</v>
      </c>
      <c r="AL37" s="75">
        <f t="shared" si="4"/>
        <v>-9.5</v>
      </c>
      <c r="AM37" s="74"/>
      <c r="AN37" s="74"/>
      <c r="AO37" s="77" t="str">
        <f t="shared" si="6"/>
        <v xml:space="preserve"> </v>
      </c>
      <c r="AP37" s="77" t="str">
        <f t="shared" si="6"/>
        <v xml:space="preserve"> </v>
      </c>
      <c r="AQ37" s="77" t="str">
        <f t="shared" si="6"/>
        <v xml:space="preserve"> </v>
      </c>
      <c r="AR37" s="141" t="str">
        <f t="shared" si="6"/>
        <v xml:space="preserve"> </v>
      </c>
      <c r="AS37" s="141" t="str">
        <f t="shared" si="6"/>
        <v xml:space="preserve"> </v>
      </c>
      <c r="AT37" s="80"/>
      <c r="AU37" s="79" t="str">
        <f>IF(ISERROR(AO37*100000000/'Calc-Units'!$E$21)," ",AO37*100000000/'Calc-Units'!$E$21)</f>
        <v xml:space="preserve"> </v>
      </c>
      <c r="AV37" s="79" t="str">
        <f>IF(ISERROR(AP37*100000000/'Calc-Units'!$D$21)," ",AP37*100000000/'Calc-Units'!$D$21)</f>
        <v xml:space="preserve"> </v>
      </c>
      <c r="AW37" s="79" t="str">
        <f>IF(ISERROR(AQ37*100000000/'Calc-Units'!$C$21)," ",AQ37*100000000/'Calc-Units'!$C$21)</f>
        <v xml:space="preserve"> </v>
      </c>
      <c r="AX37" s="230" t="str">
        <f>IF(ISERROR(AR37*100000000/'Calc-Units'!$C$21)," ",AR37*100000000/'Calc-Units'!$C$21)</f>
        <v xml:space="preserve"> </v>
      </c>
      <c r="AZ37" s="72"/>
      <c r="BA37" s="72"/>
    </row>
    <row r="38" spans="1:53" s="71" customFormat="1">
      <c r="A38" s="89"/>
      <c r="B38" s="106"/>
      <c r="C38" s="92" t="s">
        <v>330</v>
      </c>
      <c r="D38" s="125">
        <f>'RRP 1.3'!AJ$12</f>
        <v>2.3542553829179269</v>
      </c>
      <c r="E38" s="125">
        <v>0</v>
      </c>
      <c r="F38" s="125">
        <v>0</v>
      </c>
      <c r="G38" s="125">
        <v>0</v>
      </c>
      <c r="H38" s="125">
        <v>0</v>
      </c>
      <c r="I38" s="125">
        <f t="shared" si="0"/>
        <v>2.3542553829179269</v>
      </c>
      <c r="J38" s="115"/>
      <c r="K38" s="74"/>
      <c r="L38" s="125" t="s">
        <v>182</v>
      </c>
      <c r="M38" s="227" t="str">
        <f>IF(ISERROR(VLOOKUP($L38,'Calc-Drivers'!$B$17:$G$27,M$42,FALSE))," ",VLOOKUP($L38,'Calc-Drivers'!$B$17:$G$27,M$42,FALSE))</f>
        <v xml:space="preserve"> </v>
      </c>
      <c r="N38" s="227" t="str">
        <f>IF(ISERROR(VLOOKUP($L38,'Calc-Drivers'!$B$17:$G$27,N$42,FALSE))," ",VLOOKUP($L38,'Calc-Drivers'!$B$17:$G$27,N$42,FALSE))</f>
        <v xml:space="preserve"> </v>
      </c>
      <c r="O38" s="227" t="str">
        <f>IF(ISERROR(VLOOKUP($L38,'Calc-Drivers'!$B$17:$G$27,O$42,FALSE))," ",VLOOKUP($L38,'Calc-Drivers'!$B$17:$G$27,O$42,FALSE))</f>
        <v xml:space="preserve"> </v>
      </c>
      <c r="P38" s="227" t="str">
        <f>IF(ISERROR(VLOOKUP($L38,'Calc-Drivers'!$B$17:$G$27,P$42,FALSE))," ",VLOOKUP($L38,'Calc-Drivers'!$B$17:$G$27,P$42,FALSE))</f>
        <v xml:space="preserve"> </v>
      </c>
      <c r="Q38" s="227" t="str">
        <f>IF(ISERROR(VLOOKUP($L38,'Calc-Drivers'!$B$17:$G$27,Q$42,FALSE))," ",VLOOKUP($L38,'Calc-Drivers'!$B$17:$G$27,Q$42,FALSE))</f>
        <v xml:space="preserve"> </v>
      </c>
      <c r="R38" s="76"/>
      <c r="S38" s="145" t="str">
        <f t="shared" si="1"/>
        <v xml:space="preserve"> </v>
      </c>
      <c r="T38" s="145" t="str">
        <f t="shared" si="1"/>
        <v xml:space="preserve"> </v>
      </c>
      <c r="U38" s="145" t="str">
        <f t="shared" si="1"/>
        <v xml:space="preserve"> </v>
      </c>
      <c r="V38" s="142" t="str">
        <f t="shared" si="1"/>
        <v xml:space="preserve"> </v>
      </c>
      <c r="W38" s="142" t="str">
        <f t="shared" si="1"/>
        <v xml:space="preserve"> </v>
      </c>
      <c r="X38" s="72"/>
      <c r="Y38" s="145" t="str">
        <f t="shared" si="2"/>
        <v xml:space="preserve"> </v>
      </c>
      <c r="Z38" s="145" t="str">
        <f t="shared" si="2"/>
        <v xml:space="preserve"> </v>
      </c>
      <c r="AA38" s="145" t="str">
        <f t="shared" si="2"/>
        <v xml:space="preserve"> </v>
      </c>
      <c r="AB38" s="142" t="str">
        <f t="shared" si="5"/>
        <v xml:space="preserve"> </v>
      </c>
      <c r="AC38" s="142" t="str">
        <f t="shared" si="5"/>
        <v xml:space="preserve"> </v>
      </c>
      <c r="AD38" s="78"/>
      <c r="AE38" s="231" t="str">
        <f>IF(ISERROR(Y38*100000000/'Calc-Units'!$E$21)," ",Y38*100000000/'Calc-Units'!$E$21)</f>
        <v xml:space="preserve"> </v>
      </c>
      <c r="AF38" s="231" t="str">
        <f>IF(ISERROR(Z38*100000000/'Calc-Units'!$D$21)," ",Z38*100000000/'Calc-Units'!$D$21)</f>
        <v xml:space="preserve"> </v>
      </c>
      <c r="AG38" s="231" t="str">
        <f>IF(ISERROR(AA38*100000000/'Calc-Units'!$C$21)," ",AA38*100000000/'Calc-Units'!$C$21)</f>
        <v xml:space="preserve"> </v>
      </c>
      <c r="AH38" s="232" t="str">
        <f>IF(ISERROR(AB38*100000000/'Calc-Units'!$C$21)," ",AB38*100000000/'Calc-Units'!$C$21)</f>
        <v xml:space="preserve"> </v>
      </c>
      <c r="AI38" s="80"/>
      <c r="AJ38" s="90">
        <v>0</v>
      </c>
      <c r="AK38" s="74">
        <f t="shared" si="3"/>
        <v>0</v>
      </c>
      <c r="AL38" s="75">
        <f t="shared" si="4"/>
        <v>2.3542553829179269</v>
      </c>
      <c r="AM38" s="74"/>
      <c r="AN38" s="74"/>
      <c r="AO38" s="145" t="str">
        <f t="shared" si="6"/>
        <v xml:space="preserve"> </v>
      </c>
      <c r="AP38" s="145" t="str">
        <f t="shared" si="6"/>
        <v xml:space="preserve"> </v>
      </c>
      <c r="AQ38" s="145" t="str">
        <f t="shared" si="6"/>
        <v xml:space="preserve"> </v>
      </c>
      <c r="AR38" s="142" t="str">
        <f t="shared" si="6"/>
        <v xml:space="preserve"> </v>
      </c>
      <c r="AS38" s="142" t="str">
        <f t="shared" si="6"/>
        <v xml:space="preserve"> </v>
      </c>
      <c r="AT38" s="80"/>
      <c r="AU38" s="231" t="str">
        <f>IF(ISERROR(AO38*100000000/'Calc-Units'!$E$21)," ",AO38*100000000/'Calc-Units'!$E$21)</f>
        <v xml:space="preserve"> </v>
      </c>
      <c r="AV38" s="231" t="str">
        <f>IF(ISERROR(AP38*100000000/'Calc-Units'!$D$21)," ",AP38*100000000/'Calc-Units'!$D$21)</f>
        <v xml:space="preserve"> </v>
      </c>
      <c r="AW38" s="231" t="str">
        <f>IF(ISERROR(AQ38*100000000/'Calc-Units'!$C$21)," ",AQ38*100000000/'Calc-Units'!$C$21)</f>
        <v xml:space="preserve"> </v>
      </c>
      <c r="AX38" s="232" t="str">
        <f>IF(ISERROR(AR38*100000000/'Calc-Units'!$C$21)," ",AR38*100000000/'Calc-Units'!$C$21)</f>
        <v xml:space="preserve"> </v>
      </c>
      <c r="AZ38" s="72"/>
      <c r="BA38" s="72"/>
    </row>
    <row r="39" spans="1:53" s="71" customFormat="1" ht="25.5">
      <c r="A39" s="110"/>
      <c r="B39" s="257"/>
      <c r="C39" s="110" t="s">
        <v>342</v>
      </c>
      <c r="D39" s="126">
        <f>SUM(D6:D38)</f>
        <v>313</v>
      </c>
      <c r="E39" s="126">
        <f>SUM(E6:E38)</f>
        <v>54.313574173271732</v>
      </c>
      <c r="F39" s="126">
        <f>SUM(F6:F38)</f>
        <v>64.448965993372653</v>
      </c>
      <c r="G39" s="126">
        <f>SUM(G6:G38)</f>
        <v>14.977420039431596</v>
      </c>
      <c r="H39" s="126">
        <f>SUM(H6:H38)</f>
        <v>12.885099865468245</v>
      </c>
      <c r="I39" s="126">
        <f t="shared" si="0"/>
        <v>166.37493992845577</v>
      </c>
      <c r="J39" s="115"/>
      <c r="K39" s="78"/>
      <c r="L39" s="157"/>
      <c r="M39" s="157"/>
      <c r="N39" s="157"/>
      <c r="O39" s="157"/>
      <c r="P39" s="157"/>
      <c r="Q39" s="147"/>
      <c r="R39" s="1351" t="s">
        <v>809</v>
      </c>
      <c r="S39" s="127">
        <f>SUM(S6:S38)</f>
        <v>22.708937889092748</v>
      </c>
      <c r="T39" s="127">
        <f>SUM(T6:T38)</f>
        <v>6.4648298446166788</v>
      </c>
      <c r="U39" s="127">
        <f>SUM(U6:U38)</f>
        <v>1.9929143891583903</v>
      </c>
      <c r="V39" s="127">
        <f>SUM(V6:V38)</f>
        <v>14.38301130654493</v>
      </c>
      <c r="W39" s="147"/>
      <c r="X39" s="1352" t="s">
        <v>362</v>
      </c>
      <c r="Y39" s="1435">
        <f>SUM(Y40:AC40)</f>
        <v>205.23278927973169</v>
      </c>
      <c r="Z39" s="1435"/>
      <c r="AA39" s="1435"/>
      <c r="AB39" s="1435"/>
      <c r="AC39" s="78"/>
      <c r="AD39" s="1352" t="s">
        <v>362</v>
      </c>
      <c r="AE39" s="1431">
        <f>SUM(AE40:AH40)</f>
        <v>0.70710129237504593</v>
      </c>
      <c r="AF39" s="1431"/>
      <c r="AG39" s="1431"/>
      <c r="AH39" s="1431"/>
      <c r="AI39" s="80"/>
      <c r="AJ39" s="127" t="s">
        <v>809</v>
      </c>
      <c r="AK39" s="127">
        <f>SUM(AK6:AK38)</f>
        <v>160.17386441835984</v>
      </c>
      <c r="AL39" s="158">
        <f>SUM(AL6:AL38)</f>
        <v>152.82613558164019</v>
      </c>
      <c r="AM39" s="159"/>
      <c r="AN39" s="1353" t="s">
        <v>362</v>
      </c>
      <c r="AO39" s="1431">
        <f>SUM(AO40:AS40)</f>
        <v>58.333232430837903</v>
      </c>
      <c r="AP39" s="1431"/>
      <c r="AQ39" s="1431"/>
      <c r="AR39" s="1431"/>
      <c r="AS39" s="1354"/>
      <c r="AT39" s="1352" t="s">
        <v>362</v>
      </c>
      <c r="AU39" s="1431">
        <f>SUM(AU40:AX40)</f>
        <v>0.18881944536387713</v>
      </c>
      <c r="AV39" s="1431"/>
      <c r="AW39" s="1431"/>
      <c r="AX39" s="1431"/>
      <c r="AZ39" s="72"/>
      <c r="BA39" s="72"/>
    </row>
    <row r="40" spans="1:53" s="71" customFormat="1">
      <c r="A40" s="104"/>
      <c r="B40" s="258"/>
      <c r="C40" s="146"/>
      <c r="D40" s="147"/>
      <c r="E40" s="147"/>
      <c r="F40" s="147"/>
      <c r="G40" s="147"/>
      <c r="H40" s="147"/>
      <c r="I40" s="147"/>
      <c r="J40" s="115"/>
      <c r="K40" s="78"/>
      <c r="L40" s="74"/>
      <c r="M40" s="74"/>
      <c r="N40" s="74"/>
      <c r="O40" s="74"/>
      <c r="P40" s="74"/>
      <c r="Q40" s="74"/>
      <c r="R40" s="148"/>
      <c r="S40" s="149"/>
      <c r="T40" s="149"/>
      <c r="U40" s="149"/>
      <c r="V40" s="149"/>
      <c r="W40" s="78"/>
      <c r="X40" s="1352" t="s">
        <v>363</v>
      </c>
      <c r="Y40" s="1355">
        <f>SUM(Y6:Y38)</f>
        <v>77.022512062364484</v>
      </c>
      <c r="Z40" s="1355">
        <f>SUM(Z6:Z38)</f>
        <v>70.91379583798934</v>
      </c>
      <c r="AA40" s="1355">
        <f>SUM(AA6:AA38)</f>
        <v>16.970334428589993</v>
      </c>
      <c r="AB40" s="1355">
        <f>SUM(AB6:AB38)</f>
        <v>21.136636139984166</v>
      </c>
      <c r="AC40" s="1355">
        <f>SUM(AC6:AC38)</f>
        <v>19.189510810803721</v>
      </c>
      <c r="AD40" s="1352" t="s">
        <v>363</v>
      </c>
      <c r="AE40" s="1356">
        <f>SUM(AE6:AE38)</f>
        <v>0.26229428644256053</v>
      </c>
      <c r="AF40" s="1356">
        <f>SUM(AF6:AF38)</f>
        <v>0.24721823392909337</v>
      </c>
      <c r="AG40" s="1356">
        <f>SUM(AG6:AG38)</f>
        <v>8.799302306642115E-2</v>
      </c>
      <c r="AH40" s="1356">
        <f>SUM(AH6:AH38)</f>
        <v>0.10959574893697072</v>
      </c>
      <c r="AI40" s="80"/>
      <c r="AJ40" s="157"/>
      <c r="AK40" s="157"/>
      <c r="AL40" s="157"/>
      <c r="AM40" s="147"/>
      <c r="AN40" s="1352" t="s">
        <v>363</v>
      </c>
      <c r="AO40" s="1356">
        <f>SUM(AO6:AO38)</f>
        <v>15.283031293602555</v>
      </c>
      <c r="AP40" s="1356">
        <f>SUM(AP6:AP38)</f>
        <v>11.013134277096137</v>
      </c>
      <c r="AQ40" s="1356">
        <f>SUM(AQ6:AQ38)</f>
        <v>4.5847328376159702</v>
      </c>
      <c r="AR40" s="1357">
        <f>SUM(AR6:AR38)</f>
        <v>14.388927266854708</v>
      </c>
      <c r="AS40" s="1357">
        <f>SUM(AS6:AS38)</f>
        <v>13.063406755668533</v>
      </c>
      <c r="AT40" s="1352" t="s">
        <v>363</v>
      </c>
      <c r="AU40" s="1356">
        <f>SUM(AU6:AU38)</f>
        <v>5.204519666391863E-2</v>
      </c>
      <c r="AV40" s="1356">
        <f>SUM(AV6:AV38)</f>
        <v>3.839376490616675E-2</v>
      </c>
      <c r="AW40" s="1356">
        <f>SUM(AW6:AW38)</f>
        <v>2.3772336604873854E-2</v>
      </c>
      <c r="AX40" s="1356">
        <f>SUM(AX6:AX38)</f>
        <v>7.4608147188917909E-2</v>
      </c>
      <c r="AZ40" s="72"/>
      <c r="BA40" s="72"/>
    </row>
    <row r="41" spans="1:53" s="71" customFormat="1">
      <c r="A41" s="104"/>
      <c r="B41" s="146"/>
      <c r="C41" s="146"/>
      <c r="D41" s="147"/>
      <c r="E41" s="147"/>
      <c r="F41" s="147"/>
      <c r="G41" s="147"/>
      <c r="H41" s="147"/>
      <c r="I41" s="147"/>
      <c r="J41" s="115"/>
      <c r="K41" s="78"/>
      <c r="L41" s="74"/>
      <c r="M41" s="150"/>
      <c r="N41" s="74"/>
      <c r="O41" s="74"/>
      <c r="P41" s="74"/>
      <c r="Q41" s="74"/>
      <c r="R41" s="76"/>
      <c r="S41" s="78"/>
      <c r="T41" s="78"/>
      <c r="U41" s="78"/>
      <c r="V41" s="78"/>
      <c r="W41" s="78"/>
      <c r="X41" s="1352" t="s">
        <v>364</v>
      </c>
      <c r="Y41" s="1358">
        <f>Y40/$Y$39</f>
        <v>0.37529340381074794</v>
      </c>
      <c r="Z41" s="1358">
        <f>Z40/$Y$39</f>
        <v>0.3455285877410848</v>
      </c>
      <c r="AA41" s="1358">
        <f>AA40/$Y$39</f>
        <v>8.2688221936405473E-2</v>
      </c>
      <c r="AB41" s="1358">
        <f>AB40/$Y$39</f>
        <v>0.10298859268133316</v>
      </c>
      <c r="AC41" s="1358">
        <f>AC40/$Y$39</f>
        <v>9.3501193830428694E-2</v>
      </c>
      <c r="AD41" s="1352" t="s">
        <v>364</v>
      </c>
      <c r="AE41" s="1358">
        <f>AE40/$AE$39</f>
        <v>0.37094301661018581</v>
      </c>
      <c r="AF41" s="1358">
        <f>AF40/$AE$39</f>
        <v>0.34962209317808601</v>
      </c>
      <c r="AG41" s="1358">
        <f>AG40/$AE$39</f>
        <v>0.12444189257647364</v>
      </c>
      <c r="AH41" s="1358">
        <f>AH40/$AE$39</f>
        <v>0.15499299763525426</v>
      </c>
      <c r="AI41" s="80"/>
      <c r="AJ41" s="147"/>
      <c r="AK41" s="147"/>
      <c r="AL41" s="147"/>
      <c r="AM41" s="147"/>
      <c r="AN41" s="1352" t="s">
        <v>364</v>
      </c>
      <c r="AO41" s="1359">
        <f>AO40/$AO$39</f>
        <v>0.26199527536422224</v>
      </c>
      <c r="AP41" s="1359">
        <f>AP40/$AO$39</f>
        <v>0.18879691418015843</v>
      </c>
      <c r="AQ41" s="1359">
        <f>AQ40/$AO$39</f>
        <v>7.8595556024634902E-2</v>
      </c>
      <c r="AR41" s="1360">
        <f>AR40/$AO$39</f>
        <v>0.24666775124993745</v>
      </c>
      <c r="AS41" s="1360">
        <f>AS40/$AO$39</f>
        <v>0.223944503181047</v>
      </c>
      <c r="AT41" s="1352" t="s">
        <v>364</v>
      </c>
      <c r="AU41" s="1358">
        <f>AU40/$AU$39</f>
        <v>0.27563472905887132</v>
      </c>
      <c r="AV41" s="1358">
        <f>AV40/$AU$39</f>
        <v>0.20333586316905805</v>
      </c>
      <c r="AW41" s="1358">
        <f>AW40/$AU$39</f>
        <v>0.1258998328221004</v>
      </c>
      <c r="AX41" s="1358">
        <f>AX40/$AU$39</f>
        <v>0.39512957494997031</v>
      </c>
      <c r="AZ41" s="72"/>
      <c r="BA41" s="72"/>
    </row>
    <row r="42" spans="1:53" s="1362" customFormat="1">
      <c r="A42" s="1420"/>
      <c r="B42" s="1420"/>
      <c r="C42" s="93"/>
      <c r="D42" s="1361"/>
      <c r="I42" s="1363"/>
      <c r="J42" s="116"/>
      <c r="K42" s="95"/>
      <c r="L42" s="131"/>
      <c r="M42" s="131">
        <v>6</v>
      </c>
      <c r="N42" s="131">
        <v>5</v>
      </c>
      <c r="O42" s="131">
        <v>4</v>
      </c>
      <c r="P42" s="131">
        <v>3</v>
      </c>
      <c r="Q42" s="131">
        <v>2</v>
      </c>
      <c r="R42" s="1364"/>
      <c r="S42" s="1363"/>
      <c r="T42" s="1363"/>
      <c r="U42" s="1363"/>
      <c r="V42" s="1363"/>
      <c r="W42" s="1363"/>
      <c r="X42" s="1365"/>
      <c r="Y42" s="1366"/>
      <c r="Z42" s="1367"/>
      <c r="AA42" s="1367"/>
      <c r="AB42" s="1367"/>
      <c r="AC42" s="1363"/>
      <c r="AD42" s="1363"/>
      <c r="AE42" s="1368"/>
      <c r="AF42" s="1368"/>
      <c r="AG42" s="1368"/>
      <c r="AH42" s="1368"/>
      <c r="AI42" s="1368"/>
      <c r="AJ42" s="94"/>
      <c r="AK42" s="95"/>
      <c r="AL42" s="95"/>
      <c r="AM42" s="95"/>
      <c r="AN42" s="95"/>
      <c r="AO42" s="1363" t="s">
        <v>237</v>
      </c>
      <c r="AP42" s="1363"/>
      <c r="AQ42" s="1363"/>
      <c r="AR42" s="1363"/>
      <c r="AS42" s="1363"/>
      <c r="AT42" s="1368"/>
      <c r="AU42" s="1368"/>
      <c r="AV42" s="1368"/>
      <c r="AW42" s="1368"/>
      <c r="AX42" s="1368"/>
    </row>
    <row r="43" spans="1:53" s="1362" customFormat="1">
      <c r="A43" s="1420"/>
      <c r="B43" s="1420"/>
      <c r="C43" s="93"/>
      <c r="D43" s="1369"/>
      <c r="I43" s="1363"/>
      <c r="J43" s="116"/>
      <c r="K43" s="95"/>
      <c r="M43" s="1364"/>
      <c r="N43" s="1364"/>
      <c r="O43" s="1364"/>
      <c r="P43" s="1364"/>
      <c r="Q43" s="1364"/>
      <c r="R43" s="1364"/>
      <c r="S43" s="1363"/>
      <c r="T43" s="1363"/>
      <c r="U43" s="1363"/>
      <c r="V43" s="1363"/>
      <c r="W43" s="1363"/>
      <c r="X43" s="1370"/>
      <c r="Y43" s="1371"/>
      <c r="Z43" s="1372"/>
      <c r="AA43" s="1372"/>
      <c r="AB43" s="1372"/>
      <c r="AC43" s="1363"/>
      <c r="AD43" s="1363"/>
      <c r="AE43" s="1368"/>
      <c r="AF43" s="1368"/>
      <c r="AG43" s="1368"/>
      <c r="AH43" s="1368"/>
      <c r="AI43" s="1368"/>
      <c r="AJ43" s="94"/>
      <c r="AK43" s="95"/>
      <c r="AL43" s="95"/>
      <c r="AM43" s="95"/>
      <c r="AN43" s="95"/>
      <c r="AO43" s="1363"/>
      <c r="AP43" s="1363"/>
      <c r="AQ43" s="1363"/>
      <c r="AR43" s="1363"/>
      <c r="AS43" s="1363"/>
      <c r="AT43" s="1368"/>
      <c r="AU43" s="1368"/>
      <c r="AV43" s="1368"/>
      <c r="AW43" s="1368"/>
      <c r="AX43" s="1368"/>
    </row>
    <row r="44" spans="1:53" s="1362" customFormat="1">
      <c r="A44" s="1420"/>
      <c r="B44" s="1420"/>
      <c r="C44" s="93"/>
      <c r="D44" s="1361"/>
      <c r="I44" s="1363"/>
      <c r="J44" s="116"/>
      <c r="K44" s="95"/>
      <c r="M44" s="1364"/>
      <c r="N44" s="1364"/>
      <c r="O44" s="1364"/>
      <c r="P44" s="1364"/>
      <c r="Q44" s="1364"/>
      <c r="R44" s="1364"/>
      <c r="S44" s="1363"/>
      <c r="T44" s="1363"/>
      <c r="U44" s="1363"/>
      <c r="V44" s="1363"/>
      <c r="W44" s="1363"/>
      <c r="X44" s="1362" t="s">
        <v>479</v>
      </c>
      <c r="AC44" s="1363"/>
      <c r="AD44" s="1363"/>
      <c r="AE44" s="1368"/>
      <c r="AF44" s="1368"/>
      <c r="AG44" s="1368"/>
      <c r="AH44" s="1368"/>
      <c r="AI44" s="1368"/>
      <c r="AJ44" s="94"/>
      <c r="AK44" s="95"/>
      <c r="AL44" s="95"/>
      <c r="AM44" s="95"/>
      <c r="AN44" s="95"/>
      <c r="AO44" s="1363"/>
      <c r="AP44" s="1363"/>
      <c r="AQ44" s="1363"/>
      <c r="AR44" s="1363"/>
      <c r="AS44" s="1363"/>
      <c r="AT44" s="1368"/>
      <c r="AU44" s="1368"/>
      <c r="AV44" s="1368"/>
      <c r="AW44" s="1368"/>
      <c r="AX44" s="1368"/>
    </row>
    <row r="45" spans="1:53" s="1362" customFormat="1">
      <c r="A45" s="1420"/>
      <c r="B45" s="1420"/>
      <c r="C45" s="93"/>
      <c r="D45" s="1361"/>
      <c r="I45" s="1363"/>
      <c r="J45" s="116"/>
      <c r="K45" s="95"/>
      <c r="M45" s="1364"/>
      <c r="N45" s="1364"/>
      <c r="O45" s="1364"/>
      <c r="P45" s="1364"/>
      <c r="Q45" s="1364"/>
      <c r="R45" s="1364"/>
      <c r="S45" s="1363"/>
      <c r="T45" s="1363"/>
      <c r="U45" s="1363"/>
      <c r="V45" s="1363"/>
      <c r="W45" s="1363"/>
      <c r="AC45" s="1363"/>
      <c r="AD45" s="1363"/>
      <c r="AE45" s="1368"/>
      <c r="AF45" s="1368"/>
      <c r="AG45" s="1368"/>
      <c r="AH45" s="1368"/>
      <c r="AI45" s="1368"/>
      <c r="AJ45" s="94"/>
      <c r="AK45" s="95"/>
      <c r="AL45" s="95"/>
      <c r="AM45" s="95"/>
      <c r="AN45" s="95"/>
      <c r="AO45" s="1363"/>
      <c r="AP45" s="1363"/>
      <c r="AQ45" s="1363"/>
      <c r="AR45" s="1363"/>
      <c r="AS45" s="1363"/>
      <c r="AT45" s="1368"/>
      <c r="AU45" s="1368"/>
      <c r="AV45" s="1368"/>
      <c r="AW45" s="1368"/>
      <c r="AX45" s="1368"/>
    </row>
    <row r="46" spans="1:53" s="1362" customFormat="1">
      <c r="A46" s="1420"/>
      <c r="B46" s="1420"/>
      <c r="C46" s="93"/>
      <c r="D46" s="1361"/>
      <c r="I46" s="1363"/>
      <c r="J46" s="116"/>
      <c r="K46" s="95"/>
      <c r="M46" s="1364"/>
      <c r="N46" s="1364"/>
      <c r="O46" s="1364"/>
      <c r="P46" s="1364"/>
      <c r="Q46" s="1364"/>
      <c r="R46" s="1364"/>
      <c r="S46" s="1363"/>
      <c r="T46" s="1363"/>
      <c r="U46" s="1363"/>
      <c r="V46" s="1363"/>
      <c r="W46" s="1363"/>
      <c r="X46" s="1365" t="s">
        <v>202</v>
      </c>
      <c r="Y46" s="1366">
        <f>SUMIF(Y6:Y11,"&gt;0",Y6:Y11)+SUMIF(Y27:Y38,"&gt;0",Y27:Y38)</f>
        <v>57.456719621675923</v>
      </c>
      <c r="Z46" s="1366">
        <f>SUMIF(Z6:Z11,"&gt;0",Z6:Z11)+SUMIF(Z27:Z38,"&gt;0",Z27:Z38)</f>
        <v>65.111367354015783</v>
      </c>
      <c r="AA46" s="1366">
        <f>SUMIF(AA6:AA11,"&gt;0",AA6:AA11)+SUMIF(AA27:AA38,"&gt;0",AA27:AA38)</f>
        <v>15.324436669461969</v>
      </c>
      <c r="AB46" s="1366">
        <f>SUMIF(AB6:AB11,"&gt;0",AB6:AB11)+SUMIF(AB27:AB38,"&gt;0",AB27:AB38)</f>
        <v>19.425875554837837</v>
      </c>
      <c r="AC46" s="1366">
        <f>SUMIF(AC6:AC11,"&gt;0",AC6:AC11)+SUMIF(AC27:AC38,"&gt;0",AC27:AC38)</f>
        <v>17.636346980668019</v>
      </c>
      <c r="AD46" s="1362" t="s">
        <v>480</v>
      </c>
      <c r="AE46" s="1368"/>
      <c r="AF46" s="1368"/>
      <c r="AG46" s="1368"/>
      <c r="AH46" s="1368"/>
      <c r="AI46" s="1368"/>
      <c r="AJ46" s="94"/>
      <c r="AK46" s="95"/>
      <c r="AL46" s="95"/>
      <c r="AM46" s="95"/>
      <c r="AN46" s="95"/>
      <c r="AO46" s="1363"/>
      <c r="AP46" s="1363"/>
      <c r="AQ46" s="1363"/>
      <c r="AR46" s="1363"/>
      <c r="AS46" s="1363"/>
      <c r="AT46" s="1368"/>
      <c r="AU46" s="1368"/>
      <c r="AV46" s="1368"/>
      <c r="AW46" s="1368"/>
      <c r="AX46" s="1368"/>
    </row>
    <row r="47" spans="1:53" s="1362" customFormat="1">
      <c r="A47" s="1420"/>
      <c r="B47" s="1420"/>
      <c r="C47" s="93"/>
      <c r="D47" s="1361"/>
      <c r="E47" s="1363"/>
      <c r="F47" s="1363"/>
      <c r="G47" s="1363"/>
      <c r="H47" s="1363"/>
      <c r="I47" s="1363"/>
      <c r="J47" s="116"/>
      <c r="K47" s="95"/>
      <c r="M47" s="1364"/>
      <c r="N47" s="1364"/>
      <c r="O47" s="1364"/>
      <c r="P47" s="1364"/>
      <c r="Q47" s="1364"/>
      <c r="R47" s="1364"/>
      <c r="S47" s="1363"/>
      <c r="T47" s="1363"/>
      <c r="U47" s="1363"/>
      <c r="V47" s="1363"/>
      <c r="W47" s="1363"/>
      <c r="X47" s="1370" t="s">
        <v>36</v>
      </c>
      <c r="Y47" s="1371">
        <f>SUMIF(Y12:Y27,"&gt;0",Y12:Y27)</f>
        <v>20.382127792300921</v>
      </c>
      <c r="Z47" s="1371">
        <f>SUMIF(Z12:Z27,"&gt;0",Z12:Z27)</f>
        <v>5.8024284839735545</v>
      </c>
      <c r="AA47" s="1371">
        <f>SUMIF(AA12:AA27,"&gt;0",AA12:AA27)</f>
        <v>1.7887157892334373</v>
      </c>
      <c r="AB47" s="1371">
        <f>SUMIF(AB12:AB27,"&gt;0",AB12:AB27)</f>
        <v>12.909294830072731</v>
      </c>
      <c r="AC47" s="1371">
        <f>SUMIF(AC12:AC27,"&gt;0",AC12:AC27)</f>
        <v>11.720079347579606</v>
      </c>
      <c r="AD47" s="1362" t="s">
        <v>480</v>
      </c>
      <c r="AE47" s="1368"/>
      <c r="AF47" s="1368"/>
      <c r="AG47" s="1368"/>
      <c r="AH47" s="1368"/>
      <c r="AI47" s="1368"/>
      <c r="AJ47" s="94"/>
      <c r="AK47" s="95"/>
      <c r="AL47" s="95"/>
      <c r="AM47" s="95"/>
      <c r="AN47" s="95"/>
      <c r="AO47" s="1363"/>
      <c r="AP47" s="1363"/>
      <c r="AQ47" s="1363"/>
      <c r="AR47" s="1363"/>
      <c r="AS47" s="1363"/>
      <c r="AT47" s="1368"/>
      <c r="AU47" s="1368"/>
      <c r="AV47" s="1368"/>
      <c r="AW47" s="1368"/>
      <c r="AX47" s="1368"/>
    </row>
    <row r="48" spans="1:53" s="1362" customFormat="1">
      <c r="A48" s="1420"/>
      <c r="B48" s="1420"/>
      <c r="C48" s="93"/>
      <c r="D48" s="1361"/>
      <c r="I48" s="1363"/>
      <c r="J48" s="117"/>
      <c r="K48" s="95"/>
      <c r="M48" s="1364"/>
      <c r="N48" s="1364"/>
      <c r="O48" s="1364"/>
      <c r="P48" s="1364"/>
      <c r="Q48" s="1364"/>
      <c r="R48" s="1364"/>
      <c r="S48" s="1363"/>
      <c r="T48" s="1363"/>
      <c r="U48" s="1363"/>
      <c r="V48" s="1363"/>
      <c r="W48" s="1363"/>
      <c r="X48" s="1370" t="s">
        <v>481</v>
      </c>
      <c r="Y48" s="1373">
        <f>Y46/(Y47+Y46)</f>
        <v>0.73814967115454633</v>
      </c>
      <c r="Z48" s="1374">
        <f>Z46/(Z47+Z46)</f>
        <v>0.91817630948384332</v>
      </c>
      <c r="AA48" s="1374">
        <f>AA46/(AA47+AA46)</f>
        <v>0.89547713119773154</v>
      </c>
      <c r="AB48" s="1375">
        <f>AB46/(AB47+AB46)</f>
        <v>0.60076614174586374</v>
      </c>
      <c r="AC48" s="1375">
        <f>AC46/(AC47+AC46)</f>
        <v>0.60076614174586374</v>
      </c>
      <c r="AD48" s="1363"/>
      <c r="AE48" s="1368"/>
      <c r="AF48" s="1368"/>
      <c r="AG48" s="1368"/>
      <c r="AH48" s="1368"/>
      <c r="AI48" s="1368"/>
      <c r="AJ48" s="94"/>
      <c r="AK48" s="95"/>
      <c r="AL48" s="95"/>
      <c r="AM48" s="95"/>
      <c r="AN48" s="95"/>
      <c r="AO48" s="1363"/>
      <c r="AP48" s="1363"/>
      <c r="AQ48" s="1363"/>
      <c r="AR48" s="1363"/>
      <c r="AS48" s="1363"/>
      <c r="AT48" s="1368"/>
      <c r="AU48" s="1368"/>
      <c r="AV48" s="1368"/>
      <c r="AW48" s="1368"/>
      <c r="AX48" s="1368"/>
    </row>
    <row r="49" spans="1:50" s="1362" customFormat="1">
      <c r="A49" s="1420"/>
      <c r="B49" s="1420"/>
      <c r="C49" s="93"/>
      <c r="D49" s="1361"/>
      <c r="I49" s="1363"/>
      <c r="J49" s="117"/>
      <c r="K49" s="95"/>
      <c r="M49" s="1364"/>
      <c r="N49" s="1364"/>
      <c r="O49" s="1364"/>
      <c r="P49" s="1364"/>
      <c r="Q49" s="1364"/>
      <c r="R49" s="1364"/>
      <c r="S49" s="1363"/>
      <c r="T49" s="1363"/>
      <c r="U49" s="1363"/>
      <c r="V49" s="1363"/>
      <c r="W49" s="1363"/>
      <c r="X49" s="1376" t="s">
        <v>37</v>
      </c>
      <c r="Y49" s="1377">
        <f>Y47/(Y46+Y47)</f>
        <v>0.26185032884545356</v>
      </c>
      <c r="Z49" s="1378">
        <f>Z47/(Z46+Z47)</f>
        <v>8.1823690516156608E-2</v>
      </c>
      <c r="AA49" s="1378">
        <f>AA47/(AA46+AA47)</f>
        <v>0.10452286880226842</v>
      </c>
      <c r="AB49" s="1378">
        <f>AB47/(AB46+AB47)</f>
        <v>0.39923385825413626</v>
      </c>
      <c r="AC49" s="1378">
        <f>AC47/(AC46+AC47)</f>
        <v>0.39923385825413626</v>
      </c>
      <c r="AD49" s="1363"/>
      <c r="AE49" s="1368"/>
      <c r="AF49" s="1368"/>
      <c r="AG49" s="1368"/>
      <c r="AH49" s="1368"/>
      <c r="AI49" s="1368"/>
      <c r="AJ49" s="94"/>
      <c r="AK49" s="95"/>
      <c r="AL49" s="95"/>
      <c r="AM49" s="95"/>
      <c r="AN49" s="95"/>
      <c r="AO49" s="1363"/>
      <c r="AP49" s="1363"/>
      <c r="AQ49" s="1363"/>
      <c r="AR49" s="1363"/>
      <c r="AS49" s="1363"/>
      <c r="AT49" s="1368"/>
      <c r="AU49" s="1368"/>
      <c r="AV49" s="1368"/>
      <c r="AW49" s="1368"/>
      <c r="AX49" s="1368"/>
    </row>
    <row r="50" spans="1:50" s="1362" customFormat="1">
      <c r="A50" s="1420"/>
      <c r="B50" s="1420"/>
      <c r="C50" s="93"/>
      <c r="D50" s="1361"/>
      <c r="I50" s="1363"/>
      <c r="J50" s="117"/>
      <c r="K50" s="95"/>
      <c r="M50" s="1364"/>
      <c r="N50" s="1364"/>
      <c r="O50" s="1364"/>
      <c r="P50" s="1364"/>
      <c r="Q50" s="1364"/>
      <c r="R50" s="1364"/>
      <c r="S50" s="1363"/>
      <c r="T50" s="1363"/>
      <c r="U50" s="1363"/>
      <c r="V50" s="1363"/>
      <c r="W50" s="1363"/>
      <c r="Y50" s="1363"/>
      <c r="Z50" s="1363"/>
      <c r="AA50" s="1363"/>
      <c r="AB50" s="1363"/>
      <c r="AC50" s="1363"/>
      <c r="AD50" s="1363"/>
      <c r="AE50" s="1368"/>
      <c r="AF50" s="1368"/>
      <c r="AG50" s="1368"/>
      <c r="AH50" s="1368"/>
      <c r="AI50" s="1368"/>
      <c r="AJ50" s="94"/>
      <c r="AK50" s="95"/>
      <c r="AL50" s="95"/>
      <c r="AM50" s="95"/>
      <c r="AN50" s="95"/>
      <c r="AO50" s="1363"/>
      <c r="AP50" s="1363"/>
      <c r="AQ50" s="1363"/>
      <c r="AR50" s="1363"/>
      <c r="AS50" s="1363"/>
      <c r="AT50" s="1368"/>
      <c r="AU50" s="1368"/>
      <c r="AV50" s="1368"/>
      <c r="AW50" s="1368"/>
      <c r="AX50" s="1368"/>
    </row>
    <row r="51" spans="1:50" s="1362" customFormat="1">
      <c r="A51" s="1420"/>
      <c r="B51" s="1420"/>
      <c r="C51" s="93"/>
      <c r="D51" s="1361"/>
      <c r="I51" s="1363"/>
      <c r="J51" s="117"/>
      <c r="K51" s="95"/>
      <c r="M51" s="1364"/>
      <c r="N51" s="1364"/>
      <c r="O51" s="1364"/>
      <c r="P51" s="1364"/>
      <c r="Q51" s="1364"/>
      <c r="R51" s="1364"/>
      <c r="S51" s="1363"/>
      <c r="T51" s="1363"/>
      <c r="U51" s="1363"/>
      <c r="V51" s="1363"/>
      <c r="W51" s="1363"/>
      <c r="Y51" s="1363"/>
      <c r="Z51" s="1363"/>
      <c r="AA51" s="1363"/>
      <c r="AB51" s="1363"/>
      <c r="AC51" s="1363"/>
      <c r="AD51" s="1363"/>
      <c r="AE51" s="1368"/>
      <c r="AF51" s="1368"/>
      <c r="AG51" s="1368"/>
      <c r="AH51" s="1368"/>
      <c r="AI51" s="1368"/>
      <c r="AJ51" s="94"/>
      <c r="AK51" s="95"/>
      <c r="AL51" s="95"/>
      <c r="AM51" s="95"/>
      <c r="AN51" s="95"/>
      <c r="AO51" s="1363"/>
      <c r="AP51" s="1363"/>
      <c r="AQ51" s="1363"/>
      <c r="AR51" s="1363"/>
      <c r="AS51" s="1363"/>
      <c r="AT51" s="1368"/>
      <c r="AU51" s="1368"/>
      <c r="AV51" s="1368"/>
      <c r="AW51" s="1368"/>
      <c r="AX51" s="1368"/>
    </row>
    <row r="52" spans="1:50" s="1362" customFormat="1">
      <c r="A52" s="1420"/>
      <c r="B52" s="1420"/>
      <c r="C52" s="93"/>
      <c r="D52" s="1361"/>
      <c r="I52" s="1363"/>
      <c r="J52" s="117"/>
      <c r="K52" s="95"/>
      <c r="M52" s="1364"/>
      <c r="N52" s="1364"/>
      <c r="O52" s="1364"/>
      <c r="P52" s="1364"/>
      <c r="Q52" s="1364"/>
      <c r="R52" s="1364"/>
      <c r="S52" s="1363"/>
      <c r="T52" s="1363"/>
      <c r="U52" s="1363"/>
      <c r="V52" s="1363"/>
      <c r="W52" s="1363"/>
      <c r="Y52" s="1363"/>
      <c r="Z52" s="1363"/>
      <c r="AA52" s="1363"/>
      <c r="AB52" s="1363"/>
      <c r="AC52" s="1363"/>
      <c r="AD52" s="1363"/>
      <c r="AE52" s="1368"/>
      <c r="AF52" s="1368"/>
      <c r="AG52" s="1368"/>
      <c r="AH52" s="1368"/>
      <c r="AI52" s="1368"/>
      <c r="AJ52" s="94"/>
      <c r="AK52" s="95"/>
      <c r="AL52" s="95"/>
      <c r="AM52" s="95"/>
      <c r="AN52" s="95"/>
      <c r="AO52" s="1363"/>
      <c r="AP52" s="1363"/>
      <c r="AQ52" s="1363"/>
      <c r="AR52" s="1363"/>
      <c r="AS52" s="1363"/>
      <c r="AT52" s="1368"/>
      <c r="AU52" s="1368"/>
      <c r="AV52" s="1368"/>
      <c r="AW52" s="1368"/>
      <c r="AX52" s="1368"/>
    </row>
    <row r="53" spans="1:50" s="1362" customFormat="1">
      <c r="A53" s="1420"/>
      <c r="B53" s="1420"/>
      <c r="C53" s="93"/>
      <c r="D53" s="1361"/>
      <c r="I53" s="1363"/>
      <c r="J53" s="117"/>
      <c r="K53" s="95"/>
      <c r="M53" s="1364"/>
      <c r="N53" s="1364"/>
      <c r="O53" s="1364"/>
      <c r="P53" s="1364"/>
      <c r="Q53" s="1364"/>
      <c r="R53" s="1364"/>
      <c r="S53" s="1363"/>
      <c r="T53" s="1363"/>
      <c r="U53" s="1363"/>
      <c r="V53" s="1363"/>
      <c r="W53" s="1363"/>
      <c r="Y53" s="1363"/>
      <c r="Z53" s="1363"/>
      <c r="AA53" s="1363"/>
      <c r="AB53" s="1363"/>
      <c r="AC53" s="1363"/>
      <c r="AD53" s="1363"/>
      <c r="AE53" s="1368"/>
      <c r="AF53" s="1368"/>
      <c r="AG53" s="1368"/>
      <c r="AH53" s="1368"/>
      <c r="AI53" s="1368"/>
      <c r="AJ53" s="94"/>
      <c r="AK53" s="95"/>
      <c r="AL53" s="95"/>
      <c r="AM53" s="95"/>
      <c r="AN53" s="95"/>
      <c r="AO53" s="1363"/>
      <c r="AP53" s="1363"/>
      <c r="AQ53" s="1363"/>
      <c r="AR53" s="1363"/>
      <c r="AS53" s="1363"/>
      <c r="AT53" s="1368"/>
      <c r="AU53" s="1368"/>
      <c r="AV53" s="1368"/>
      <c r="AW53" s="1368"/>
      <c r="AX53" s="1368"/>
    </row>
    <row r="54" spans="1:50" s="1362" customFormat="1">
      <c r="A54" s="1420"/>
      <c r="B54" s="1420"/>
      <c r="C54" s="93"/>
      <c r="D54" s="1361"/>
      <c r="I54" s="1363"/>
      <c r="J54" s="117"/>
      <c r="K54" s="95"/>
      <c r="M54" s="1364"/>
      <c r="N54" s="1364"/>
      <c r="O54" s="1364"/>
      <c r="P54" s="1364"/>
      <c r="Q54" s="1364"/>
      <c r="R54" s="1364"/>
      <c r="S54" s="1363"/>
      <c r="T54" s="1363"/>
      <c r="U54" s="1363"/>
      <c r="V54" s="1363"/>
      <c r="W54" s="1363"/>
      <c r="Y54" s="1363"/>
      <c r="Z54" s="1363"/>
      <c r="AA54" s="1363"/>
      <c r="AB54" s="1363"/>
      <c r="AC54" s="1363"/>
      <c r="AD54" s="1363"/>
      <c r="AE54" s="1368"/>
      <c r="AF54" s="1368"/>
      <c r="AG54" s="1368"/>
      <c r="AH54" s="1368"/>
      <c r="AI54" s="1368"/>
      <c r="AJ54" s="94"/>
      <c r="AK54" s="95"/>
      <c r="AL54" s="95"/>
      <c r="AM54" s="95"/>
      <c r="AN54" s="95"/>
      <c r="AO54" s="1363"/>
      <c r="AP54" s="1363"/>
      <c r="AQ54" s="1363"/>
      <c r="AR54" s="1363"/>
      <c r="AS54" s="1363"/>
      <c r="AT54" s="1368"/>
      <c r="AU54" s="1368"/>
      <c r="AV54" s="1368"/>
      <c r="AW54" s="1368"/>
      <c r="AX54" s="1368"/>
    </row>
    <row r="55" spans="1:50" s="1362" customFormat="1">
      <c r="A55" s="1420"/>
      <c r="B55" s="1420"/>
      <c r="C55" s="93"/>
      <c r="D55" s="1361"/>
      <c r="I55" s="1363"/>
      <c r="J55" s="117"/>
      <c r="K55" s="95"/>
      <c r="M55" s="1364"/>
      <c r="N55" s="1364"/>
      <c r="O55" s="1364"/>
      <c r="P55" s="1364"/>
      <c r="Q55" s="1364"/>
      <c r="R55" s="1364"/>
      <c r="S55" s="1363"/>
      <c r="T55" s="1363"/>
      <c r="U55" s="1363"/>
      <c r="V55" s="1363"/>
      <c r="W55" s="1363"/>
      <c r="Y55" s="1363"/>
      <c r="Z55" s="1363"/>
      <c r="AA55" s="1363"/>
      <c r="AB55" s="1363"/>
      <c r="AC55" s="1363"/>
      <c r="AD55" s="1363"/>
      <c r="AE55" s="1368"/>
      <c r="AF55" s="1368"/>
      <c r="AG55" s="1368"/>
      <c r="AH55" s="1368"/>
      <c r="AI55" s="1368"/>
      <c r="AJ55" s="94"/>
      <c r="AK55" s="95"/>
      <c r="AL55" s="95"/>
      <c r="AM55" s="95"/>
      <c r="AN55" s="95"/>
      <c r="AO55" s="1363"/>
      <c r="AP55" s="1363"/>
      <c r="AQ55" s="1363"/>
      <c r="AR55" s="1363"/>
      <c r="AS55" s="1363"/>
      <c r="AT55" s="1368"/>
      <c r="AU55" s="1368"/>
      <c r="AV55" s="1368"/>
      <c r="AW55" s="1368"/>
      <c r="AX55" s="1368"/>
    </row>
    <row r="56" spans="1:50" s="1362" customFormat="1">
      <c r="A56" s="1420"/>
      <c r="B56" s="1420"/>
      <c r="C56" s="93"/>
      <c r="D56" s="1361"/>
      <c r="I56" s="1363"/>
      <c r="J56" s="117"/>
      <c r="K56" s="95"/>
      <c r="M56" s="1364"/>
      <c r="N56" s="1364"/>
      <c r="O56" s="1364"/>
      <c r="P56" s="1364"/>
      <c r="Q56" s="1364"/>
      <c r="R56" s="1364"/>
      <c r="S56" s="1363"/>
      <c r="T56" s="1363"/>
      <c r="U56" s="1363"/>
      <c r="V56" s="1363"/>
      <c r="W56" s="1363"/>
      <c r="Y56" s="1363"/>
      <c r="Z56" s="1363"/>
      <c r="AA56" s="1363"/>
      <c r="AB56" s="1363"/>
      <c r="AC56" s="1363"/>
      <c r="AD56" s="1363"/>
      <c r="AE56" s="1368"/>
      <c r="AF56" s="1368"/>
      <c r="AG56" s="1368"/>
      <c r="AH56" s="1368"/>
      <c r="AI56" s="1368"/>
      <c r="AJ56" s="94"/>
      <c r="AK56" s="95"/>
      <c r="AL56" s="95"/>
      <c r="AM56" s="95"/>
      <c r="AN56" s="95"/>
      <c r="AO56" s="1363"/>
      <c r="AP56" s="1363"/>
      <c r="AQ56" s="1363"/>
      <c r="AR56" s="1363"/>
      <c r="AS56" s="1363"/>
      <c r="AT56" s="1368"/>
      <c r="AU56" s="1368"/>
      <c r="AV56" s="1368"/>
      <c r="AW56" s="1368"/>
      <c r="AX56" s="1368"/>
    </row>
    <row r="57" spans="1:50" s="1362" customFormat="1">
      <c r="A57" s="1420"/>
      <c r="B57" s="1420"/>
      <c r="C57" s="93"/>
      <c r="D57" s="1361"/>
      <c r="I57" s="1363"/>
      <c r="J57" s="117"/>
      <c r="K57" s="95"/>
      <c r="M57" s="1364"/>
      <c r="N57" s="1364"/>
      <c r="O57" s="1364"/>
      <c r="P57" s="1364"/>
      <c r="Q57" s="1364"/>
      <c r="R57" s="1364"/>
      <c r="S57" s="1363"/>
      <c r="T57" s="1363"/>
      <c r="U57" s="1363"/>
      <c r="V57" s="1363"/>
      <c r="W57" s="1363"/>
      <c r="Y57" s="1363"/>
      <c r="Z57" s="1363"/>
      <c r="AA57" s="1363"/>
      <c r="AB57" s="1363"/>
      <c r="AC57" s="1363"/>
      <c r="AD57" s="1363"/>
      <c r="AE57" s="1368"/>
      <c r="AF57" s="1368"/>
      <c r="AG57" s="1368"/>
      <c r="AH57" s="1368"/>
      <c r="AI57" s="1368"/>
      <c r="AJ57" s="94"/>
      <c r="AK57" s="95"/>
      <c r="AL57" s="95"/>
      <c r="AM57" s="95"/>
      <c r="AN57" s="95"/>
      <c r="AO57" s="1363"/>
      <c r="AP57" s="1363"/>
      <c r="AQ57" s="1363"/>
      <c r="AR57" s="1363"/>
      <c r="AS57" s="1363"/>
      <c r="AT57" s="1368"/>
      <c r="AU57" s="1368"/>
      <c r="AV57" s="1368"/>
      <c r="AW57" s="1368"/>
      <c r="AX57" s="1368"/>
    </row>
    <row r="58" spans="1:50" s="1362" customFormat="1">
      <c r="A58" s="1420"/>
      <c r="B58" s="1420"/>
      <c r="C58" s="93"/>
      <c r="D58" s="1361"/>
      <c r="I58" s="1363"/>
      <c r="J58" s="117"/>
      <c r="K58" s="95"/>
      <c r="M58" s="1364"/>
      <c r="N58" s="1364"/>
      <c r="O58" s="1364"/>
      <c r="P58" s="1364"/>
      <c r="Q58" s="1364"/>
      <c r="R58" s="1364"/>
      <c r="S58" s="1363"/>
      <c r="T58" s="1363"/>
      <c r="U58" s="1363"/>
      <c r="V58" s="1363"/>
      <c r="W58" s="1363"/>
      <c r="Y58" s="1363"/>
      <c r="Z58" s="1363"/>
      <c r="AA58" s="1363"/>
      <c r="AB58" s="1363"/>
      <c r="AC58" s="1363"/>
      <c r="AD58" s="1363"/>
      <c r="AE58" s="1368"/>
      <c r="AF58" s="1368"/>
      <c r="AG58" s="1368"/>
      <c r="AH58" s="1368"/>
      <c r="AI58" s="1368"/>
      <c r="AJ58" s="94"/>
      <c r="AK58" s="95"/>
      <c r="AL58" s="95"/>
      <c r="AM58" s="95"/>
      <c r="AN58" s="95"/>
      <c r="AO58" s="1363"/>
      <c r="AP58" s="1363"/>
      <c r="AQ58" s="1363"/>
      <c r="AR58" s="1363"/>
      <c r="AS58" s="1363"/>
      <c r="AT58" s="1368"/>
      <c r="AU58" s="1368"/>
      <c r="AV58" s="1368"/>
      <c r="AW58" s="1368"/>
      <c r="AX58" s="1368"/>
    </row>
    <row r="59" spans="1:50" s="1362" customFormat="1">
      <c r="A59" s="1420"/>
      <c r="B59" s="1420"/>
      <c r="C59" s="93"/>
      <c r="D59" s="1361"/>
      <c r="I59" s="1363"/>
      <c r="J59" s="117"/>
      <c r="K59" s="95"/>
      <c r="M59" s="1364"/>
      <c r="N59" s="1364"/>
      <c r="O59" s="1364"/>
      <c r="P59" s="1364"/>
      <c r="Q59" s="1364"/>
      <c r="R59" s="1364"/>
      <c r="S59" s="1363"/>
      <c r="T59" s="1363"/>
      <c r="U59" s="1363"/>
      <c r="V59" s="1363"/>
      <c r="W59" s="1363"/>
      <c r="Y59" s="1363"/>
      <c r="Z59" s="1363"/>
      <c r="AA59" s="1363"/>
      <c r="AB59" s="1363"/>
      <c r="AC59" s="1363"/>
      <c r="AD59" s="1363"/>
      <c r="AE59" s="1368"/>
      <c r="AF59" s="1368"/>
      <c r="AG59" s="1368"/>
      <c r="AH59" s="1368"/>
      <c r="AI59" s="1368"/>
      <c r="AJ59" s="94"/>
      <c r="AK59" s="95"/>
      <c r="AL59" s="95"/>
      <c r="AM59" s="95"/>
      <c r="AN59" s="95"/>
      <c r="AO59" s="1363"/>
      <c r="AP59" s="1363"/>
      <c r="AQ59" s="1363"/>
      <c r="AR59" s="1363"/>
      <c r="AS59" s="1363"/>
      <c r="AT59" s="1368"/>
      <c r="AU59" s="1368"/>
      <c r="AV59" s="1368"/>
      <c r="AW59" s="1368"/>
      <c r="AX59" s="1368"/>
    </row>
    <row r="60" spans="1:50" s="1362" customFormat="1">
      <c r="A60" s="1420"/>
      <c r="B60" s="1420"/>
      <c r="C60" s="93"/>
      <c r="D60" s="1361"/>
      <c r="I60" s="1363"/>
      <c r="J60" s="117"/>
      <c r="K60" s="95"/>
      <c r="M60" s="1364"/>
      <c r="N60" s="1364"/>
      <c r="O60" s="1364"/>
      <c r="P60" s="1364"/>
      <c r="Q60" s="1364"/>
      <c r="R60" s="1364"/>
      <c r="S60" s="1363"/>
      <c r="T60" s="1363"/>
      <c r="U60" s="1363"/>
      <c r="V60" s="1363"/>
      <c r="W60" s="1363"/>
      <c r="Y60" s="1363"/>
      <c r="Z60" s="1363"/>
      <c r="AA60" s="1363"/>
      <c r="AB60" s="1363"/>
      <c r="AC60" s="1363"/>
      <c r="AD60" s="1363"/>
      <c r="AE60" s="1368"/>
      <c r="AF60" s="1368"/>
      <c r="AG60" s="1368"/>
      <c r="AH60" s="1368"/>
      <c r="AI60" s="1368"/>
      <c r="AJ60" s="94"/>
      <c r="AK60" s="95"/>
      <c r="AL60" s="95"/>
      <c r="AM60" s="95"/>
      <c r="AN60" s="95"/>
      <c r="AO60" s="1363"/>
      <c r="AP60" s="1363"/>
      <c r="AQ60" s="1363"/>
      <c r="AR60" s="1363"/>
      <c r="AS60" s="1363"/>
      <c r="AT60" s="1368"/>
      <c r="AU60" s="1368"/>
      <c r="AV60" s="1368"/>
      <c r="AW60" s="1368"/>
      <c r="AX60" s="1368"/>
    </row>
    <row r="61" spans="1:50" s="1362" customFormat="1">
      <c r="A61" s="1420"/>
      <c r="B61" s="1420"/>
      <c r="C61" s="93"/>
      <c r="D61" s="1361"/>
      <c r="I61" s="1363"/>
      <c r="J61" s="117"/>
      <c r="K61" s="95"/>
      <c r="M61" s="1364"/>
      <c r="N61" s="1364"/>
      <c r="O61" s="1364"/>
      <c r="P61" s="1364"/>
      <c r="Q61" s="1364"/>
      <c r="R61" s="1364"/>
      <c r="S61" s="1363"/>
      <c r="T61" s="1363"/>
      <c r="U61" s="1363"/>
      <c r="V61" s="1363"/>
      <c r="W61" s="1363"/>
      <c r="Y61" s="1363"/>
      <c r="Z61" s="1363"/>
      <c r="AA61" s="1363"/>
      <c r="AB61" s="1363"/>
      <c r="AC61" s="1363"/>
      <c r="AD61" s="1363"/>
      <c r="AE61" s="1368"/>
      <c r="AF61" s="1368"/>
      <c r="AG61" s="1368"/>
      <c r="AH61" s="1368"/>
      <c r="AI61" s="1368"/>
      <c r="AJ61" s="94"/>
      <c r="AK61" s="95"/>
      <c r="AL61" s="95"/>
      <c r="AM61" s="95"/>
      <c r="AN61" s="95"/>
      <c r="AO61" s="1363"/>
      <c r="AP61" s="1363"/>
      <c r="AQ61" s="1363"/>
      <c r="AR61" s="1363"/>
      <c r="AS61" s="1363"/>
      <c r="AT61" s="1368"/>
      <c r="AU61" s="1368"/>
      <c r="AV61" s="1368"/>
      <c r="AW61" s="1368"/>
      <c r="AX61" s="1368"/>
    </row>
    <row r="62" spans="1:50" s="1362" customFormat="1">
      <c r="A62" s="1420"/>
      <c r="B62" s="1420"/>
      <c r="C62" s="93"/>
      <c r="D62" s="1361"/>
      <c r="I62" s="1363"/>
      <c r="J62" s="117"/>
      <c r="K62" s="95"/>
      <c r="M62" s="1364"/>
      <c r="N62" s="1364"/>
      <c r="O62" s="1364"/>
      <c r="P62" s="1364"/>
      <c r="Q62" s="1364"/>
      <c r="R62" s="1364"/>
      <c r="S62" s="1363"/>
      <c r="T62" s="1363"/>
      <c r="U62" s="1363"/>
      <c r="V62" s="1363"/>
      <c r="W62" s="1363"/>
      <c r="Y62" s="1363"/>
      <c r="Z62" s="1363"/>
      <c r="AA62" s="1363"/>
      <c r="AB62" s="1363"/>
      <c r="AC62" s="1363"/>
      <c r="AD62" s="1363"/>
      <c r="AE62" s="1368"/>
      <c r="AF62" s="1368"/>
      <c r="AG62" s="1368"/>
      <c r="AH62" s="1368"/>
      <c r="AI62" s="1368"/>
      <c r="AJ62" s="94"/>
      <c r="AK62" s="95"/>
      <c r="AL62" s="95"/>
      <c r="AM62" s="95"/>
      <c r="AN62" s="95"/>
      <c r="AO62" s="1363"/>
      <c r="AP62" s="1363"/>
      <c r="AQ62" s="1363"/>
      <c r="AR62" s="1363"/>
      <c r="AS62" s="1363"/>
      <c r="AT62" s="1368"/>
      <c r="AU62" s="1368"/>
      <c r="AV62" s="1368"/>
      <c r="AW62" s="1368"/>
      <c r="AX62" s="1368"/>
    </row>
  </sheetData>
  <mergeCells count="23">
    <mergeCell ref="D2:I2"/>
    <mergeCell ref="L2:P2"/>
    <mergeCell ref="S2:V2"/>
    <mergeCell ref="Y2:AB2"/>
    <mergeCell ref="E3:I3"/>
    <mergeCell ref="AE2:AH2"/>
    <mergeCell ref="AJ2:AR2"/>
    <mergeCell ref="AU3:AX3"/>
    <mergeCell ref="AJ3:AL3"/>
    <mergeCell ref="AO3:AR3"/>
    <mergeCell ref="AU39:AX39"/>
    <mergeCell ref="AE39:AH39"/>
    <mergeCell ref="M4:P4"/>
    <mergeCell ref="Y39:AB39"/>
    <mergeCell ref="AO39:AR39"/>
    <mergeCell ref="A42:A62"/>
    <mergeCell ref="B42:B47"/>
    <mergeCell ref="B48:B62"/>
    <mergeCell ref="E4:H4"/>
    <mergeCell ref="AE3:AH3"/>
    <mergeCell ref="L3:P3"/>
    <mergeCell ref="S3:V3"/>
    <mergeCell ref="Y3:AB3"/>
  </mergeCells>
  <phoneticPr fontId="2"/>
  <hyperlinks>
    <hyperlink ref="A1" location="Inputs!A1" display="Index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IV65536"/>
    </sheetView>
  </sheetViews>
  <sheetFormatPr defaultColWidth="8.85546875" defaultRowHeight="12.75"/>
  <cols>
    <col min="1" max="1" width="64.7109375" customWidth="1"/>
    <col min="2" max="2" width="16" customWidth="1"/>
    <col min="3" max="6" width="19" customWidth="1"/>
  </cols>
  <sheetData>
    <row r="1" spans="1:6" ht="15.75">
      <c r="A1" s="1343" t="s">
        <v>253</v>
      </c>
      <c r="D1" s="891" t="s">
        <v>774</v>
      </c>
    </row>
    <row r="2" spans="1:6" ht="38.25">
      <c r="B2" s="1344" t="s">
        <v>254</v>
      </c>
    </row>
    <row r="3" spans="1:6">
      <c r="A3" s="1344" t="s">
        <v>255</v>
      </c>
      <c r="B3" s="151">
        <f>'RRP 5.1'!G36</f>
        <v>19286</v>
      </c>
    </row>
    <row r="4" spans="1:6">
      <c r="A4" s="1344" t="s">
        <v>256</v>
      </c>
      <c r="B4" s="151">
        <f>'RRP 5.1'!G35</f>
        <v>9669</v>
      </c>
    </row>
    <row r="5" spans="1:6">
      <c r="A5" s="1344" t="s">
        <v>378</v>
      </c>
      <c r="B5" s="151">
        <f>'RRP 5.1'!G34</f>
        <v>710</v>
      </c>
    </row>
    <row r="6" spans="1:6">
      <c r="A6" s="1344" t="s">
        <v>388</v>
      </c>
      <c r="B6" s="151">
        <f>'RRP 5.1'!G40</f>
        <v>1439</v>
      </c>
    </row>
    <row r="8" spans="1:6" ht="15.75">
      <c r="A8" s="1343" t="s">
        <v>379</v>
      </c>
    </row>
    <row r="9" spans="1:6">
      <c r="B9" s="1344" t="s">
        <v>380</v>
      </c>
      <c r="C9" s="1344" t="s">
        <v>803</v>
      </c>
      <c r="D9" s="1344" t="s">
        <v>802</v>
      </c>
      <c r="E9" s="1344" t="s">
        <v>808</v>
      </c>
      <c r="F9" s="1344" t="s">
        <v>806</v>
      </c>
    </row>
    <row r="10" spans="1:6">
      <c r="A10" s="1344" t="s">
        <v>255</v>
      </c>
      <c r="B10" s="151">
        <v>1</v>
      </c>
      <c r="C10" s="151">
        <v>1</v>
      </c>
      <c r="D10" s="151">
        <v>1</v>
      </c>
      <c r="E10" s="151">
        <v>1</v>
      </c>
      <c r="F10" s="151">
        <v>1</v>
      </c>
    </row>
    <row r="11" spans="1:6">
      <c r="A11" s="1344" t="s">
        <v>256</v>
      </c>
      <c r="B11" s="151">
        <v>0</v>
      </c>
      <c r="C11" s="151">
        <v>0</v>
      </c>
      <c r="D11" s="151">
        <f>(1+$B$6/($B$3+$B$4/2+$B$5/4)/2)/(1+$B$6/($B$3+$B$4/2+$B$5/4))</f>
        <v>0.97204413878851448</v>
      </c>
      <c r="E11" s="151">
        <f>(1+$B$6/($B$3+$B$4/2+$B$5/4)/2)/(1+$B$6/($B$3+$B$4/2+$B$5/4))</f>
        <v>0.97204413878851448</v>
      </c>
      <c r="F11" s="151">
        <f>(1+$B$6/($B$3+$B$4/2+$B$5/4)/2)/(1+$B$6/($B$3+$B$4/2+$B$5/4))</f>
        <v>0.97204413878851448</v>
      </c>
    </row>
    <row r="12" spans="1:6">
      <c r="A12" s="1344" t="s">
        <v>378</v>
      </c>
      <c r="B12" s="151">
        <v>0</v>
      </c>
      <c r="C12" s="151">
        <v>0</v>
      </c>
      <c r="D12" s="151">
        <v>0</v>
      </c>
      <c r="E12" s="151">
        <f>(1+$B$6/($B$3+$B$4/2+$B$5/4)/4)/(1+$B$6/($B$3+$B$4/2+$B$5/4))</f>
        <v>0.95806620818277188</v>
      </c>
      <c r="F12" s="151">
        <f>(1+$B$6/($B$3+$B$4/2+$B$5/4)/4)/(1+$B$6/($B$3+$B$4/2+$B$5/4))</f>
        <v>0.95806620818277188</v>
      </c>
    </row>
    <row r="14" spans="1:6" ht="15.75">
      <c r="A14" s="1343"/>
    </row>
    <row r="15" spans="1:6" ht="14.25">
      <c r="A15" s="1345"/>
    </row>
    <row r="16" spans="1:6" ht="14.25">
      <c r="A16" s="1345"/>
    </row>
    <row r="17" spans="1:6" ht="14.25">
      <c r="A17" s="1346"/>
    </row>
    <row r="18" spans="1:6" ht="14.25">
      <c r="A18" s="1346"/>
    </row>
    <row r="19" spans="1:6">
      <c r="B19" s="1344" t="s">
        <v>380</v>
      </c>
      <c r="C19" s="1344" t="s">
        <v>803</v>
      </c>
      <c r="D19" s="1344" t="s">
        <v>802</v>
      </c>
      <c r="E19" s="1344" t="s">
        <v>808</v>
      </c>
      <c r="F19" s="1344" t="s">
        <v>806</v>
      </c>
    </row>
    <row r="20" spans="1:6">
      <c r="A20" s="1344" t="s">
        <v>387</v>
      </c>
      <c r="B20" s="152">
        <f>SUMPRODUCT(B$10:B$12,$B$3:$B$5)</f>
        <v>19286</v>
      </c>
      <c r="C20" s="152">
        <f>SUMPRODUCT(C$10:C$12,$B$3:$B$5)</f>
        <v>19286</v>
      </c>
      <c r="D20" s="152">
        <f>SUMPRODUCT(D$10:D$12,$B$3:$B$5)</f>
        <v>28684.694777946148</v>
      </c>
      <c r="E20" s="152">
        <f>SUMPRODUCT(E$10:E$12,$B$3:$B$5)</f>
        <v>29364.921785755916</v>
      </c>
      <c r="F20" s="152">
        <f>SUMPRODUCT(F$10:F$12,$B$3:$B$5)</f>
        <v>29364.921785755916</v>
      </c>
    </row>
    <row r="21" spans="1:6">
      <c r="A21" s="1344" t="s">
        <v>166</v>
      </c>
      <c r="B21" s="155">
        <f>B20*1000000</f>
        <v>19286000000</v>
      </c>
      <c r="C21" s="155">
        <f>C20*1000000</f>
        <v>19286000000</v>
      </c>
      <c r="D21" s="155">
        <f>D20*1000000</f>
        <v>28684694777.946148</v>
      </c>
      <c r="E21" s="155">
        <f>E20*1000000</f>
        <v>29364921785.755917</v>
      </c>
      <c r="F21" s="155">
        <f>F20*1000000</f>
        <v>29364921785.755917</v>
      </c>
    </row>
    <row r="25" spans="1:6">
      <c r="A25" s="71"/>
      <c r="B25" s="71"/>
      <c r="C25" s="71"/>
      <c r="D25" s="71"/>
      <c r="E25" s="71"/>
    </row>
    <row r="26" spans="1:6">
      <c r="A26" s="71"/>
      <c r="B26" s="71"/>
      <c r="C26" s="71"/>
      <c r="D26" s="71"/>
      <c r="E26" s="71"/>
    </row>
    <row r="27" spans="1:6">
      <c r="A27" s="71"/>
      <c r="B27" s="71"/>
      <c r="C27" s="153"/>
      <c r="D27" s="153"/>
      <c r="E27" s="153"/>
    </row>
    <row r="28" spans="1:6">
      <c r="A28" s="71"/>
      <c r="B28" s="71"/>
      <c r="C28" s="153"/>
      <c r="D28" s="153"/>
      <c r="E28" s="153"/>
    </row>
    <row r="29" spans="1:6">
      <c r="A29" s="71"/>
      <c r="B29" s="71"/>
      <c r="C29" s="153"/>
      <c r="D29" s="153"/>
      <c r="E29" s="153"/>
    </row>
    <row r="30" spans="1:6">
      <c r="A30" s="71"/>
      <c r="B30" s="71"/>
      <c r="C30" s="153"/>
      <c r="D30" s="153"/>
      <c r="E30" s="153"/>
    </row>
    <row r="31" spans="1:6">
      <c r="A31" s="71"/>
      <c r="B31" s="71"/>
      <c r="C31" s="154"/>
      <c r="D31" s="154"/>
      <c r="E31" s="153"/>
    </row>
    <row r="32" spans="1:6">
      <c r="A32" s="71"/>
      <c r="B32" s="71"/>
      <c r="C32" s="154"/>
      <c r="D32" s="154"/>
      <c r="E32" s="153"/>
    </row>
    <row r="33" spans="1:5">
      <c r="A33" s="71"/>
      <c r="B33" s="71"/>
      <c r="C33" s="154"/>
      <c r="D33" s="154"/>
      <c r="E33" s="153"/>
    </row>
    <row r="34" spans="1:5">
      <c r="A34" s="71"/>
      <c r="B34" s="71"/>
      <c r="C34" s="154"/>
      <c r="D34" s="154"/>
      <c r="E34" s="153"/>
    </row>
    <row r="35" spans="1:5">
      <c r="A35" s="71"/>
      <c r="B35" s="71"/>
      <c r="C35" s="154"/>
      <c r="D35" s="87"/>
      <c r="E35" s="87"/>
    </row>
    <row r="36" spans="1:5">
      <c r="A36" s="71"/>
      <c r="B36" s="71"/>
      <c r="C36" s="87"/>
      <c r="D36" s="87"/>
      <c r="E36" s="87"/>
    </row>
    <row r="37" spans="1:5">
      <c r="A37" s="71"/>
      <c r="B37" s="71"/>
      <c r="C37" s="153"/>
      <c r="D37" s="153"/>
      <c r="E37" s="153"/>
    </row>
  </sheetData>
  <phoneticPr fontId="0" type="noConversion"/>
  <hyperlinks>
    <hyperlink ref="D1" location="Inputs!A1" display="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9" zoomScaleNormal="75" workbookViewId="0">
      <selection activeCell="C18" sqref="C18"/>
    </sheetView>
  </sheetViews>
  <sheetFormatPr defaultColWidth="8.85546875" defaultRowHeight="12.75"/>
  <cols>
    <col min="1" max="1" width="8.85546875" customWidth="1"/>
    <col min="2" max="2" width="16.140625" customWidth="1"/>
    <col min="3" max="3" width="12.42578125" customWidth="1"/>
    <col min="4" max="4" width="11" customWidth="1"/>
    <col min="5" max="5" width="8.85546875" customWidth="1"/>
    <col min="6" max="6" width="16.42578125" customWidth="1"/>
    <col min="7" max="8" width="29.42578125" customWidth="1"/>
  </cols>
  <sheetData>
    <row r="1" spans="1:9" s="1301" customFormat="1">
      <c r="A1" s="1301" t="s">
        <v>286</v>
      </c>
      <c r="G1" s="891" t="s">
        <v>774</v>
      </c>
    </row>
    <row r="3" spans="1:9">
      <c r="B3" s="1333" t="s">
        <v>191</v>
      </c>
      <c r="C3" s="1333" t="s">
        <v>803</v>
      </c>
      <c r="D3" s="1333" t="s">
        <v>802</v>
      </c>
      <c r="E3" s="1333" t="s">
        <v>808</v>
      </c>
      <c r="F3" s="1334" t="s">
        <v>192</v>
      </c>
      <c r="G3" s="1335"/>
    </row>
    <row r="4" spans="1:9" ht="38.25">
      <c r="B4" s="1336" t="s">
        <v>101</v>
      </c>
      <c r="C4" s="14">
        <f>'Calc-Net capex'!$D$6</f>
        <v>0.13596332621236557</v>
      </c>
      <c r="D4" s="14">
        <f>'Calc-Net capex'!$D$7</f>
        <v>0.3317703747643298</v>
      </c>
      <c r="E4" s="59">
        <f>'Calc-Net capex'!$D$8+'Calc-Net capex'!$D$9</f>
        <v>0.53226629902330469</v>
      </c>
      <c r="F4" s="63" t="s">
        <v>64</v>
      </c>
      <c r="G4" s="265"/>
    </row>
    <row r="5" spans="1:9">
      <c r="B5" s="1336" t="s">
        <v>150</v>
      </c>
      <c r="C5" s="16">
        <v>1</v>
      </c>
      <c r="D5" s="16">
        <v>0</v>
      </c>
      <c r="E5" s="60">
        <v>0</v>
      </c>
      <c r="F5" s="64" t="s">
        <v>196</v>
      </c>
      <c r="G5" s="64"/>
    </row>
    <row r="6" spans="1:9">
      <c r="B6" s="1336" t="s">
        <v>188</v>
      </c>
      <c r="C6" s="15">
        <f>'RRP 5.1'!$G$64/'RRP 5.1'!$G$65</f>
        <v>0.53646332525229745</v>
      </c>
      <c r="D6" s="15">
        <f>'RRP 5.1'!$G$63/'RRP 5.1'!$G$65</f>
        <v>0.3647882956531544</v>
      </c>
      <c r="E6" s="61">
        <f>('RRP 5.1'!$G$61+'RRP 5.1'!$G$62)/'RRP 5.1'!$G$65</f>
        <v>9.8748379094548117E-2</v>
      </c>
      <c r="F6" s="64" t="s">
        <v>193</v>
      </c>
      <c r="G6" s="64"/>
    </row>
    <row r="7" spans="1:9">
      <c r="B7" s="1336" t="s">
        <v>181</v>
      </c>
      <c r="C7" s="15">
        <f>0/'RRP 5.1'!$G$73</f>
        <v>0</v>
      </c>
      <c r="D7" s="15">
        <f>('RRP 5.1'!$G$71+'RRP 5.1'!$G$72)/'RRP 5.1'!$G$73</f>
        <v>0.99025499431541331</v>
      </c>
      <c r="E7" s="61">
        <f>('RRP 5.1'!$G$68+'RRP 5.1'!$G$69+'RRP 5.1'!$G$70)/'RRP 5.1'!$G$73</f>
        <v>9.7450056845866488E-3</v>
      </c>
      <c r="F7" s="64" t="s">
        <v>193</v>
      </c>
      <c r="G7" s="64"/>
    </row>
    <row r="8" spans="1:9" ht="25.5">
      <c r="B8" s="1336" t="s">
        <v>190</v>
      </c>
      <c r="C8" s="15">
        <v>0</v>
      </c>
      <c r="D8" s="15">
        <v>0</v>
      </c>
      <c r="E8" s="61">
        <v>1</v>
      </c>
      <c r="F8" s="64" t="s">
        <v>196</v>
      </c>
      <c r="G8" s="64"/>
    </row>
    <row r="9" spans="1:9" ht="25.5">
      <c r="B9" s="1336" t="s">
        <v>197</v>
      </c>
      <c r="C9" s="15">
        <f>'Calc-MEAV'!D6</f>
        <v>0.4682154974447662</v>
      </c>
      <c r="D9" s="15">
        <f>'Calc-MEAV'!D7</f>
        <v>0.1443110720726154</v>
      </c>
      <c r="E9" s="61">
        <f>'Calc-MEAV'!D8+'Calc-MEAV'!D9</f>
        <v>0.38747343048261829</v>
      </c>
      <c r="F9" s="265" t="s">
        <v>65</v>
      </c>
      <c r="G9" s="265"/>
    </row>
    <row r="10" spans="1:9">
      <c r="B10" s="1336" t="s">
        <v>328</v>
      </c>
      <c r="C10" s="15">
        <v>0</v>
      </c>
      <c r="D10" s="15">
        <v>0</v>
      </c>
      <c r="E10" s="61">
        <v>1</v>
      </c>
      <c r="F10" s="64" t="s">
        <v>196</v>
      </c>
      <c r="G10" s="64"/>
    </row>
    <row r="11" spans="1:9">
      <c r="B11" s="1336" t="s">
        <v>122</v>
      </c>
      <c r="C11" s="15">
        <v>1</v>
      </c>
      <c r="D11" s="15">
        <v>0</v>
      </c>
      <c r="E11" s="61">
        <v>0</v>
      </c>
      <c r="F11" s="64" t="s">
        <v>196</v>
      </c>
      <c r="G11" s="64"/>
    </row>
    <row r="12" spans="1:9">
      <c r="B12" s="1337" t="s">
        <v>123</v>
      </c>
      <c r="C12" s="17">
        <v>0</v>
      </c>
      <c r="D12" s="17">
        <v>1</v>
      </c>
      <c r="E12" s="62">
        <v>0</v>
      </c>
      <c r="F12" s="251" t="s">
        <v>196</v>
      </c>
      <c r="G12" s="64"/>
    </row>
    <row r="14" spans="1:9" s="1301" customFormat="1">
      <c r="A14" s="1301" t="s">
        <v>171</v>
      </c>
    </row>
    <row r="16" spans="1:9">
      <c r="B16" s="1333" t="s">
        <v>191</v>
      </c>
      <c r="C16" s="1403" t="s">
        <v>965</v>
      </c>
      <c r="D16" s="1403" t="s">
        <v>307</v>
      </c>
      <c r="E16" s="1333" t="s">
        <v>61</v>
      </c>
      <c r="F16" s="1333" t="s">
        <v>802</v>
      </c>
      <c r="G16" s="1333" t="s">
        <v>808</v>
      </c>
      <c r="H16" s="1338" t="s">
        <v>192</v>
      </c>
      <c r="I16" s="1335"/>
    </row>
    <row r="17" spans="2:9" ht="54" customHeight="1">
      <c r="B17" s="1336" t="s">
        <v>101</v>
      </c>
      <c r="C17" s="14">
        <f>'Calc-Net capex'!$D$6*SUM('FBPQ NL1'!D10:M13)/SUM('FBPQ NL1'!D10:M16)</f>
        <v>6.0228961772275519E-2</v>
      </c>
      <c r="D17" s="14">
        <f>'Calc-Net capex'!$D$6*SUM('FBPQ NL1'!D14:M16)/SUM('FBPQ NL1'!D10:M16)</f>
        <v>7.5734364440090088E-2</v>
      </c>
      <c r="E17" s="14">
        <f>'Calc-Net capex'!H7</f>
        <v>5.9749506838939877E-2</v>
      </c>
      <c r="F17" s="14">
        <f>'Calc-Net capex'!H8</f>
        <v>0.27202086792538993</v>
      </c>
      <c r="G17" s="59">
        <f>'Calc-Net capex'!$D$8+'Calc-Net capex'!$D$9</f>
        <v>0.53226629902330469</v>
      </c>
      <c r="H17" s="63" t="s">
        <v>64</v>
      </c>
      <c r="I17" s="265"/>
    </row>
    <row r="18" spans="2:9">
      <c r="B18" s="1336" t="s">
        <v>189</v>
      </c>
      <c r="C18" s="16">
        <v>1</v>
      </c>
      <c r="D18" s="16">
        <v>0</v>
      </c>
      <c r="E18" s="16">
        <v>0</v>
      </c>
      <c r="F18" s="16">
        <v>0</v>
      </c>
      <c r="G18" s="60">
        <v>0</v>
      </c>
      <c r="H18" s="64" t="s">
        <v>196</v>
      </c>
      <c r="I18" s="64"/>
    </row>
    <row r="19" spans="2:9">
      <c r="B19" s="1336" t="s">
        <v>188</v>
      </c>
      <c r="C19" s="15"/>
      <c r="D19" s="15">
        <f>'RRP 5.1'!$G$64/'RRP 5.1'!$G$65</f>
        <v>0.53646332525229745</v>
      </c>
      <c r="E19" s="15">
        <v>0</v>
      </c>
      <c r="F19" s="15">
        <f>'RRP 5.1'!$G$63/'RRP 5.1'!$G$65</f>
        <v>0.3647882956531544</v>
      </c>
      <c r="G19" s="61">
        <f>('RRP 5.1'!$G$61+'RRP 5.1'!$G$62)/'RRP 5.1'!$G$65</f>
        <v>9.8748379094548117E-2</v>
      </c>
      <c r="H19" s="64" t="s">
        <v>193</v>
      </c>
      <c r="I19" s="64"/>
    </row>
    <row r="20" spans="2:9">
      <c r="B20" s="1336" t="s">
        <v>187</v>
      </c>
      <c r="C20" s="15"/>
      <c r="D20" s="15">
        <f>0/'RRP 5.1'!$G$73</f>
        <v>0</v>
      </c>
      <c r="E20" s="15">
        <v>0</v>
      </c>
      <c r="F20" s="15">
        <f>('RRP 5.1'!$G$71+'RRP 5.1'!$G$72)/'RRP 5.1'!$G$73</f>
        <v>0.99025499431541331</v>
      </c>
      <c r="G20" s="61">
        <f>('RRP 5.1'!$G$68+'RRP 5.1'!$G$69+'RRP 5.1'!$G$70)/'RRP 5.1'!$G$73</f>
        <v>9.7450056845866488E-3</v>
      </c>
      <c r="H20" s="64" t="s">
        <v>193</v>
      </c>
      <c r="I20" s="64"/>
    </row>
    <row r="21" spans="2:9" ht="25.5">
      <c r="B21" s="1336" t="s">
        <v>190</v>
      </c>
      <c r="C21" s="15"/>
      <c r="D21" s="15">
        <v>0</v>
      </c>
      <c r="E21" s="15">
        <v>0</v>
      </c>
      <c r="F21" s="15">
        <v>0</v>
      </c>
      <c r="G21" s="61">
        <v>1</v>
      </c>
      <c r="H21" s="64" t="s">
        <v>196</v>
      </c>
      <c r="I21" s="64"/>
    </row>
    <row r="22" spans="2:9" ht="59.25" customHeight="1">
      <c r="B22" s="1336" t="s">
        <v>197</v>
      </c>
      <c r="C22" s="1339">
        <f>'Calc-MEAV'!H6*(('Calc-MEAV'!I21+'Calc-MEAV'!I30)/'Calc-MEAV'!G6)</f>
        <v>0.22280398771960128</v>
      </c>
      <c r="D22" s="1339">
        <f>'Calc-MEAV'!H6*(('Calc-MEAV'!G6-'Calc-MEAV'!I21-'Calc-MEAV'!I30)/'Calc-MEAV'!G6)</f>
        <v>0.2454115097251649</v>
      </c>
      <c r="E22" s="1339">
        <f>'Calc-MEAV'!H7</f>
        <v>3.4004292882242937E-2</v>
      </c>
      <c r="F22" s="1339">
        <f>'Calc-MEAV'!H8</f>
        <v>0.11030677919037249</v>
      </c>
      <c r="G22" s="1339">
        <f>'Calc-MEAV'!H9+'Calc-MEAV'!H10</f>
        <v>0.38747343048261829</v>
      </c>
      <c r="H22" s="65" t="s">
        <v>65</v>
      </c>
      <c r="I22" s="265"/>
    </row>
    <row r="23" spans="2:9" ht="55.5" customHeight="1">
      <c r="B23" s="1336" t="s">
        <v>35</v>
      </c>
      <c r="C23" s="1339"/>
      <c r="D23" s="1339">
        <f>'Calc-MEAV'!L6</f>
        <v>0.31576527136969507</v>
      </c>
      <c r="E23" s="1339">
        <f>'Calc-MEAV'!L7</f>
        <v>6.2491322680945351E-2</v>
      </c>
      <c r="F23" s="1339">
        <f>'Calc-MEAV'!L8</f>
        <v>0.12319037124487284</v>
      </c>
      <c r="G23" s="1339">
        <f>'Calc-MEAV'!L9+'Calc-MEAV'!L10</f>
        <v>0.49855303470448675</v>
      </c>
      <c r="H23" s="65" t="s">
        <v>65</v>
      </c>
      <c r="I23" s="64"/>
    </row>
    <row r="24" spans="2:9" ht="58.5" customHeight="1">
      <c r="B24" s="1336" t="s">
        <v>76</v>
      </c>
      <c r="C24" s="1339"/>
      <c r="D24" s="1339">
        <f>'Calc-MEAV'!Q3</f>
        <v>0</v>
      </c>
      <c r="E24" s="1339">
        <f>'Calc-MEAV'!Q4</f>
        <v>0</v>
      </c>
      <c r="F24" s="1339" t="str">
        <f>'Calc-MEAV'!Q5</f>
        <v>% of Total</v>
      </c>
      <c r="G24" s="1339">
        <f>'Calc-MEAV'!Q6+'Calc-MEAV'!Q7</f>
        <v>0.26169031503703866</v>
      </c>
      <c r="H24" s="65" t="s">
        <v>65</v>
      </c>
      <c r="I24" s="64"/>
    </row>
    <row r="25" spans="2:9">
      <c r="B25" s="1336" t="s">
        <v>328</v>
      </c>
      <c r="C25" s="1339"/>
      <c r="D25" s="1339">
        <v>0</v>
      </c>
      <c r="E25" s="1339">
        <v>0</v>
      </c>
      <c r="F25" s="1339">
        <v>0</v>
      </c>
      <c r="G25" s="1339">
        <v>1</v>
      </c>
      <c r="H25" s="64" t="s">
        <v>196</v>
      </c>
      <c r="I25" s="64"/>
    </row>
    <row r="26" spans="2:9">
      <c r="B26" s="1336" t="s">
        <v>122</v>
      </c>
      <c r="C26" s="1339"/>
      <c r="D26" s="1339">
        <v>1</v>
      </c>
      <c r="E26" s="1339">
        <v>0</v>
      </c>
      <c r="F26" s="1339">
        <v>0</v>
      </c>
      <c r="G26" s="1339">
        <v>0</v>
      </c>
      <c r="H26" s="64" t="s">
        <v>196</v>
      </c>
      <c r="I26" s="1335"/>
    </row>
    <row r="27" spans="2:9">
      <c r="B27" s="1337" t="s">
        <v>123</v>
      </c>
      <c r="C27" s="1340"/>
      <c r="D27" s="1340">
        <v>0</v>
      </c>
      <c r="E27" s="1340">
        <v>0</v>
      </c>
      <c r="F27" s="1340">
        <v>1</v>
      </c>
      <c r="G27" s="1340">
        <v>0</v>
      </c>
      <c r="H27" s="130" t="s">
        <v>196</v>
      </c>
      <c r="I27" s="265"/>
    </row>
    <row r="29" spans="2:9">
      <c r="B29" s="4"/>
      <c r="C29" s="4"/>
      <c r="D29" s="4"/>
      <c r="E29" s="4"/>
      <c r="F29" s="4"/>
    </row>
    <row r="30" spans="2:9">
      <c r="B30" s="4"/>
      <c r="C30" s="4"/>
      <c r="D30" s="4"/>
      <c r="E30" s="4"/>
      <c r="F30" s="4"/>
    </row>
    <row r="31" spans="2:9">
      <c r="B31" s="1341"/>
      <c r="C31" s="1342"/>
      <c r="D31" s="1342"/>
      <c r="E31" s="1342"/>
      <c r="F31" s="250"/>
    </row>
    <row r="32" spans="2:9">
      <c r="B32" s="1341"/>
      <c r="C32" s="1342"/>
      <c r="D32" s="1342"/>
      <c r="E32" s="1342"/>
      <c r="F32" s="250"/>
    </row>
    <row r="33" spans="2:6">
      <c r="B33" s="1341"/>
      <c r="C33" s="1342"/>
      <c r="D33" s="1342"/>
      <c r="E33" s="1342"/>
      <c r="F33" s="250"/>
    </row>
    <row r="34" spans="2:6">
      <c r="B34" s="4"/>
      <c r="C34" s="4"/>
      <c r="D34" s="4"/>
      <c r="E34" s="4"/>
      <c r="F34" s="4"/>
    </row>
    <row r="35" spans="2:6">
      <c r="B35" s="4"/>
      <c r="C35" s="4"/>
      <c r="D35" s="4"/>
      <c r="E35" s="4"/>
      <c r="F35" s="4"/>
    </row>
  </sheetData>
  <phoneticPr fontId="0" type="noConversion"/>
  <hyperlinks>
    <hyperlink ref="G1" location="Inputs!A1" display="Index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4"/>
  <sheetViews>
    <sheetView zoomScale="80" zoomScaleNormal="75" workbookViewId="0">
      <selection activeCell="E4" sqref="E4"/>
    </sheetView>
  </sheetViews>
  <sheetFormatPr defaultColWidth="8.85546875" defaultRowHeight="12.75"/>
  <cols>
    <col min="1" max="1" width="11.85546875" customWidth="1"/>
    <col min="2" max="2" width="9.85546875" customWidth="1"/>
    <col min="3" max="3" width="31.140625" customWidth="1"/>
    <col min="4" max="4" width="8.85546875" customWidth="1"/>
    <col min="5" max="7" width="20.42578125" customWidth="1"/>
    <col min="8" max="9" width="21.85546875" customWidth="1"/>
    <col min="10" max="11" width="20.42578125" style="34" customWidth="1"/>
    <col min="12" max="12" width="21.85546875" style="34" customWidth="1"/>
    <col min="13" max="14" width="9.140625" style="34" customWidth="1"/>
    <col min="15" max="15" width="20.42578125" style="34" customWidth="1"/>
    <col min="16" max="16" width="20.42578125" customWidth="1"/>
    <col min="17" max="17" width="21.85546875" customWidth="1"/>
  </cols>
  <sheetData>
    <row r="1" spans="1:18" s="1" customFormat="1">
      <c r="A1" s="1301" t="s">
        <v>164</v>
      </c>
      <c r="F1" s="891" t="s">
        <v>774</v>
      </c>
    </row>
    <row r="2" spans="1:18">
      <c r="J2"/>
      <c r="K2"/>
      <c r="L2"/>
      <c r="M2"/>
      <c r="N2"/>
      <c r="O2"/>
    </row>
    <row r="3" spans="1:18" ht="26.25" customHeight="1">
      <c r="B3" s="1445" t="s">
        <v>59</v>
      </c>
      <c r="C3" s="1446"/>
      <c r="D3" s="1447"/>
      <c r="F3" s="1445" t="s">
        <v>60</v>
      </c>
      <c r="G3" s="1446"/>
      <c r="H3" s="1447"/>
      <c r="J3" s="1445" t="s">
        <v>169</v>
      </c>
      <c r="K3" s="1446"/>
      <c r="L3" s="1447"/>
      <c r="M3"/>
      <c r="N3"/>
      <c r="O3" s="1445" t="s">
        <v>170</v>
      </c>
      <c r="P3" s="1446"/>
      <c r="Q3" s="1447"/>
    </row>
    <row r="4" spans="1:18" ht="27.75" customHeight="1">
      <c r="B4" s="1448" t="s">
        <v>285</v>
      </c>
      <c r="C4" s="1449"/>
      <c r="D4" s="1450"/>
      <c r="F4" s="1448" t="s">
        <v>782</v>
      </c>
      <c r="G4" s="1449"/>
      <c r="H4" s="1450"/>
      <c r="J4" s="1448" t="s">
        <v>285</v>
      </c>
      <c r="K4" s="1449"/>
      <c r="L4" s="1450"/>
      <c r="M4"/>
      <c r="N4"/>
      <c r="O4" s="1448" t="s">
        <v>285</v>
      </c>
      <c r="P4" s="1449"/>
      <c r="Q4" s="1450"/>
    </row>
    <row r="5" spans="1:18">
      <c r="B5" s="6"/>
      <c r="C5" s="1312" t="s">
        <v>542</v>
      </c>
      <c r="D5" s="1304" t="s">
        <v>100</v>
      </c>
      <c r="F5" s="6"/>
      <c r="G5" s="1312" t="s">
        <v>542</v>
      </c>
      <c r="H5" s="1304" t="s">
        <v>100</v>
      </c>
      <c r="J5" s="6"/>
      <c r="K5" s="1312" t="s">
        <v>542</v>
      </c>
      <c r="L5" s="1304" t="s">
        <v>100</v>
      </c>
      <c r="M5"/>
      <c r="N5"/>
      <c r="O5" s="6"/>
      <c r="P5" s="1312" t="s">
        <v>542</v>
      </c>
      <c r="Q5" s="1304" t="s">
        <v>100</v>
      </c>
    </row>
    <row r="6" spans="1:18">
      <c r="B6" s="1308" t="s">
        <v>803</v>
      </c>
      <c r="C6" s="54">
        <f>SUM(I20:I39)</f>
        <v>8538239.7638876997</v>
      </c>
      <c r="D6" s="8">
        <f>C6/$C$10</f>
        <v>0.4682154974447662</v>
      </c>
      <c r="F6" s="1308" t="s">
        <v>803</v>
      </c>
      <c r="G6" s="54">
        <f>SUM(I20:I39)</f>
        <v>8538239.7638876997</v>
      </c>
      <c r="H6" s="1313">
        <f>G6/$G$11</f>
        <v>0.4682154974447662</v>
      </c>
      <c r="J6" s="1308" t="s">
        <v>803</v>
      </c>
      <c r="K6" s="54">
        <f>SUM(I20:I39)-I21-I30</f>
        <v>4475251.9348172601</v>
      </c>
      <c r="L6" s="8">
        <f>K6/$K$11</f>
        <v>0.31576527136969507</v>
      </c>
      <c r="M6"/>
      <c r="N6"/>
      <c r="O6" s="1308" t="s">
        <v>803</v>
      </c>
      <c r="P6" s="54">
        <f>(SUM(I20:I39)-I21-I30)*0.5</f>
        <v>2237625.9674086301</v>
      </c>
      <c r="Q6" s="8">
        <f>P6/P$11</f>
        <v>0.18748293572267657</v>
      </c>
    </row>
    <row r="7" spans="1:18">
      <c r="B7" s="1308" t="s">
        <v>802</v>
      </c>
      <c r="C7" s="55">
        <f>SUM(I42:I79)+SUM(I158:I163)+SUM(I153:I154)</f>
        <v>2631614.1619917708</v>
      </c>
      <c r="D7" s="7">
        <f>C7/$C$10</f>
        <v>0.1443110720726154</v>
      </c>
      <c r="F7" s="1308" t="s">
        <v>61</v>
      </c>
      <c r="G7" s="55">
        <f>SUM(I62:I63)+SUM(I69:I70)+SUM(I75:I78)</f>
        <v>620092.25925782206</v>
      </c>
      <c r="H7" s="1314">
        <f>G7/$G$11</f>
        <v>3.4004292882242937E-2</v>
      </c>
      <c r="J7" s="1308" t="s">
        <v>61</v>
      </c>
      <c r="K7" s="55">
        <f>SUM(I59:I72)+SUM(I75:I78)</f>
        <v>885671.85214539291</v>
      </c>
      <c r="L7" s="7">
        <f>K7/$K$11</f>
        <v>6.2491322680945351E-2</v>
      </c>
      <c r="M7"/>
      <c r="N7"/>
      <c r="O7" s="1308" t="s">
        <v>61</v>
      </c>
      <c r="P7" s="55">
        <f>SUM(I59:I72)+SUM(I75:I78)</f>
        <v>885671.85214539291</v>
      </c>
      <c r="Q7" s="7">
        <f>P7/P$11</f>
        <v>7.4207379314362082E-2</v>
      </c>
    </row>
    <row r="8" spans="1:18">
      <c r="B8" s="1308" t="s">
        <v>808</v>
      </c>
      <c r="C8" s="55">
        <f>SUM(I81:I120)+SUM(I149:I150)</f>
        <v>1708721.0755270889</v>
      </c>
      <c r="D8" s="7">
        <f>C8/$C$10</f>
        <v>9.3701946829376326E-2</v>
      </c>
      <c r="F8" s="1308" t="s">
        <v>802</v>
      </c>
      <c r="G8" s="55">
        <f>SUM(I42:I56)+SUM(I59:I61)+SUM(I64:I68)+SUM(I71:I72)+SUM(I158:I163)+SUM(I153:I154)</f>
        <v>2011521.902733949</v>
      </c>
      <c r="H8" s="1314">
        <f>G8/$G$11</f>
        <v>0.11030677919037249</v>
      </c>
      <c r="J8" s="1308" t="s">
        <v>802</v>
      </c>
      <c r="K8" s="55">
        <f>SUM(I42:I56)+SUM(I158:I163)+SUM(I153:I154)</f>
        <v>1745942.3098463779</v>
      </c>
      <c r="L8" s="7">
        <f>K8/$K$11</f>
        <v>0.12319037124487284</v>
      </c>
      <c r="M8"/>
      <c r="N8"/>
      <c r="O8" s="1308" t="s">
        <v>802</v>
      </c>
      <c r="P8" s="55">
        <f>SUM(I42:I56)+SUM(I158:I163)+SUM(I153:I154)</f>
        <v>1745942.3098463779</v>
      </c>
      <c r="Q8" s="7">
        <f>P8/P$11</f>
        <v>0.14628646369862799</v>
      </c>
    </row>
    <row r="9" spans="1:18">
      <c r="B9" s="1309" t="s">
        <v>210</v>
      </c>
      <c r="C9" s="56">
        <f>SUM(I121:I146)</f>
        <v>5357130.1610329337</v>
      </c>
      <c r="D9" s="9">
        <f>C9/$C$10</f>
        <v>0.29377148365324196</v>
      </c>
      <c r="E9" s="980" t="s">
        <v>301</v>
      </c>
      <c r="F9" s="1308" t="s">
        <v>808</v>
      </c>
      <c r="G9" s="55">
        <f>SUM(I81:I120)+SUM(I149:I150)</f>
        <v>1708721.0755270889</v>
      </c>
      <c r="H9" s="1314">
        <f>G9/$G$11</f>
        <v>9.3701946829376326E-2</v>
      </c>
      <c r="I9" s="980"/>
      <c r="J9" s="1308" t="s">
        <v>808</v>
      </c>
      <c r="K9" s="55">
        <f>SUM(I81:I120)+SUM(I149:I150)</f>
        <v>1708721.0755270889</v>
      </c>
      <c r="L9" s="7">
        <f>K9/$K$11</f>
        <v>0.12056411168971659</v>
      </c>
      <c r="M9"/>
      <c r="N9"/>
      <c r="O9" s="1308" t="s">
        <v>808</v>
      </c>
      <c r="P9" s="55">
        <f>SUM(I81:I120)+SUM(I149:I150)</f>
        <v>1708721.0755270889</v>
      </c>
      <c r="Q9" s="7">
        <f>P9/P$11</f>
        <v>0.14316782529210134</v>
      </c>
    </row>
    <row r="10" spans="1:18">
      <c r="B10" s="1315" t="s">
        <v>809</v>
      </c>
      <c r="C10" s="57">
        <f>SUM(C6:C9)</f>
        <v>18235705.162439495</v>
      </c>
      <c r="D10" s="58">
        <f>SUM(D6:D9)</f>
        <v>0.99999999999999978</v>
      </c>
      <c r="E10" t="str">
        <f>IF(C10=$I$164,"OK", "error")</f>
        <v>OK</v>
      </c>
      <c r="F10" s="1309" t="s">
        <v>210</v>
      </c>
      <c r="G10" s="56">
        <f>SUM(I121:I146)</f>
        <v>5357130.1610329337</v>
      </c>
      <c r="H10" s="1316">
        <f>G10/$G$11</f>
        <v>0.29377148365324196</v>
      </c>
      <c r="I10" s="980" t="s">
        <v>301</v>
      </c>
      <c r="J10" s="1309" t="s">
        <v>210</v>
      </c>
      <c r="K10" s="56">
        <f>SUM(I121:I146)</f>
        <v>5357130.1610329337</v>
      </c>
      <c r="L10" s="9">
        <f>K10/$K$11</f>
        <v>0.37798892301477016</v>
      </c>
      <c r="M10" s="980" t="s">
        <v>301</v>
      </c>
      <c r="N10"/>
      <c r="O10" s="1309" t="s">
        <v>210</v>
      </c>
      <c r="P10" s="56">
        <f>SUM(I121:I146)</f>
        <v>5357130.1610329337</v>
      </c>
      <c r="Q10" s="9">
        <f>P10/P$11</f>
        <v>0.44885539597223206</v>
      </c>
      <c r="R10" s="980" t="s">
        <v>301</v>
      </c>
    </row>
    <row r="11" spans="1:18">
      <c r="B11" s="1317"/>
      <c r="C11" s="52"/>
      <c r="D11" s="53"/>
      <c r="F11" s="1315" t="s">
        <v>809</v>
      </c>
      <c r="G11" s="57">
        <f>SUM(G6:G10)</f>
        <v>18235705.162439495</v>
      </c>
      <c r="H11" s="58">
        <f>SUM(H6:H10)</f>
        <v>0.99999999999999978</v>
      </c>
      <c r="I11" t="str">
        <f>IF(G11=$I$164,"OK", "error")</f>
        <v>OK</v>
      </c>
      <c r="J11" s="1315" t="s">
        <v>809</v>
      </c>
      <c r="K11" s="57">
        <f>SUM(K6:K10)</f>
        <v>14172717.333369054</v>
      </c>
      <c r="L11" s="58">
        <f>SUM(L6:L10)</f>
        <v>1</v>
      </c>
      <c r="M11" t="str">
        <f>IF(K11=($I$164-I21-I30),"OK", "error")</f>
        <v>OK</v>
      </c>
      <c r="N11"/>
      <c r="O11" s="1315" t="s">
        <v>809</v>
      </c>
      <c r="P11" s="57">
        <f>SUM(P6:P10)</f>
        <v>11935091.365960423</v>
      </c>
      <c r="Q11" s="9">
        <f>SUM(Q6:Q10)</f>
        <v>1</v>
      </c>
      <c r="R11" t="str">
        <f>IF(P11=($I$164-I21-I30-(SUM(I20:I39)-I21-I30)*0.5),"OK", "error")</f>
        <v>OK</v>
      </c>
    </row>
    <row r="12" spans="1:18">
      <c r="B12" s="1317"/>
      <c r="C12" s="52"/>
      <c r="D12" s="53"/>
      <c r="J12"/>
      <c r="K12"/>
      <c r="L12"/>
      <c r="M12"/>
      <c r="N12"/>
      <c r="O12"/>
    </row>
    <row r="13" spans="1:18">
      <c r="B13" s="1307"/>
      <c r="C13" s="52"/>
      <c r="D13" s="53"/>
      <c r="J13"/>
      <c r="K13"/>
      <c r="L13"/>
      <c r="M13"/>
      <c r="N13"/>
      <c r="O13"/>
    </row>
    <row r="14" spans="1:18" s="1" customFormat="1" ht="12" customHeight="1">
      <c r="A14" s="1301" t="s">
        <v>396</v>
      </c>
    </row>
    <row r="16" spans="1:18" s="18" customFormat="1" ht="25.5">
      <c r="A16" s="28"/>
      <c r="B16" s="19"/>
      <c r="C16" s="29" t="s">
        <v>323</v>
      </c>
      <c r="D16" s="28" t="s">
        <v>559</v>
      </c>
      <c r="E16" s="1318" t="s">
        <v>517</v>
      </c>
      <c r="F16" s="1318"/>
      <c r="G16" s="1318" t="s">
        <v>397</v>
      </c>
      <c r="H16" s="1318" t="s">
        <v>386</v>
      </c>
      <c r="I16" s="1318" t="s">
        <v>163</v>
      </c>
      <c r="J16" s="35"/>
      <c r="K16" s="30"/>
      <c r="L16" s="30"/>
      <c r="M16" s="30"/>
      <c r="N16" s="36"/>
      <c r="O16" s="37"/>
    </row>
    <row r="17" spans="1:15" ht="51">
      <c r="A17" s="3"/>
      <c r="B17" s="13"/>
      <c r="C17" s="20"/>
      <c r="D17" s="3"/>
      <c r="E17" s="27" t="s">
        <v>264</v>
      </c>
      <c r="F17" s="27" t="s">
        <v>776</v>
      </c>
      <c r="G17" s="27" t="s">
        <v>147</v>
      </c>
      <c r="H17" s="27" t="s">
        <v>516</v>
      </c>
      <c r="I17" s="51" t="s">
        <v>526</v>
      </c>
      <c r="J17" s="30"/>
      <c r="K17" s="30"/>
      <c r="L17" s="30"/>
      <c r="M17" s="30"/>
      <c r="N17" s="30"/>
      <c r="O17" s="38"/>
    </row>
    <row r="18" spans="1:15">
      <c r="A18" s="3" t="s">
        <v>173</v>
      </c>
      <c r="B18" s="13"/>
      <c r="C18" s="20"/>
      <c r="D18" s="3"/>
      <c r="E18" s="3"/>
      <c r="F18" s="20"/>
      <c r="G18" s="20"/>
      <c r="H18" s="20"/>
      <c r="I18" s="20"/>
      <c r="J18" s="39"/>
      <c r="K18" s="31"/>
      <c r="L18" s="31"/>
      <c r="M18" s="32"/>
      <c r="N18" s="40"/>
      <c r="O18" s="41"/>
    </row>
    <row r="19" spans="1:15">
      <c r="A19" s="26"/>
      <c r="B19" s="21" t="s">
        <v>788</v>
      </c>
      <c r="C19" s="22"/>
      <c r="D19" s="26"/>
      <c r="E19" s="26"/>
      <c r="F19" s="22"/>
      <c r="G19" s="22"/>
      <c r="H19" s="22"/>
      <c r="I19" s="22"/>
      <c r="J19" s="39"/>
      <c r="K19" s="32"/>
      <c r="L19" s="33"/>
      <c r="M19" s="32"/>
      <c r="N19" s="39"/>
      <c r="O19" s="42"/>
    </row>
    <row r="20" spans="1:15">
      <c r="A20" s="26"/>
      <c r="B20" s="21"/>
      <c r="C20" s="22" t="s">
        <v>174</v>
      </c>
      <c r="D20" s="26" t="s">
        <v>717</v>
      </c>
      <c r="E20" s="1319">
        <f>IF(ISNUMBER('FBPQ C2'!K12),'FBPQ C2'!K12,IF(ISNUMBER('FBPQ C2'!I12),'FBPQ C2'!I12,""))</f>
        <v>39.50991010706953</v>
      </c>
      <c r="F20" s="1320" t="s">
        <v>781</v>
      </c>
      <c r="G20" s="1320">
        <f t="shared" ref="G20:G83" si="0">IF(ISNUMBER(E20),E20,IF(H20&gt;0,F20," "))</f>
        <v>39.50991010706953</v>
      </c>
      <c r="H20" s="1321">
        <f>IF(ISBLANK('FBPQ T4'!E12)," ",'FBPQ T4'!AE12)</f>
        <v>5011.7</v>
      </c>
      <c r="I20" s="1322">
        <f>IF(ISERROR(G20*H20)," ",G20*H20)</f>
        <v>198011.81648360036</v>
      </c>
      <c r="J20" s="32"/>
      <c r="K20" s="32"/>
      <c r="L20" s="32"/>
      <c r="M20" s="32"/>
      <c r="N20" s="43"/>
      <c r="O20" s="42"/>
    </row>
    <row r="21" spans="1:15">
      <c r="A21" s="26"/>
      <c r="B21" s="21"/>
      <c r="C21" s="22" t="s">
        <v>175</v>
      </c>
      <c r="D21" s="26" t="s">
        <v>428</v>
      </c>
      <c r="E21" s="1319">
        <f>IF(ISNUMBER('FBPQ C2'!K13),'FBPQ C2'!K13,IF(ISNUMBER('FBPQ C2'!I13),'FBPQ C2'!I13,""))</f>
        <v>0.48182817203743339</v>
      </c>
      <c r="F21" s="1320" t="s">
        <v>781</v>
      </c>
      <c r="G21" s="1320">
        <f t="shared" si="0"/>
        <v>0.48182817203743339</v>
      </c>
      <c r="H21" s="1321">
        <f>IF(ISBLANK('FBPQ T4'!E13)," ",'FBPQ T4'!AE13)</f>
        <v>124564</v>
      </c>
      <c r="I21" s="1322">
        <f t="shared" ref="I21:I84" si="1">IF(ISERROR(G21*H21)," ",G21*H21)</f>
        <v>60018.444421670851</v>
      </c>
      <c r="J21" s="32"/>
      <c r="K21" s="32"/>
      <c r="L21" s="32"/>
      <c r="M21" s="32"/>
      <c r="N21" s="43"/>
      <c r="O21" s="44"/>
    </row>
    <row r="22" spans="1:15">
      <c r="A22" s="26"/>
      <c r="B22" s="21"/>
      <c r="C22" s="22"/>
      <c r="D22" s="26"/>
      <c r="E22" s="1319" t="str">
        <f>IF(ISNUMBER('FBPQ C2'!K14),'FBPQ C2'!K14,IF(ISNUMBER('FBPQ C2'!I14),'FBPQ C2'!I14,""))</f>
        <v/>
      </c>
      <c r="F22" s="1320"/>
      <c r="G22" s="1320">
        <f t="shared" si="0"/>
        <v>0</v>
      </c>
      <c r="H22" s="1321" t="str">
        <f>IF(ISBLANK('FBPQ T4'!E14)," ",'FBPQ T4'!AE14)</f>
        <v xml:space="preserve"> </v>
      </c>
      <c r="I22" s="1322" t="str">
        <f t="shared" si="1"/>
        <v xml:space="preserve"> </v>
      </c>
      <c r="J22" s="32"/>
      <c r="K22" s="32"/>
      <c r="L22" s="32"/>
      <c r="M22" s="32"/>
      <c r="N22" s="43"/>
      <c r="O22" s="44"/>
    </row>
    <row r="23" spans="1:15">
      <c r="A23" s="26"/>
      <c r="B23" s="21" t="s">
        <v>429</v>
      </c>
      <c r="C23" s="22"/>
      <c r="D23" s="26"/>
      <c r="E23" s="1319" t="str">
        <f>IF(ISNUMBER('FBPQ C2'!K15),'FBPQ C2'!K15,IF(ISNUMBER('FBPQ C2'!I15),'FBPQ C2'!I15,""))</f>
        <v/>
      </c>
      <c r="F23" s="1320"/>
      <c r="G23" s="1320">
        <f t="shared" si="0"/>
        <v>0</v>
      </c>
      <c r="H23" s="1321" t="str">
        <f>IF(ISBLANK('FBPQ T4'!E15)," ",'FBPQ T4'!AE15)</f>
        <v xml:space="preserve"> </v>
      </c>
      <c r="I23" s="1322" t="str">
        <f t="shared" si="1"/>
        <v xml:space="preserve"> </v>
      </c>
      <c r="J23" s="32"/>
      <c r="K23" s="32"/>
      <c r="L23" s="33"/>
      <c r="M23" s="32"/>
      <c r="N23" s="43"/>
      <c r="O23" s="42"/>
    </row>
    <row r="24" spans="1:15">
      <c r="A24" s="26"/>
      <c r="B24" s="21"/>
      <c r="C24" s="22" t="s">
        <v>430</v>
      </c>
      <c r="D24" s="26" t="s">
        <v>428</v>
      </c>
      <c r="E24" s="1323">
        <f>IF(ISNUMBER('FBPQ C2'!K16),'FBPQ C2'!K16,IF(ISNUMBER('FBPQ C2'!I16),'FBPQ C2'!I16,""))</f>
        <v>0</v>
      </c>
      <c r="F24" s="1320" t="s">
        <v>781</v>
      </c>
      <c r="G24" s="1320">
        <f t="shared" si="0"/>
        <v>0</v>
      </c>
      <c r="H24" s="1321">
        <f>IF(ISBLANK('FBPQ T4'!E16)," ",'FBPQ T4'!AE16)</f>
        <v>121993</v>
      </c>
      <c r="I24" s="1322">
        <f t="shared" si="1"/>
        <v>0</v>
      </c>
      <c r="J24" s="32"/>
      <c r="K24" s="32"/>
      <c r="L24" s="32"/>
      <c r="M24" s="32"/>
      <c r="N24" s="43"/>
      <c r="O24" s="44"/>
    </row>
    <row r="25" spans="1:15">
      <c r="A25" s="26"/>
      <c r="B25" s="21"/>
      <c r="C25" s="22"/>
      <c r="D25" s="26"/>
      <c r="E25" s="1319" t="str">
        <f>IF(ISNUMBER('FBPQ C2'!K17),'FBPQ C2'!K17,IF(ISNUMBER('FBPQ C2'!I17),'FBPQ C2'!I17,""))</f>
        <v/>
      </c>
      <c r="F25" s="1320"/>
      <c r="G25" s="1320">
        <f t="shared" si="0"/>
        <v>0</v>
      </c>
      <c r="H25" s="1321" t="str">
        <f>IF(ISBLANK('FBPQ T4'!E17)," ",'FBPQ T4'!AE17)</f>
        <v xml:space="preserve"> </v>
      </c>
      <c r="I25" s="1322" t="str">
        <f t="shared" si="1"/>
        <v xml:space="preserve"> </v>
      </c>
      <c r="J25" s="32"/>
      <c r="K25" s="32"/>
      <c r="L25" s="32"/>
      <c r="M25" s="32"/>
      <c r="N25" s="43"/>
      <c r="O25" s="44"/>
    </row>
    <row r="26" spans="1:15">
      <c r="A26" s="26"/>
      <c r="B26" s="21" t="s">
        <v>519</v>
      </c>
      <c r="C26" s="22"/>
      <c r="D26" s="26"/>
      <c r="E26" s="1319" t="str">
        <f>IF(ISNUMBER('FBPQ C2'!K18),'FBPQ C2'!K18,IF(ISNUMBER('FBPQ C2'!I18),'FBPQ C2'!I18,""))</f>
        <v/>
      </c>
      <c r="F26" s="1320"/>
      <c r="G26" s="1320">
        <f t="shared" si="0"/>
        <v>0</v>
      </c>
      <c r="H26" s="1321" t="str">
        <f>IF(ISBLANK('FBPQ T4'!E18)," ",'FBPQ T4'!AE18)</f>
        <v xml:space="preserve"> </v>
      </c>
      <c r="I26" s="1322" t="str">
        <f t="shared" si="1"/>
        <v xml:space="preserve"> </v>
      </c>
      <c r="J26" s="32"/>
      <c r="K26" s="32"/>
      <c r="L26" s="33"/>
      <c r="M26" s="32"/>
      <c r="N26" s="43"/>
      <c r="O26" s="42"/>
    </row>
    <row r="27" spans="1:15">
      <c r="A27" s="26"/>
      <c r="B27" s="21"/>
      <c r="C27" s="22" t="s">
        <v>458</v>
      </c>
      <c r="D27" s="26" t="s">
        <v>717</v>
      </c>
      <c r="E27" s="1319">
        <f>IF(ISNUMBER('FBPQ C2'!K19),'FBPQ C2'!K19,IF(ISNUMBER('FBPQ C2'!I19),'FBPQ C2'!I19,""))</f>
        <v>120.45704300935833</v>
      </c>
      <c r="F27" s="1320" t="s">
        <v>781</v>
      </c>
      <c r="G27" s="1320">
        <f t="shared" si="0"/>
        <v>120.45704300935833</v>
      </c>
      <c r="H27" s="1321">
        <f>IF(ISBLANK('FBPQ T4'!E19)," ",'FBPQ T4'!AE19)</f>
        <v>11</v>
      </c>
      <c r="I27" s="1322">
        <f t="shared" si="1"/>
        <v>1325.0274731029417</v>
      </c>
      <c r="J27" s="32"/>
      <c r="K27" s="32"/>
      <c r="L27" s="33"/>
      <c r="M27" s="32"/>
      <c r="N27" s="43"/>
      <c r="O27" s="42"/>
    </row>
    <row r="28" spans="1:15">
      <c r="A28" s="26"/>
      <c r="B28" s="21"/>
      <c r="C28" s="22" t="s">
        <v>316</v>
      </c>
      <c r="D28" s="26" t="s">
        <v>717</v>
      </c>
      <c r="E28" s="1319">
        <f>IF(ISNUMBER('FBPQ C2'!K20),'FBPQ C2'!K20,IF(ISNUMBER('FBPQ C2'!I20),'FBPQ C2'!I20,""))</f>
        <v>120.45704300935833</v>
      </c>
      <c r="F28" s="1320" t="s">
        <v>781</v>
      </c>
      <c r="G28" s="1320">
        <f t="shared" si="0"/>
        <v>120.45704300935833</v>
      </c>
      <c r="H28" s="1321">
        <f>IF(ISBLANK('FBPQ T4'!E20)," ",'FBPQ T4'!AE20)</f>
        <v>15211.5</v>
      </c>
      <c r="I28" s="1322">
        <f t="shared" si="1"/>
        <v>1832332.3097368542</v>
      </c>
      <c r="J28" s="32"/>
      <c r="K28" s="32"/>
      <c r="L28" s="33"/>
      <c r="M28" s="32"/>
      <c r="N28" s="43"/>
      <c r="O28" s="42"/>
    </row>
    <row r="29" spans="1:15">
      <c r="A29" s="26"/>
      <c r="B29" s="21"/>
      <c r="C29" s="22" t="s">
        <v>317</v>
      </c>
      <c r="D29" s="26" t="s">
        <v>717</v>
      </c>
      <c r="E29" s="1319">
        <f>IF(ISNUMBER('FBPQ C2'!K21),'FBPQ C2'!K21,IF(ISNUMBER('FBPQ C2'!I21),'FBPQ C2'!I21,""))</f>
        <v>120.45704300935833</v>
      </c>
      <c r="F29" s="1320" t="s">
        <v>781</v>
      </c>
      <c r="G29" s="1320">
        <f t="shared" si="0"/>
        <v>120.45704300935833</v>
      </c>
      <c r="H29" s="1321">
        <f>IF(ISBLANK('FBPQ T4'!E21)," ",'FBPQ T4'!AE21)</f>
        <v>18317</v>
      </c>
      <c r="I29" s="1322">
        <f t="shared" si="1"/>
        <v>2206411.6568024163</v>
      </c>
      <c r="J29" s="32"/>
      <c r="K29" s="32"/>
      <c r="L29" s="33"/>
      <c r="M29" s="32"/>
      <c r="N29" s="43"/>
      <c r="O29" s="42"/>
    </row>
    <row r="30" spans="1:15">
      <c r="A30" s="26"/>
      <c r="B30" s="21"/>
      <c r="C30" s="22" t="s">
        <v>318</v>
      </c>
      <c r="D30" s="26" t="s">
        <v>428</v>
      </c>
      <c r="E30" s="1319">
        <f>IF(ISNUMBER('FBPQ C2'!K22),'FBPQ C2'!K22,IF(ISNUMBER('FBPQ C2'!I22),'FBPQ C2'!I22,""))</f>
        <v>1.6107756705297416</v>
      </c>
      <c r="F30" s="1320" t="s">
        <v>781</v>
      </c>
      <c r="G30" s="1320">
        <f t="shared" si="0"/>
        <v>1.6107756705297416</v>
      </c>
      <c r="H30" s="1321">
        <f>IF(ISBLANK('FBPQ T4'!E22)," ",'FBPQ T4'!AE22)</f>
        <v>2485119.1</v>
      </c>
      <c r="I30" s="1322">
        <f t="shared" si="1"/>
        <v>4002969.3846487682</v>
      </c>
      <c r="J30" s="32"/>
      <c r="K30" s="32"/>
      <c r="L30" s="33"/>
      <c r="M30" s="32"/>
      <c r="N30" s="43"/>
      <c r="O30" s="44"/>
    </row>
    <row r="31" spans="1:15">
      <c r="A31" s="26"/>
      <c r="B31" s="21"/>
      <c r="C31" s="22"/>
      <c r="D31" s="26"/>
      <c r="E31" s="1319" t="str">
        <f>IF(ISNUMBER('FBPQ C2'!K23),'FBPQ C2'!K23,IF(ISNUMBER('FBPQ C2'!I23),'FBPQ C2'!I23,""))</f>
        <v/>
      </c>
      <c r="F31" s="1320"/>
      <c r="G31" s="1320">
        <f t="shared" si="0"/>
        <v>0</v>
      </c>
      <c r="H31" s="1321" t="str">
        <f>IF(ISBLANK('FBPQ T4'!E23)," ",'FBPQ T4'!AE23)</f>
        <v xml:space="preserve"> </v>
      </c>
      <c r="I31" s="1322" t="str">
        <f t="shared" si="1"/>
        <v xml:space="preserve"> </v>
      </c>
      <c r="J31" s="32"/>
      <c r="K31" s="32"/>
      <c r="L31" s="32"/>
      <c r="M31" s="32"/>
      <c r="N31" s="43"/>
      <c r="O31" s="44"/>
    </row>
    <row r="32" spans="1:15">
      <c r="A32" s="26"/>
      <c r="B32" s="21" t="s">
        <v>319</v>
      </c>
      <c r="C32" s="22"/>
      <c r="D32" s="26"/>
      <c r="E32" s="1319" t="str">
        <f>IF(ISNUMBER('FBPQ C2'!K24),'FBPQ C2'!K24,IF(ISNUMBER('FBPQ C2'!I24),'FBPQ C2'!I24,""))</f>
        <v/>
      </c>
      <c r="F32" s="1320"/>
      <c r="G32" s="1320">
        <f t="shared" si="0"/>
        <v>0</v>
      </c>
      <c r="H32" s="1321" t="str">
        <f>IF(ISBLANK('FBPQ T4'!E24)," ",'FBPQ T4'!AE24)</f>
        <v xml:space="preserve"> </v>
      </c>
      <c r="I32" s="1322" t="str">
        <f t="shared" si="1"/>
        <v xml:space="preserve"> </v>
      </c>
      <c r="J32" s="32"/>
      <c r="K32" s="32"/>
      <c r="L32" s="33"/>
      <c r="M32" s="32"/>
      <c r="N32" s="43"/>
      <c r="O32" s="42"/>
    </row>
    <row r="33" spans="1:15">
      <c r="A33" s="26"/>
      <c r="B33" s="21"/>
      <c r="C33" s="22" t="s">
        <v>320</v>
      </c>
      <c r="D33" s="26" t="s">
        <v>428</v>
      </c>
      <c r="E33" s="1319">
        <f>IF(ISNUMBER('FBPQ C2'!K25),'FBPQ C2'!K25,IF(ISNUMBER('FBPQ C2'!I25),'FBPQ C2'!I25,""))</f>
        <v>5.4205669354211254</v>
      </c>
      <c r="F33" s="1320" t="s">
        <v>781</v>
      </c>
      <c r="G33" s="1320">
        <f t="shared" si="0"/>
        <v>5.4205669354211254</v>
      </c>
      <c r="H33" s="1321">
        <f>IF(ISBLANK('FBPQ T4'!E25)," ",'FBPQ T4'!AE25)</f>
        <v>9596</v>
      </c>
      <c r="I33" s="1322">
        <f t="shared" si="1"/>
        <v>52015.760312301121</v>
      </c>
      <c r="J33" s="249"/>
      <c r="K33" s="32"/>
      <c r="L33" s="33"/>
      <c r="M33" s="32"/>
      <c r="N33" s="43"/>
      <c r="O33" s="42"/>
    </row>
    <row r="34" spans="1:15">
      <c r="A34" s="26"/>
      <c r="B34" s="21"/>
      <c r="C34" s="22" t="s">
        <v>321</v>
      </c>
      <c r="D34" s="26" t="s">
        <v>428</v>
      </c>
      <c r="E34" s="1319">
        <f>IF(ISNUMBER('FBPQ C2'!K26),'FBPQ C2'!K26,IF(ISNUMBER('FBPQ C2'!I26),'FBPQ C2'!I26,""))</f>
        <v>5.4205669354211254</v>
      </c>
      <c r="F34" s="1320" t="s">
        <v>781</v>
      </c>
      <c r="G34" s="1320">
        <f t="shared" si="0"/>
        <v>5.4205669354211254</v>
      </c>
      <c r="H34" s="1321">
        <f>IF(ISBLANK('FBPQ T4'!E26)," ",'FBPQ T4'!AE26)</f>
        <v>7772</v>
      </c>
      <c r="I34" s="1322">
        <f t="shared" si="1"/>
        <v>42128.64622209299</v>
      </c>
      <c r="J34" s="32"/>
      <c r="K34" s="32"/>
      <c r="L34" s="33"/>
      <c r="M34" s="32"/>
      <c r="N34" s="43"/>
      <c r="O34" s="42"/>
    </row>
    <row r="35" spans="1:15">
      <c r="A35" s="26"/>
      <c r="B35" s="21"/>
      <c r="C35" s="22" t="s">
        <v>442</v>
      </c>
      <c r="D35" s="26" t="s">
        <v>428</v>
      </c>
      <c r="E35" s="1319">
        <f>IF(ISNUMBER('FBPQ C2'!K27),'FBPQ C2'!K27,IF(ISNUMBER('FBPQ C2'!I27),'FBPQ C2'!I27,""))</f>
        <v>5.4205669354211254</v>
      </c>
      <c r="F35" s="1320" t="s">
        <v>781</v>
      </c>
      <c r="G35" s="1320">
        <f t="shared" si="0"/>
        <v>5.4205669354211254</v>
      </c>
      <c r="H35" s="1321">
        <f>IF(ISBLANK('FBPQ T4'!E27)," ",'FBPQ T4'!AE27)</f>
        <v>2299</v>
      </c>
      <c r="I35" s="1322">
        <f t="shared" si="1"/>
        <v>12461.883384533168</v>
      </c>
      <c r="J35" s="32"/>
      <c r="K35" s="32"/>
      <c r="L35" s="33"/>
      <c r="M35" s="32"/>
      <c r="N35" s="43"/>
      <c r="O35" s="42"/>
    </row>
    <row r="36" spans="1:15">
      <c r="A36" s="26"/>
      <c r="B36" s="21"/>
      <c r="C36" s="22" t="s">
        <v>443</v>
      </c>
      <c r="D36" s="26" t="s">
        <v>428</v>
      </c>
      <c r="E36" s="1319">
        <f>IF(ISNUMBER('FBPQ C2'!K28),'FBPQ C2'!K28,IF(ISNUMBER('FBPQ C2'!I28),'FBPQ C2'!I28,""))</f>
        <v>4.5773676343556167</v>
      </c>
      <c r="F36" s="1320" t="s">
        <v>781</v>
      </c>
      <c r="G36" s="1320">
        <f t="shared" si="0"/>
        <v>4.5773676343556167</v>
      </c>
      <c r="H36" s="1321">
        <f>IF(ISBLANK('FBPQ T4'!E28)," ",'FBPQ T4'!AE28)</f>
        <v>28524</v>
      </c>
      <c r="I36" s="1322">
        <f t="shared" si="1"/>
        <v>130564.83440235961</v>
      </c>
      <c r="J36" s="32"/>
      <c r="K36" s="32"/>
      <c r="L36" s="33"/>
      <c r="M36" s="32"/>
      <c r="N36" s="43"/>
      <c r="O36" s="45"/>
    </row>
    <row r="37" spans="1:15">
      <c r="A37" s="26"/>
      <c r="B37" s="21"/>
      <c r="C37" s="22" t="s">
        <v>569</v>
      </c>
      <c r="D37" s="26" t="s">
        <v>428</v>
      </c>
      <c r="E37" s="1323">
        <v>0</v>
      </c>
      <c r="F37" s="1320" t="s">
        <v>781</v>
      </c>
      <c r="G37" s="1320">
        <f t="shared" si="0"/>
        <v>0</v>
      </c>
      <c r="H37" s="1321">
        <f>IF(ISBLANK('FBPQ T4'!E29)," ",'FBPQ T4'!AE29)</f>
        <v>22692</v>
      </c>
      <c r="I37" s="1322">
        <f t="shared" si="1"/>
        <v>0</v>
      </c>
      <c r="J37" s="32"/>
      <c r="K37" s="32"/>
      <c r="L37" s="33"/>
      <c r="M37" s="32"/>
      <c r="N37" s="43"/>
      <c r="O37" s="45"/>
    </row>
    <row r="38" spans="1:15">
      <c r="A38" s="26"/>
      <c r="B38" s="21"/>
      <c r="C38" s="22" t="s">
        <v>570</v>
      </c>
      <c r="D38" s="26" t="s">
        <v>428</v>
      </c>
      <c r="E38" s="1319" t="str">
        <f>IF(ISNUMBER('FBPQ C2'!K30),'FBPQ C2'!K30,IF(ISNUMBER('FBPQ C2'!I30),'FBPQ C2'!I30,""))</f>
        <v/>
      </c>
      <c r="F38" s="1320" t="s">
        <v>781</v>
      </c>
      <c r="G38" s="1320" t="str">
        <f t="shared" si="0"/>
        <v xml:space="preserve"> </v>
      </c>
      <c r="H38" s="1321">
        <f>IF(ISBLANK('FBPQ T4'!E30)," ",'FBPQ T4'!AE30)</f>
        <v>0</v>
      </c>
      <c r="I38" s="1322" t="str">
        <f t="shared" si="1"/>
        <v xml:space="preserve"> </v>
      </c>
      <c r="J38" s="32"/>
      <c r="K38" s="32"/>
      <c r="L38" s="33"/>
      <c r="M38" s="32"/>
      <c r="N38" s="43"/>
      <c r="O38" s="44"/>
    </row>
    <row r="39" spans="1:15">
      <c r="A39" s="26"/>
      <c r="B39" s="21"/>
      <c r="C39" s="22"/>
      <c r="D39" s="26"/>
      <c r="E39" s="1319" t="str">
        <f>IF(ISNUMBER('FBPQ C2'!K31),'FBPQ C2'!K31,IF(ISNUMBER('FBPQ C2'!I31),'FBPQ C2'!I31,""))</f>
        <v/>
      </c>
      <c r="F39" s="1320"/>
      <c r="G39" s="1320">
        <f t="shared" si="0"/>
        <v>0</v>
      </c>
      <c r="H39" s="1321" t="str">
        <f>IF(ISBLANK('FBPQ T4'!E31)," ",'FBPQ T4'!AE31)</f>
        <v xml:space="preserve"> </v>
      </c>
      <c r="I39" s="1322" t="str">
        <f t="shared" si="1"/>
        <v xml:space="preserve"> </v>
      </c>
      <c r="J39" s="46"/>
      <c r="K39" s="46"/>
      <c r="L39" s="46"/>
      <c r="M39" s="46"/>
      <c r="N39" s="47"/>
      <c r="O39" s="44"/>
    </row>
    <row r="40" spans="1:15">
      <c r="A40" s="26" t="s">
        <v>571</v>
      </c>
      <c r="B40" s="21"/>
      <c r="C40" s="22"/>
      <c r="D40" s="26"/>
      <c r="E40" s="1319" t="str">
        <f>IF(ISNUMBER('FBPQ C2'!K32),'FBPQ C2'!K32,IF(ISNUMBER('FBPQ C2'!I32),'FBPQ C2'!I32,""))</f>
        <v/>
      </c>
      <c r="F40" s="1320"/>
      <c r="G40" s="1320">
        <f t="shared" si="0"/>
        <v>0</v>
      </c>
      <c r="H40" s="1321" t="str">
        <f>IF(ISBLANK('FBPQ T4'!E32)," ",'FBPQ T4'!AE32)</f>
        <v xml:space="preserve"> </v>
      </c>
      <c r="I40" s="1322" t="str">
        <f t="shared" si="1"/>
        <v xml:space="preserve"> </v>
      </c>
      <c r="J40" s="32"/>
      <c r="K40" s="31"/>
      <c r="L40" s="31"/>
      <c r="M40" s="48"/>
      <c r="N40" s="43"/>
      <c r="O40" s="44"/>
    </row>
    <row r="41" spans="1:15">
      <c r="A41" s="26"/>
      <c r="B41" s="21" t="s">
        <v>788</v>
      </c>
      <c r="C41" s="22"/>
      <c r="D41" s="26"/>
      <c r="E41" s="1319" t="str">
        <f>IF(ISNUMBER('FBPQ C2'!K33),'FBPQ C2'!K33,IF(ISNUMBER('FBPQ C2'!I33),'FBPQ C2'!I33,""))</f>
        <v/>
      </c>
      <c r="F41" s="1320"/>
      <c r="G41" s="1320">
        <f t="shared" si="0"/>
        <v>0</v>
      </c>
      <c r="H41" s="1321" t="str">
        <f>IF(ISBLANK('FBPQ T4'!E33)," ",'FBPQ T4'!AE33)</f>
        <v xml:space="preserve"> </v>
      </c>
      <c r="I41" s="1322" t="str">
        <f t="shared" si="1"/>
        <v xml:space="preserve"> </v>
      </c>
      <c r="J41" s="32"/>
      <c r="K41" s="32"/>
      <c r="L41" s="33"/>
      <c r="M41" s="32"/>
      <c r="N41" s="43"/>
      <c r="O41" s="42"/>
    </row>
    <row r="42" spans="1:15">
      <c r="A42" s="26"/>
      <c r="B42" s="21"/>
      <c r="C42" s="22" t="s">
        <v>572</v>
      </c>
      <c r="D42" s="26" t="s">
        <v>717</v>
      </c>
      <c r="E42" s="1319">
        <f>IF(ISNUMBER('FBPQ C2'!K34),'FBPQ C2'!K34,IF(ISNUMBER('FBPQ C2'!I34),'FBPQ C2'!I34,""))</f>
        <v>40.834937580172472</v>
      </c>
      <c r="F42" s="1320" t="s">
        <v>781</v>
      </c>
      <c r="G42" s="1320">
        <f t="shared" si="0"/>
        <v>40.834937580172472</v>
      </c>
      <c r="H42" s="1321">
        <f>IF(ISBLANK('FBPQ T4'!E34)," ",'FBPQ T4'!AE34)</f>
        <v>12473.2</v>
      </c>
      <c r="I42" s="1322">
        <f t="shared" si="1"/>
        <v>509342.3434250073</v>
      </c>
      <c r="J42" s="32"/>
      <c r="K42" s="32"/>
      <c r="L42" s="33"/>
      <c r="M42" s="32"/>
      <c r="N42" s="43"/>
      <c r="O42" s="42"/>
    </row>
    <row r="43" spans="1:15">
      <c r="A43" s="26"/>
      <c r="B43" s="21"/>
      <c r="C43" s="22" t="s">
        <v>573</v>
      </c>
      <c r="D43" s="26" t="s">
        <v>717</v>
      </c>
      <c r="E43" s="1319">
        <f>IF(ISNUMBER('FBPQ C2'!K35),'FBPQ C2'!K35,IF(ISNUMBER('FBPQ C2'!I35),'FBPQ C2'!I35,""))</f>
        <v>40.834937580172472</v>
      </c>
      <c r="F43" s="1320" t="s">
        <v>781</v>
      </c>
      <c r="G43" s="1320">
        <f t="shared" si="0"/>
        <v>40.834937580172472</v>
      </c>
      <c r="H43" s="1321">
        <f>IF(ISBLANK('FBPQ T4'!E35)," ",'FBPQ T4'!AE35)</f>
        <v>20</v>
      </c>
      <c r="I43" s="1322">
        <f t="shared" si="1"/>
        <v>816.69875160344941</v>
      </c>
      <c r="J43" s="32"/>
      <c r="K43" s="32"/>
      <c r="L43" s="33"/>
      <c r="M43" s="32"/>
      <c r="N43" s="43"/>
      <c r="O43" s="42"/>
    </row>
    <row r="44" spans="1:15">
      <c r="A44" s="26"/>
      <c r="B44" s="21"/>
      <c r="C44" s="22" t="s">
        <v>574</v>
      </c>
      <c r="D44" s="26" t="s">
        <v>717</v>
      </c>
      <c r="E44" s="1319">
        <f>IF(ISNUMBER('FBPQ C2'!K36),'FBPQ C2'!K36,IF(ISNUMBER('FBPQ C2'!I36),'FBPQ C2'!I36,""))</f>
        <v>0</v>
      </c>
      <c r="F44" s="1320" t="s">
        <v>781</v>
      </c>
      <c r="G44" s="1320">
        <f t="shared" si="0"/>
        <v>0</v>
      </c>
      <c r="H44" s="1321">
        <f>IF(ISBLANK('FBPQ T4'!E36)," ",'FBPQ T4'!AE36)</f>
        <v>0</v>
      </c>
      <c r="I44" s="1322">
        <f t="shared" si="1"/>
        <v>0</v>
      </c>
      <c r="J44" s="32"/>
      <c r="K44" s="32"/>
      <c r="L44" s="32"/>
      <c r="M44" s="32"/>
      <c r="N44" s="43"/>
      <c r="O44" s="42"/>
    </row>
    <row r="45" spans="1:15">
      <c r="A45" s="26"/>
      <c r="B45" s="21"/>
      <c r="C45" s="22" t="s">
        <v>331</v>
      </c>
      <c r="D45" s="26" t="s">
        <v>717</v>
      </c>
      <c r="E45" s="1319">
        <f>IF(ISNUMBER('FBPQ C2'!K37),'FBPQ C2'!K37,IF(ISNUMBER('FBPQ C2'!I37),'FBPQ C2'!I37,""))</f>
        <v>0</v>
      </c>
      <c r="F45" s="1320" t="s">
        <v>781</v>
      </c>
      <c r="G45" s="1320">
        <f t="shared" si="0"/>
        <v>0</v>
      </c>
      <c r="H45" s="1321">
        <f>IF(ISBLANK('FBPQ T4'!E37)," ",'FBPQ T4'!AE37)</f>
        <v>0</v>
      </c>
      <c r="I45" s="1322">
        <f t="shared" si="1"/>
        <v>0</v>
      </c>
      <c r="J45" s="32"/>
      <c r="K45" s="32"/>
      <c r="L45" s="32"/>
      <c r="M45" s="32"/>
      <c r="N45" s="43"/>
      <c r="O45" s="44"/>
    </row>
    <row r="46" spans="1:15">
      <c r="A46" s="26"/>
      <c r="B46" s="21"/>
      <c r="C46" s="22"/>
      <c r="D46" s="26"/>
      <c r="E46" s="1319" t="str">
        <f>IF(ISNUMBER('FBPQ C2'!K38),'FBPQ C2'!K38,IF(ISNUMBER('FBPQ C2'!I38),'FBPQ C2'!I38,""))</f>
        <v/>
      </c>
      <c r="F46" s="1320"/>
      <c r="G46" s="1320">
        <f t="shared" si="0"/>
        <v>0</v>
      </c>
      <c r="H46" s="1321" t="str">
        <f>IF(ISBLANK('FBPQ T4'!E38)," ",'FBPQ T4'!AE38)</f>
        <v xml:space="preserve"> </v>
      </c>
      <c r="I46" s="1322" t="str">
        <f t="shared" si="1"/>
        <v xml:space="preserve"> </v>
      </c>
      <c r="J46" s="32"/>
      <c r="K46" s="32"/>
      <c r="L46" s="32"/>
      <c r="M46" s="32"/>
      <c r="N46" s="43"/>
      <c r="O46" s="44"/>
    </row>
    <row r="47" spans="1:15">
      <c r="A47" s="26"/>
      <c r="B47" s="21" t="s">
        <v>429</v>
      </c>
      <c r="C47" s="22"/>
      <c r="D47" s="26"/>
      <c r="E47" s="1319" t="str">
        <f>IF(ISNUMBER('FBPQ C2'!K39),'FBPQ C2'!K39,IF(ISNUMBER('FBPQ C2'!I39),'FBPQ C2'!I39,""))</f>
        <v/>
      </c>
      <c r="F47" s="1320"/>
      <c r="G47" s="1320">
        <f t="shared" si="0"/>
        <v>0</v>
      </c>
      <c r="H47" s="1321" t="str">
        <f>IF(ISBLANK('FBPQ T4'!E39)," ",'FBPQ T4'!AE39)</f>
        <v xml:space="preserve"> </v>
      </c>
      <c r="I47" s="1322" t="str">
        <f t="shared" si="1"/>
        <v xml:space="preserve"> </v>
      </c>
      <c r="J47" s="32"/>
      <c r="K47" s="32"/>
      <c r="L47" s="33"/>
      <c r="M47" s="32"/>
      <c r="N47" s="43"/>
      <c r="O47" s="42"/>
    </row>
    <row r="48" spans="1:15">
      <c r="A48" s="26"/>
      <c r="B48" s="21"/>
      <c r="C48" s="22" t="s">
        <v>452</v>
      </c>
      <c r="D48" s="26" t="s">
        <v>428</v>
      </c>
      <c r="E48" s="1323">
        <f>IF(ISNUMBER('FBPQ C2'!K40),'FBPQ C2'!K40,IF(ISNUMBER('FBPQ C2'!I40),'FBPQ C2'!I40,""))</f>
        <v>0</v>
      </c>
      <c r="F48" s="1320" t="s">
        <v>781</v>
      </c>
      <c r="G48" s="1320">
        <f t="shared" si="0"/>
        <v>0</v>
      </c>
      <c r="H48" s="1321">
        <f>IF(ISBLANK('FBPQ T4'!E40)," ",'FBPQ T4'!AE40)</f>
        <v>160773</v>
      </c>
      <c r="I48" s="1322">
        <f t="shared" si="1"/>
        <v>0</v>
      </c>
      <c r="J48" s="32"/>
      <c r="K48" s="32"/>
      <c r="L48" s="48"/>
      <c r="M48" s="32"/>
      <c r="N48" s="43"/>
      <c r="O48" s="42"/>
    </row>
    <row r="49" spans="1:15">
      <c r="A49" s="26"/>
      <c r="B49" s="21"/>
      <c r="C49" s="22" t="s">
        <v>453</v>
      </c>
      <c r="D49" s="26" t="s">
        <v>428</v>
      </c>
      <c r="E49" s="1319">
        <f>IF(ISNUMBER('FBPQ C2'!K41),'FBPQ C2'!K41,IF(ISNUMBER('FBPQ C2'!I41),'FBPQ C2'!I41,""))</f>
        <v>0</v>
      </c>
      <c r="F49" s="1320" t="s">
        <v>781</v>
      </c>
      <c r="G49" s="1320">
        <f t="shared" si="0"/>
        <v>0</v>
      </c>
      <c r="H49" s="1321">
        <f>IF(ISBLANK('FBPQ T4'!E41)," ",'FBPQ T4'!AE41)</f>
        <v>0</v>
      </c>
      <c r="I49" s="1322">
        <f t="shared" si="1"/>
        <v>0</v>
      </c>
      <c r="J49" s="32"/>
      <c r="K49" s="32"/>
      <c r="L49" s="33"/>
      <c r="M49" s="32"/>
      <c r="N49" s="43"/>
      <c r="O49" s="44"/>
    </row>
    <row r="50" spans="1:15">
      <c r="A50" s="26"/>
      <c r="B50" s="21"/>
      <c r="C50" s="22"/>
      <c r="D50" s="26"/>
      <c r="E50" s="1319" t="str">
        <f>IF(ISNUMBER('FBPQ C2'!K42),'FBPQ C2'!K42,IF(ISNUMBER('FBPQ C2'!I42),'FBPQ C2'!I42,""))</f>
        <v/>
      </c>
      <c r="F50" s="1320" t="s">
        <v>781</v>
      </c>
      <c r="G50" s="1320" t="str">
        <f t="shared" si="0"/>
        <v>DATA</v>
      </c>
      <c r="H50" s="1321" t="str">
        <f>IF(ISBLANK('FBPQ T4'!E42)," ",'FBPQ T4'!AE42)</f>
        <v xml:space="preserve"> </v>
      </c>
      <c r="I50" s="1322" t="str">
        <f t="shared" si="1"/>
        <v xml:space="preserve"> </v>
      </c>
      <c r="J50" s="32"/>
      <c r="K50" s="32"/>
      <c r="L50" s="32"/>
      <c r="M50" s="32"/>
      <c r="N50" s="43"/>
      <c r="O50" s="44"/>
    </row>
    <row r="51" spans="1:15">
      <c r="A51" s="26"/>
      <c r="B51" s="21" t="s">
        <v>454</v>
      </c>
      <c r="C51" s="22"/>
      <c r="D51" s="26"/>
      <c r="E51" s="1319" t="str">
        <f>IF(ISNUMBER('FBPQ C2'!K43),'FBPQ C2'!K43,IF(ISNUMBER('FBPQ C2'!I43),'FBPQ C2'!I43,""))</f>
        <v/>
      </c>
      <c r="F51" s="1320"/>
      <c r="G51" s="1320">
        <f t="shared" si="0"/>
        <v>0</v>
      </c>
      <c r="H51" s="1321" t="str">
        <f>IF(ISBLANK('FBPQ T4'!E43)," ",'FBPQ T4'!AE43)</f>
        <v xml:space="preserve"> </v>
      </c>
      <c r="I51" s="1322" t="str">
        <f t="shared" si="1"/>
        <v xml:space="preserve"> </v>
      </c>
      <c r="J51" s="32"/>
      <c r="K51" s="32"/>
      <c r="L51" s="33"/>
      <c r="M51" s="32"/>
      <c r="N51" s="43"/>
      <c r="O51" s="42"/>
    </row>
    <row r="52" spans="1:15">
      <c r="A52" s="26"/>
      <c r="B52" s="21"/>
      <c r="C52" s="22" t="s">
        <v>455</v>
      </c>
      <c r="D52" s="26" t="s">
        <v>717</v>
      </c>
      <c r="E52" s="1319">
        <f>IF(ISNUMBER('FBPQ C2'!K44),'FBPQ C2'!K44,IF(ISNUMBER('FBPQ C2'!I44),'FBPQ C2'!I44,""))</f>
        <v>80.103933601223289</v>
      </c>
      <c r="F52" s="1320" t="s">
        <v>781</v>
      </c>
      <c r="G52" s="1320">
        <f t="shared" si="0"/>
        <v>80.103933601223289</v>
      </c>
      <c r="H52" s="1321">
        <f>IF(ISBLANK('FBPQ T4'!E44)," ",'FBPQ T4'!AE44)</f>
        <v>13673.9</v>
      </c>
      <c r="I52" s="1322">
        <f t="shared" si="1"/>
        <v>1095333.1776697671</v>
      </c>
      <c r="J52" s="32"/>
      <c r="K52" s="32"/>
      <c r="L52" s="33"/>
      <c r="M52" s="32"/>
      <c r="N52" s="43"/>
      <c r="O52" s="42"/>
    </row>
    <row r="53" spans="1:15">
      <c r="A53" s="26"/>
      <c r="B53" s="21"/>
      <c r="C53" s="22" t="s">
        <v>456</v>
      </c>
      <c r="D53" s="26" t="s">
        <v>717</v>
      </c>
      <c r="E53" s="1319">
        <f>IF(ISNUMBER('FBPQ C2'!K45),'FBPQ C2'!K45,IF(ISNUMBER('FBPQ C2'!I45),'FBPQ C2'!I45,""))</f>
        <v>0</v>
      </c>
      <c r="F53" s="1320" t="s">
        <v>781</v>
      </c>
      <c r="G53" s="1320">
        <f t="shared" si="0"/>
        <v>0</v>
      </c>
      <c r="H53" s="1321">
        <f>IF(ISBLANK('FBPQ T4'!E45)," ",'FBPQ T4'!AE45)</f>
        <v>0</v>
      </c>
      <c r="I53" s="1322">
        <f t="shared" si="1"/>
        <v>0</v>
      </c>
      <c r="J53" s="32"/>
      <c r="K53" s="32"/>
      <c r="L53" s="33"/>
      <c r="M53" s="32"/>
      <c r="N53" s="43"/>
      <c r="O53" s="44"/>
    </row>
    <row r="54" spans="1:15">
      <c r="A54" s="26"/>
      <c r="B54" s="21"/>
      <c r="C54" s="22"/>
      <c r="D54" s="26"/>
      <c r="E54" s="1319" t="str">
        <f>IF(ISNUMBER('FBPQ C2'!K46),'FBPQ C2'!K46,IF(ISNUMBER('FBPQ C2'!I46),'FBPQ C2'!I46,""))</f>
        <v/>
      </c>
      <c r="F54" s="1320"/>
      <c r="G54" s="1320">
        <f t="shared" si="0"/>
        <v>0</v>
      </c>
      <c r="H54" s="1321" t="str">
        <f>IF(ISBLANK('FBPQ T4'!E46)," ",'FBPQ T4'!AE46)</f>
        <v xml:space="preserve"> </v>
      </c>
      <c r="I54" s="1322" t="str">
        <f t="shared" si="1"/>
        <v xml:space="preserve"> </v>
      </c>
      <c r="J54" s="32"/>
      <c r="K54" s="32"/>
      <c r="L54" s="33"/>
      <c r="M54" s="32"/>
      <c r="N54" s="43"/>
      <c r="O54" s="44"/>
    </row>
    <row r="55" spans="1:15">
      <c r="A55" s="26"/>
      <c r="B55" s="21" t="s">
        <v>596</v>
      </c>
      <c r="C55" s="22"/>
      <c r="D55" s="26"/>
      <c r="E55" s="1319" t="str">
        <f>IF(ISNUMBER('FBPQ C2'!K47),'FBPQ C2'!K47,IF(ISNUMBER('FBPQ C2'!I47),'FBPQ C2'!I47,""))</f>
        <v/>
      </c>
      <c r="F55" s="1320"/>
      <c r="G55" s="1320">
        <f t="shared" si="0"/>
        <v>0</v>
      </c>
      <c r="H55" s="1321" t="str">
        <f>IF(ISBLANK('FBPQ T4'!E47)," ",'FBPQ T4'!AE47)</f>
        <v xml:space="preserve"> </v>
      </c>
      <c r="I55" s="1322" t="str">
        <f t="shared" si="1"/>
        <v xml:space="preserve"> </v>
      </c>
      <c r="J55" s="32"/>
      <c r="K55" s="32"/>
      <c r="L55" s="33"/>
      <c r="M55" s="32"/>
      <c r="N55" s="43"/>
      <c r="O55" s="42"/>
    </row>
    <row r="56" spans="1:15">
      <c r="A56" s="26"/>
      <c r="B56" s="21"/>
      <c r="C56" s="22" t="s">
        <v>597</v>
      </c>
      <c r="D56" s="26" t="s">
        <v>717</v>
      </c>
      <c r="E56" s="1319">
        <f>IF(ISNUMBER('FBPQ C2'!K48),'FBPQ C2'!K48,IF(ISNUMBER('FBPQ C2'!I48),'FBPQ C2'!I48,""))</f>
        <v>0</v>
      </c>
      <c r="F56" s="1320" t="s">
        <v>781</v>
      </c>
      <c r="G56" s="1320">
        <f t="shared" si="0"/>
        <v>0</v>
      </c>
      <c r="H56" s="1321">
        <f>IF(ISBLANK('FBPQ T4'!E48)," ",'FBPQ T4'!AE48)</f>
        <v>0</v>
      </c>
      <c r="I56" s="1322">
        <f t="shared" si="1"/>
        <v>0</v>
      </c>
      <c r="J56" s="32"/>
      <c r="K56" s="32"/>
      <c r="L56" s="33"/>
      <c r="M56" s="32"/>
      <c r="N56" s="43"/>
      <c r="O56" s="44"/>
    </row>
    <row r="57" spans="1:15">
      <c r="A57" s="26"/>
      <c r="B57" s="21"/>
      <c r="C57" s="22"/>
      <c r="D57" s="26"/>
      <c r="E57" s="1319" t="str">
        <f>IF(ISNUMBER('FBPQ C2'!K49),'FBPQ C2'!K49,IF(ISNUMBER('FBPQ C2'!I49),'FBPQ C2'!I49,""))</f>
        <v/>
      </c>
      <c r="F57" s="1320" t="s">
        <v>781</v>
      </c>
      <c r="G57" s="1320" t="str">
        <f t="shared" si="0"/>
        <v>DATA</v>
      </c>
      <c r="H57" s="1321" t="str">
        <f>IF(ISBLANK('FBPQ T4'!E49)," ",'FBPQ T4'!AE49)</f>
        <v xml:space="preserve"> </v>
      </c>
      <c r="I57" s="1322" t="str">
        <f t="shared" si="1"/>
        <v xml:space="preserve"> </v>
      </c>
      <c r="J57" s="32"/>
      <c r="K57" s="32"/>
      <c r="L57" s="33"/>
      <c r="M57" s="32"/>
      <c r="N57" s="43"/>
      <c r="O57" s="44"/>
    </row>
    <row r="58" spans="1:15">
      <c r="A58" s="26"/>
      <c r="B58" s="21" t="s">
        <v>319</v>
      </c>
      <c r="C58" s="22"/>
      <c r="D58" s="26"/>
      <c r="E58" s="1319" t="str">
        <f>IF(ISNUMBER('FBPQ C2'!K50),'FBPQ C2'!K50,IF(ISNUMBER('FBPQ C2'!I50),'FBPQ C2'!I50,""))</f>
        <v/>
      </c>
      <c r="F58" s="1320"/>
      <c r="G58" s="1320">
        <f t="shared" si="0"/>
        <v>0</v>
      </c>
      <c r="H58" s="1321" t="str">
        <f>IF(ISBLANK('FBPQ T4'!E50)," ",'FBPQ T4'!AE50)</f>
        <v xml:space="preserve"> </v>
      </c>
      <c r="I58" s="1322" t="str">
        <f t="shared" si="1"/>
        <v xml:space="preserve"> </v>
      </c>
      <c r="J58" s="32"/>
      <c r="K58" s="32"/>
      <c r="L58" s="33"/>
      <c r="M58" s="32"/>
      <c r="N58" s="43"/>
      <c r="O58" s="42"/>
    </row>
    <row r="59" spans="1:15">
      <c r="A59" s="26"/>
      <c r="B59" s="21"/>
      <c r="C59" s="1324" t="s">
        <v>598</v>
      </c>
      <c r="D59" s="26" t="s">
        <v>428</v>
      </c>
      <c r="E59" s="1319">
        <f>IF(ISNUMBER('FBPQ C2'!K51),'FBPQ C2'!K51,IF(ISNUMBER('FBPQ C2'!I51),'FBPQ C2'!I51,""))</f>
        <v>13.250274731029416</v>
      </c>
      <c r="F59" s="1320" t="s">
        <v>781</v>
      </c>
      <c r="G59" s="1320">
        <f t="shared" si="0"/>
        <v>13.250274731029416</v>
      </c>
      <c r="H59" s="1321">
        <f>IF(ISBLANK('FBPQ T4'!E51)," ",'FBPQ T4'!AE51)</f>
        <v>1227</v>
      </c>
      <c r="I59" s="1322">
        <f t="shared" si="1"/>
        <v>16258.087094973092</v>
      </c>
      <c r="J59" s="32"/>
      <c r="K59" s="32"/>
      <c r="L59" s="33"/>
      <c r="M59" s="32"/>
      <c r="N59" s="43"/>
      <c r="O59" s="42"/>
    </row>
    <row r="60" spans="1:15">
      <c r="A60" s="26"/>
      <c r="B60" s="21"/>
      <c r="C60" s="1324" t="s">
        <v>608</v>
      </c>
      <c r="D60" s="26" t="s">
        <v>428</v>
      </c>
      <c r="E60" s="1319">
        <f>IF(ISNUMBER('FBPQ C2'!K52),'FBPQ C2'!K52,IF(ISNUMBER('FBPQ C2'!I52),'FBPQ C2'!I52,""))</f>
        <v>29.271061451274075</v>
      </c>
      <c r="F60" s="1320" t="s">
        <v>781</v>
      </c>
      <c r="G60" s="1320">
        <f t="shared" si="0"/>
        <v>29.271061451274075</v>
      </c>
      <c r="H60" s="1321">
        <f>IF(ISBLANK('FBPQ T4'!E52)," ",'FBPQ T4'!AE52)</f>
        <v>7868</v>
      </c>
      <c r="I60" s="1322">
        <f t="shared" si="1"/>
        <v>230304.71149862441</v>
      </c>
      <c r="J60" s="32"/>
      <c r="K60" s="32"/>
      <c r="L60" s="33"/>
      <c r="M60" s="32"/>
      <c r="N60" s="43"/>
      <c r="O60" s="42"/>
    </row>
    <row r="61" spans="1:15">
      <c r="A61" s="26"/>
      <c r="B61" s="21"/>
      <c r="C61" s="1324" t="s">
        <v>609</v>
      </c>
      <c r="D61" s="26" t="s">
        <v>428</v>
      </c>
      <c r="E61" s="1319">
        <f>IF(ISNUMBER('FBPQ C2'!K53),'FBPQ C2'!K53,IF(ISNUMBER('FBPQ C2'!I53),'FBPQ C2'!I53,""))</f>
        <v>1.5659415591216583</v>
      </c>
      <c r="F61" s="1320" t="s">
        <v>781</v>
      </c>
      <c r="G61" s="1320">
        <f t="shared" si="0"/>
        <v>1.5659415591216583</v>
      </c>
      <c r="H61" s="1321">
        <f>IF(ISBLANK('FBPQ T4'!E53)," ",'FBPQ T4'!AE53)</f>
        <v>387</v>
      </c>
      <c r="I61" s="1322">
        <f t="shared" si="1"/>
        <v>606.01938338008176</v>
      </c>
      <c r="J61" s="32"/>
      <c r="K61" s="32"/>
      <c r="L61" s="33"/>
      <c r="M61" s="32"/>
      <c r="N61" s="43"/>
      <c r="O61" s="42"/>
    </row>
    <row r="62" spans="1:15">
      <c r="A62" s="26"/>
      <c r="B62" s="21"/>
      <c r="C62" s="1324" t="s">
        <v>610</v>
      </c>
      <c r="D62" s="26" t="s">
        <v>428</v>
      </c>
      <c r="E62" s="1319">
        <f>IF(ISNUMBER('FBPQ C2'!K54),'FBPQ C2'!K54,IF(ISNUMBER('FBPQ C2'!I54),'FBPQ C2'!I54,""))</f>
        <v>4.9387387633836912</v>
      </c>
      <c r="F62" s="1320" t="s">
        <v>781</v>
      </c>
      <c r="G62" s="1320">
        <f t="shared" si="0"/>
        <v>4.9387387633836912</v>
      </c>
      <c r="H62" s="1321">
        <f>IF(ISBLANK('FBPQ T4'!E54)," ",'FBPQ T4'!AE54)</f>
        <v>10608</v>
      </c>
      <c r="I62" s="1322">
        <f t="shared" si="1"/>
        <v>52390.140801974194</v>
      </c>
      <c r="J62" s="32"/>
      <c r="K62" s="32"/>
      <c r="L62" s="33"/>
      <c r="M62" s="32"/>
      <c r="N62" s="43"/>
      <c r="O62" s="42"/>
    </row>
    <row r="63" spans="1:15">
      <c r="A63" s="26"/>
      <c r="B63" s="21"/>
      <c r="C63" s="1324" t="s">
        <v>467</v>
      </c>
      <c r="D63" s="26" t="s">
        <v>428</v>
      </c>
      <c r="E63" s="1319">
        <f>IF(ISNUMBER('FBPQ C2'!K55),'FBPQ C2'!K55,IF(ISNUMBER('FBPQ C2'!I55),'FBPQ C2'!I55,""))</f>
        <v>15.538958548207226</v>
      </c>
      <c r="F63" s="1320" t="s">
        <v>781</v>
      </c>
      <c r="G63" s="1320">
        <f t="shared" si="0"/>
        <v>15.538958548207226</v>
      </c>
      <c r="H63" s="1321">
        <f>IF(ISBLANK('FBPQ T4'!E55)," ",'FBPQ T4'!AE55)</f>
        <v>17327</v>
      </c>
      <c r="I63" s="1322">
        <f t="shared" si="1"/>
        <v>269243.5347647866</v>
      </c>
      <c r="J63" s="32"/>
      <c r="K63" s="32"/>
      <c r="L63" s="33"/>
      <c r="M63" s="32"/>
      <c r="N63" s="43"/>
      <c r="O63" s="45"/>
    </row>
    <row r="64" spans="1:15">
      <c r="A64" s="26"/>
      <c r="B64" s="21"/>
      <c r="C64" s="22" t="s">
        <v>468</v>
      </c>
      <c r="D64" s="26" t="s">
        <v>428</v>
      </c>
      <c r="E64" s="1323">
        <f>E61</f>
        <v>1.5659415591216583</v>
      </c>
      <c r="F64" s="1320" t="s">
        <v>781</v>
      </c>
      <c r="G64" s="1320">
        <f t="shared" si="0"/>
        <v>1.5659415591216583</v>
      </c>
      <c r="H64" s="1321">
        <f>IF(ISBLANK('FBPQ T4'!E56)," ",'FBPQ T4'!AE56)</f>
        <v>11757</v>
      </c>
      <c r="I64" s="1322">
        <f t="shared" si="1"/>
        <v>18410.774910593336</v>
      </c>
      <c r="J64" s="32"/>
      <c r="K64" s="32"/>
      <c r="L64" s="33"/>
      <c r="M64" s="32"/>
      <c r="N64" s="43"/>
      <c r="O64" s="45"/>
    </row>
    <row r="65" spans="1:15">
      <c r="A65" s="26"/>
      <c r="B65" s="21"/>
      <c r="C65" s="22" t="s">
        <v>600</v>
      </c>
      <c r="D65" s="26" t="s">
        <v>428</v>
      </c>
      <c r="E65" s="1319" t="str">
        <f>IF(ISNUMBER('FBPQ C2'!K57),'FBPQ C2'!K57,IF(ISNUMBER('FBPQ C2'!I57),'FBPQ C2'!I57,""))</f>
        <v/>
      </c>
      <c r="F65" s="1320" t="s">
        <v>781</v>
      </c>
      <c r="G65" s="1320" t="str">
        <f t="shared" si="0"/>
        <v xml:space="preserve"> </v>
      </c>
      <c r="H65" s="1321">
        <f>IF(ISBLANK('FBPQ T4'!E57)," ",'FBPQ T4'!AE57)</f>
        <v>0</v>
      </c>
      <c r="I65" s="1322" t="str">
        <f t="shared" si="1"/>
        <v xml:space="preserve"> </v>
      </c>
      <c r="J65" s="32"/>
      <c r="K65" s="32"/>
      <c r="L65" s="33"/>
      <c r="M65" s="32"/>
      <c r="N65" s="43"/>
      <c r="O65" s="42"/>
    </row>
    <row r="66" spans="1:15">
      <c r="A66" s="26"/>
      <c r="B66" s="21"/>
      <c r="C66" s="22" t="s">
        <v>345</v>
      </c>
      <c r="D66" s="26" t="s">
        <v>428</v>
      </c>
      <c r="E66" s="1319">
        <f>IF(ISNUMBER('FBPQ C2'!K58),'FBPQ C2'!K58,IF(ISNUMBER('FBPQ C2'!I58),'FBPQ C2'!I58,""))</f>
        <v>0</v>
      </c>
      <c r="F66" s="1320" t="s">
        <v>781</v>
      </c>
      <c r="G66" s="1320">
        <f t="shared" si="0"/>
        <v>0</v>
      </c>
      <c r="H66" s="1321">
        <f>IF(ISBLANK('FBPQ T4'!E58)," ",'FBPQ T4'!AE58)</f>
        <v>0</v>
      </c>
      <c r="I66" s="1322">
        <f t="shared" si="1"/>
        <v>0</v>
      </c>
      <c r="J66" s="32"/>
      <c r="K66" s="32"/>
      <c r="L66" s="32"/>
      <c r="M66" s="32"/>
      <c r="N66" s="43"/>
      <c r="O66" s="42"/>
    </row>
    <row r="67" spans="1:15">
      <c r="A67" s="26"/>
      <c r="B67" s="21"/>
      <c r="C67" s="22" t="s">
        <v>215</v>
      </c>
      <c r="D67" s="26" t="s">
        <v>428</v>
      </c>
      <c r="E67" s="1319">
        <f>IF(ISNUMBER('FBPQ C2'!K59),'FBPQ C2'!K59,IF(ISNUMBER('FBPQ C2'!I59),'FBPQ C2'!I59,""))</f>
        <v>0</v>
      </c>
      <c r="F67" s="1320" t="s">
        <v>781</v>
      </c>
      <c r="G67" s="1320">
        <f t="shared" si="0"/>
        <v>0</v>
      </c>
      <c r="H67" s="1321">
        <f>IF(ISBLANK('FBPQ T4'!E59)," ",'FBPQ T4'!AE59)</f>
        <v>0</v>
      </c>
      <c r="I67" s="1322">
        <f t="shared" si="1"/>
        <v>0</v>
      </c>
      <c r="J67" s="32"/>
      <c r="K67" s="32"/>
      <c r="L67" s="32"/>
      <c r="M67" s="32"/>
      <c r="N67" s="43"/>
      <c r="O67" s="42"/>
    </row>
    <row r="68" spans="1:15">
      <c r="A68" s="26"/>
      <c r="B68" s="21"/>
      <c r="C68" s="22" t="s">
        <v>216</v>
      </c>
      <c r="D68" s="26" t="s">
        <v>428</v>
      </c>
      <c r="E68" s="1319">
        <f>IF(ISNUMBER('FBPQ C2'!K60),'FBPQ C2'!K60,IF(ISNUMBER('FBPQ C2'!I60),'FBPQ C2'!I60,""))</f>
        <v>0</v>
      </c>
      <c r="F68" s="1320" t="s">
        <v>781</v>
      </c>
      <c r="G68" s="1320">
        <f t="shared" si="0"/>
        <v>0</v>
      </c>
      <c r="H68" s="1321">
        <f>IF(ISBLANK('FBPQ T4'!E60)," ",'FBPQ T4'!AE60)</f>
        <v>0</v>
      </c>
      <c r="I68" s="1322">
        <f t="shared" si="1"/>
        <v>0</v>
      </c>
      <c r="J68" s="32"/>
      <c r="K68" s="32"/>
      <c r="L68" s="33"/>
      <c r="M68" s="32"/>
      <c r="N68" s="43"/>
      <c r="O68" s="42"/>
    </row>
    <row r="69" spans="1:15">
      <c r="A69" s="26"/>
      <c r="B69" s="21"/>
      <c r="C69" s="22" t="s">
        <v>217</v>
      </c>
      <c r="D69" s="26" t="s">
        <v>428</v>
      </c>
      <c r="E69" s="1319">
        <f>IF(ISNUMBER('FBPQ C2'!K61),'FBPQ C2'!K61,IF(ISNUMBER('FBPQ C2'!I61),'FBPQ C2'!I61,""))</f>
        <v>0</v>
      </c>
      <c r="F69" s="1320" t="s">
        <v>781</v>
      </c>
      <c r="G69" s="1320">
        <f t="shared" si="0"/>
        <v>0</v>
      </c>
      <c r="H69" s="1321">
        <f>IF(ISBLANK('FBPQ T4'!E61)," ",'FBPQ T4'!AE61)</f>
        <v>0</v>
      </c>
      <c r="I69" s="1322">
        <f t="shared" si="1"/>
        <v>0</v>
      </c>
      <c r="J69" s="32"/>
      <c r="K69" s="32"/>
      <c r="L69" s="33"/>
      <c r="M69" s="32"/>
      <c r="N69" s="43"/>
      <c r="O69" s="42"/>
    </row>
    <row r="70" spans="1:15">
      <c r="A70" s="26"/>
      <c r="B70" s="21"/>
      <c r="C70" s="22" t="s">
        <v>220</v>
      </c>
      <c r="D70" s="26" t="s">
        <v>428</v>
      </c>
      <c r="E70" s="1319">
        <f>IF(ISNUMBER('FBPQ C2'!K62),'FBPQ C2'!K62,IF(ISNUMBER('FBPQ C2'!I62),'FBPQ C2'!I62,""))</f>
        <v>0</v>
      </c>
      <c r="F70" s="1320" t="s">
        <v>781</v>
      </c>
      <c r="G70" s="1320">
        <f t="shared" si="0"/>
        <v>0</v>
      </c>
      <c r="H70" s="1321">
        <f>IF(ISBLANK('FBPQ T4'!E62)," ",'FBPQ T4'!AE62)</f>
        <v>0</v>
      </c>
      <c r="I70" s="1322">
        <f t="shared" si="1"/>
        <v>0</v>
      </c>
      <c r="J70" s="32"/>
      <c r="K70" s="32"/>
      <c r="L70" s="33"/>
      <c r="M70" s="32"/>
      <c r="N70" s="43"/>
      <c r="O70" s="45"/>
    </row>
    <row r="71" spans="1:15">
      <c r="A71" s="26"/>
      <c r="B71" s="21"/>
      <c r="C71" s="22" t="s">
        <v>348</v>
      </c>
      <c r="D71" s="26" t="s">
        <v>428</v>
      </c>
      <c r="E71" s="1319" t="str">
        <f>IF(ISNUMBER('FBPQ C2'!K63),'FBPQ C2'!K63,IF(ISNUMBER('FBPQ C2'!I63),'FBPQ C2'!I63,""))</f>
        <v/>
      </c>
      <c r="F71" s="1320" t="s">
        <v>781</v>
      </c>
      <c r="G71" s="1320" t="str">
        <f t="shared" si="0"/>
        <v xml:space="preserve"> </v>
      </c>
      <c r="H71" s="1321">
        <f>IF(ISBLANK('FBPQ T4'!E63)," ",'FBPQ T4'!AE63)</f>
        <v>0</v>
      </c>
      <c r="I71" s="1322" t="str">
        <f t="shared" si="1"/>
        <v xml:space="preserve"> </v>
      </c>
      <c r="J71" s="32"/>
      <c r="K71" s="32"/>
      <c r="L71" s="33"/>
      <c r="M71" s="32"/>
      <c r="N71" s="43"/>
      <c r="O71" s="45"/>
    </row>
    <row r="72" spans="1:15">
      <c r="A72" s="26"/>
      <c r="B72" s="21"/>
      <c r="C72" s="22" t="s">
        <v>225</v>
      </c>
      <c r="D72" s="26" t="s">
        <v>428</v>
      </c>
      <c r="E72" s="1319" t="str">
        <f>IF(ISNUMBER('FBPQ C2'!K64),'FBPQ C2'!K64,IF(ISNUMBER('FBPQ C2'!I64),'FBPQ C2'!I64,""))</f>
        <v/>
      </c>
      <c r="F72" s="1320" t="s">
        <v>781</v>
      </c>
      <c r="G72" s="1320" t="str">
        <f t="shared" si="0"/>
        <v xml:space="preserve"> </v>
      </c>
      <c r="H72" s="1321">
        <f>IF(ISBLANK('FBPQ T4'!E64)," ",'FBPQ T4'!AE64)</f>
        <v>0</v>
      </c>
      <c r="I72" s="1322" t="str">
        <f t="shared" si="1"/>
        <v xml:space="preserve"> </v>
      </c>
      <c r="J72" s="32"/>
      <c r="K72" s="32"/>
      <c r="L72" s="33"/>
      <c r="M72" s="32"/>
      <c r="N72" s="43"/>
      <c r="O72" s="44"/>
    </row>
    <row r="73" spans="1:15">
      <c r="A73" s="26"/>
      <c r="B73" s="21"/>
      <c r="C73" s="22"/>
      <c r="D73" s="26"/>
      <c r="E73" s="1319" t="str">
        <f>IF(ISNUMBER('FBPQ C2'!K65),'FBPQ C2'!K65,IF(ISNUMBER('FBPQ C2'!I65),'FBPQ C2'!I65,""))</f>
        <v/>
      </c>
      <c r="F73" s="1320"/>
      <c r="G73" s="1320">
        <f t="shared" si="0"/>
        <v>0</v>
      </c>
      <c r="H73" s="1321" t="str">
        <f>IF(ISBLANK('FBPQ T4'!E65)," ",'FBPQ T4'!AE65)</f>
        <v xml:space="preserve"> </v>
      </c>
      <c r="I73" s="1322" t="str">
        <f t="shared" si="1"/>
        <v xml:space="preserve"> </v>
      </c>
      <c r="J73" s="32"/>
      <c r="K73" s="32"/>
      <c r="L73" s="33"/>
      <c r="M73" s="32"/>
      <c r="N73" s="43"/>
      <c r="O73" s="44"/>
    </row>
    <row r="74" spans="1:15">
      <c r="A74" s="26"/>
      <c r="B74" s="21" t="s">
        <v>226</v>
      </c>
      <c r="C74" s="22"/>
      <c r="D74" s="26"/>
      <c r="E74" s="1319" t="str">
        <f>IF(ISNUMBER('FBPQ C2'!K66),'FBPQ C2'!K66,IF(ISNUMBER('FBPQ C2'!I66),'FBPQ C2'!I66,""))</f>
        <v/>
      </c>
      <c r="F74" s="1320"/>
      <c r="G74" s="1320">
        <f t="shared" si="0"/>
        <v>0</v>
      </c>
      <c r="H74" s="1321" t="str">
        <f>IF(ISBLANK('FBPQ T4'!E66)," ",'FBPQ T4'!AE66)</f>
        <v xml:space="preserve"> </v>
      </c>
      <c r="I74" s="1322" t="str">
        <f t="shared" si="1"/>
        <v xml:space="preserve"> </v>
      </c>
      <c r="J74" s="32"/>
      <c r="K74" s="32"/>
      <c r="L74" s="33"/>
      <c r="M74" s="32"/>
      <c r="N74" s="43"/>
      <c r="O74" s="42"/>
    </row>
    <row r="75" spans="1:15">
      <c r="A75" s="26"/>
      <c r="B75" s="21"/>
      <c r="C75" s="22" t="s">
        <v>227</v>
      </c>
      <c r="D75" s="26" t="s">
        <v>428</v>
      </c>
      <c r="E75" s="1319">
        <f>IF(ISNUMBER('FBPQ C2'!K67),'FBPQ C2'!K67,IF(ISNUMBER('FBPQ C2'!I67),'FBPQ C2'!I67,""))</f>
        <v>3.4932542472713912</v>
      </c>
      <c r="F75" s="1320" t="s">
        <v>781</v>
      </c>
      <c r="G75" s="1320">
        <f t="shared" si="0"/>
        <v>3.4932542472713912</v>
      </c>
      <c r="H75" s="1321">
        <f>IF(ISBLANK('FBPQ T4'!E67)," ",'FBPQ T4'!AE67)</f>
        <v>22854</v>
      </c>
      <c r="I75" s="1322">
        <f t="shared" si="1"/>
        <v>79834.832567140373</v>
      </c>
      <c r="J75" s="32"/>
      <c r="K75" s="32"/>
      <c r="L75" s="33"/>
      <c r="M75" s="32"/>
      <c r="N75" s="43"/>
      <c r="O75" s="42"/>
    </row>
    <row r="76" spans="1:15">
      <c r="A76" s="26"/>
      <c r="B76" s="21"/>
      <c r="C76" s="22" t="s">
        <v>228</v>
      </c>
      <c r="D76" s="26" t="s">
        <v>428</v>
      </c>
      <c r="E76" s="1319">
        <f>IF(ISNUMBER('FBPQ C2'!K68),'FBPQ C2'!K68,IF(ISNUMBER('FBPQ C2'!I68),'FBPQ C2'!I68,""))</f>
        <v>11.322962042879682</v>
      </c>
      <c r="F76" s="1320" t="s">
        <v>781</v>
      </c>
      <c r="G76" s="1320">
        <f t="shared" si="0"/>
        <v>11.322962042879682</v>
      </c>
      <c r="H76" s="1321">
        <f>IF(ISBLANK('FBPQ T4'!E68)," ",'FBPQ T4'!AE68)</f>
        <v>19308</v>
      </c>
      <c r="I76" s="1322">
        <f t="shared" si="1"/>
        <v>218623.7511239209</v>
      </c>
      <c r="J76" s="32"/>
      <c r="K76" s="32"/>
      <c r="L76" s="33"/>
      <c r="M76" s="32"/>
      <c r="N76" s="43"/>
      <c r="O76" s="42"/>
    </row>
    <row r="77" spans="1:15">
      <c r="A77" s="26"/>
      <c r="B77" s="21"/>
      <c r="C77" s="22" t="s">
        <v>229</v>
      </c>
      <c r="D77" s="26" t="s">
        <v>428</v>
      </c>
      <c r="E77" s="1319">
        <f>IF(ISNUMBER('FBPQ C2'!K69),'FBPQ C2'!K69,IF(ISNUMBER('FBPQ C2'!I69),'FBPQ C2'!I69,""))</f>
        <v>0</v>
      </c>
      <c r="F77" s="1320" t="s">
        <v>781</v>
      </c>
      <c r="G77" s="1320">
        <f t="shared" si="0"/>
        <v>0</v>
      </c>
      <c r="H77" s="1321">
        <f>IF(ISBLANK('FBPQ T4'!E69)," ",'FBPQ T4'!AE69)</f>
        <v>0</v>
      </c>
      <c r="I77" s="1322">
        <f t="shared" si="1"/>
        <v>0</v>
      </c>
      <c r="J77" s="32"/>
      <c r="K77" s="32"/>
      <c r="L77" s="33"/>
      <c r="M77" s="32"/>
      <c r="N77" s="43"/>
      <c r="O77" s="42"/>
    </row>
    <row r="78" spans="1:15">
      <c r="A78" s="26"/>
      <c r="B78" s="21"/>
      <c r="C78" s="22" t="s">
        <v>230</v>
      </c>
      <c r="D78" s="26" t="s">
        <v>428</v>
      </c>
      <c r="E78" s="1319">
        <f>IF(ISNUMBER('FBPQ C2'!K70),'FBPQ C2'!K70,IF(ISNUMBER('FBPQ C2'!I70),'FBPQ C2'!I70,""))</f>
        <v>0</v>
      </c>
      <c r="F78" s="1320" t="s">
        <v>781</v>
      </c>
      <c r="G78" s="1320">
        <f t="shared" si="0"/>
        <v>0</v>
      </c>
      <c r="H78" s="1321">
        <f>IF(ISBLANK('FBPQ T4'!E70)," ",'FBPQ T4'!AE70)</f>
        <v>0</v>
      </c>
      <c r="I78" s="1322">
        <f t="shared" si="1"/>
        <v>0</v>
      </c>
      <c r="J78" s="32"/>
      <c r="K78" s="32"/>
      <c r="L78" s="33"/>
      <c r="M78" s="32"/>
      <c r="N78" s="43"/>
      <c r="O78" s="44"/>
    </row>
    <row r="79" spans="1:15">
      <c r="A79" s="26"/>
      <c r="B79" s="21"/>
      <c r="C79" s="22"/>
      <c r="D79" s="26"/>
      <c r="E79" s="1319" t="str">
        <f>IF(ISNUMBER('FBPQ C2'!K71),'FBPQ C2'!K71,IF(ISNUMBER('FBPQ C2'!I71),'FBPQ C2'!I71,""))</f>
        <v/>
      </c>
      <c r="F79" s="1320"/>
      <c r="G79" s="1320">
        <f t="shared" si="0"/>
        <v>0</v>
      </c>
      <c r="H79" s="1321" t="str">
        <f>IF(ISBLANK('FBPQ T4'!E71)," ",'FBPQ T4'!AE71)</f>
        <v xml:space="preserve"> </v>
      </c>
      <c r="I79" s="1322" t="str">
        <f t="shared" si="1"/>
        <v xml:space="preserve"> </v>
      </c>
      <c r="J79" s="46"/>
      <c r="K79" s="46"/>
      <c r="L79" s="46"/>
      <c r="M79" s="46"/>
      <c r="N79" s="47"/>
      <c r="O79" s="44"/>
    </row>
    <row r="80" spans="1:15">
      <c r="A80" s="26" t="s">
        <v>244</v>
      </c>
      <c r="B80" s="21"/>
      <c r="C80" s="22"/>
      <c r="D80" s="26"/>
      <c r="E80" s="1319" t="str">
        <f>IF(ISNUMBER('FBPQ C2'!K72),'FBPQ C2'!K72,IF(ISNUMBER('FBPQ C2'!I72),'FBPQ C2'!I72,""))</f>
        <v/>
      </c>
      <c r="F80" s="1320"/>
      <c r="G80" s="1320">
        <f t="shared" si="0"/>
        <v>0</v>
      </c>
      <c r="H80" s="1321" t="str">
        <f>IF(ISBLANK('FBPQ T4'!E72)," ",'FBPQ T4'!AE72)</f>
        <v xml:space="preserve"> </v>
      </c>
      <c r="I80" s="1322" t="str">
        <f t="shared" si="1"/>
        <v xml:space="preserve"> </v>
      </c>
      <c r="J80" s="32"/>
      <c r="K80" s="31"/>
      <c r="L80" s="31"/>
      <c r="M80" s="48"/>
      <c r="N80" s="43"/>
      <c r="O80" s="44"/>
    </row>
    <row r="81" spans="1:15">
      <c r="A81" s="26"/>
      <c r="B81" s="21" t="s">
        <v>788</v>
      </c>
      <c r="C81" s="22"/>
      <c r="D81" s="26"/>
      <c r="E81" s="1319" t="str">
        <f>IF(ISNUMBER('FBPQ C2'!K73),'FBPQ C2'!K73,IF(ISNUMBER('FBPQ C2'!I73),'FBPQ C2'!I73,""))</f>
        <v/>
      </c>
      <c r="F81" s="1320"/>
      <c r="G81" s="1320">
        <f t="shared" si="0"/>
        <v>0</v>
      </c>
      <c r="H81" s="1321" t="str">
        <f>IF(ISBLANK('FBPQ T4'!E73)," ",'FBPQ T4'!AE73)</f>
        <v xml:space="preserve"> </v>
      </c>
      <c r="I81" s="1322" t="str">
        <f t="shared" si="1"/>
        <v xml:space="preserve"> </v>
      </c>
      <c r="J81" s="32"/>
      <c r="K81" s="32"/>
      <c r="L81" s="33"/>
      <c r="M81" s="32"/>
      <c r="N81" s="43"/>
      <c r="O81" s="42"/>
    </row>
    <row r="82" spans="1:15">
      <c r="A82" s="26"/>
      <c r="B82" s="21"/>
      <c r="C82" s="22" t="s">
        <v>245</v>
      </c>
      <c r="D82" s="26" t="s">
        <v>717</v>
      </c>
      <c r="E82" s="1319">
        <f>IF(ISNUMBER('FBPQ C2'!K74),'FBPQ C2'!K74,IF(ISNUMBER('FBPQ C2'!I74),'FBPQ C2'!I74,""))</f>
        <v>93.233751289243358</v>
      </c>
      <c r="F82" s="1320" t="s">
        <v>781</v>
      </c>
      <c r="G82" s="1320">
        <f t="shared" si="0"/>
        <v>93.233751289243358</v>
      </c>
      <c r="H82" s="1321">
        <f>IF(ISBLANK('FBPQ T4'!E74)," ",'FBPQ T4'!AE74)</f>
        <v>1753.5</v>
      </c>
      <c r="I82" s="1322">
        <f t="shared" si="1"/>
        <v>163485.38288568822</v>
      </c>
      <c r="J82" s="32"/>
      <c r="K82" s="32"/>
      <c r="L82" s="32"/>
      <c r="M82" s="32"/>
      <c r="N82" s="43"/>
      <c r="O82" s="42"/>
    </row>
    <row r="83" spans="1:15">
      <c r="A83" s="26"/>
      <c r="B83" s="21"/>
      <c r="C83" s="22" t="s">
        <v>246</v>
      </c>
      <c r="D83" s="26" t="s">
        <v>717</v>
      </c>
      <c r="E83" s="1319">
        <f>IF(ISNUMBER('FBPQ C2'!K75),'FBPQ C2'!K75,IF(ISNUMBER('FBPQ C2'!I75),'FBPQ C2'!I75,""))</f>
        <v>148.5235340305388</v>
      </c>
      <c r="F83" s="1320" t="s">
        <v>781</v>
      </c>
      <c r="G83" s="1320">
        <f t="shared" si="0"/>
        <v>148.5235340305388</v>
      </c>
      <c r="H83" s="1321">
        <f>IF(ISBLANK('FBPQ T4'!E75)," ",'FBPQ T4'!AE75)</f>
        <v>933</v>
      </c>
      <c r="I83" s="1322">
        <f t="shared" si="1"/>
        <v>138572.45725049271</v>
      </c>
      <c r="J83" s="32"/>
      <c r="K83" s="32"/>
      <c r="L83" s="33"/>
      <c r="M83" s="32"/>
      <c r="N83" s="43"/>
      <c r="O83" s="42"/>
    </row>
    <row r="84" spans="1:15">
      <c r="A84" s="26"/>
      <c r="B84" s="21"/>
      <c r="C84" s="22" t="s">
        <v>247</v>
      </c>
      <c r="D84" s="26" t="s">
        <v>717</v>
      </c>
      <c r="E84" s="1319">
        <f>IF(ISNUMBER('FBPQ C2'!K76),'FBPQ C2'!K76,IF(ISNUMBER('FBPQ C2'!I76),'FBPQ C2'!I76,""))</f>
        <v>175.86728279366315</v>
      </c>
      <c r="F84" s="1320" t="s">
        <v>781</v>
      </c>
      <c r="G84" s="1320">
        <f t="shared" ref="G84:G147" si="2">IF(ISNUMBER(E84),E84,IF(H84&gt;0,F84," "))</f>
        <v>175.86728279366315</v>
      </c>
      <c r="H84" s="1321">
        <f>IF(ISBLANK('FBPQ T4'!E76)," ",'FBPQ T4'!AE76)</f>
        <v>0</v>
      </c>
      <c r="I84" s="1322">
        <f t="shared" si="1"/>
        <v>0</v>
      </c>
      <c r="J84" s="32"/>
      <c r="K84" s="32"/>
      <c r="L84" s="33"/>
      <c r="M84" s="32"/>
      <c r="N84" s="43"/>
      <c r="O84" s="42"/>
    </row>
    <row r="85" spans="1:15">
      <c r="A85" s="26"/>
      <c r="B85" s="21"/>
      <c r="C85" s="22" t="s">
        <v>248</v>
      </c>
      <c r="D85" s="26" t="s">
        <v>717</v>
      </c>
      <c r="E85" s="1319">
        <f>IF(ISNUMBER('FBPQ C2'!K77),'FBPQ C2'!K77,IF(ISNUMBER('FBPQ C2'!I77),'FBPQ C2'!I77,""))</f>
        <v>175.86728279366315</v>
      </c>
      <c r="F85" s="1320" t="s">
        <v>781</v>
      </c>
      <c r="G85" s="1320">
        <f t="shared" si="2"/>
        <v>175.86728279366315</v>
      </c>
      <c r="H85" s="1321">
        <f>IF(ISBLANK('FBPQ T4'!E77)," ",'FBPQ T4'!AE77)</f>
        <v>0</v>
      </c>
      <c r="I85" s="1322">
        <f t="shared" ref="I85:I148" si="3">IF(ISERROR(G85*H85)," ",G85*H85)</f>
        <v>0</v>
      </c>
      <c r="J85" s="32"/>
      <c r="K85" s="32"/>
      <c r="L85" s="33"/>
      <c r="M85" s="32"/>
      <c r="N85" s="43"/>
      <c r="O85" s="44"/>
    </row>
    <row r="86" spans="1:15">
      <c r="A86" s="26"/>
      <c r="B86" s="21"/>
      <c r="C86" s="22"/>
      <c r="D86" s="26"/>
      <c r="E86" s="1319" t="str">
        <f>IF(ISNUMBER('FBPQ C2'!K78),'FBPQ C2'!K78,IF(ISNUMBER('FBPQ C2'!I78),'FBPQ C2'!I78,""))</f>
        <v/>
      </c>
      <c r="F86" s="1320"/>
      <c r="G86" s="1320">
        <f t="shared" si="2"/>
        <v>0</v>
      </c>
      <c r="H86" s="1321" t="str">
        <f>IF(ISBLANK('FBPQ T4'!E78)," ",'FBPQ T4'!AE78)</f>
        <v xml:space="preserve"> </v>
      </c>
      <c r="I86" s="1322" t="str">
        <f t="shared" si="3"/>
        <v xml:space="preserve"> </v>
      </c>
      <c r="J86" s="32"/>
      <c r="K86" s="32"/>
      <c r="L86" s="33"/>
      <c r="M86" s="32"/>
      <c r="N86" s="43"/>
      <c r="O86" s="44"/>
    </row>
    <row r="87" spans="1:15">
      <c r="A87" s="26"/>
      <c r="B87" s="21" t="s">
        <v>429</v>
      </c>
      <c r="C87" s="22"/>
      <c r="D87" s="26"/>
      <c r="E87" s="1319" t="str">
        <f>IF(ISNUMBER('FBPQ C2'!K79),'FBPQ C2'!K79,IF(ISNUMBER('FBPQ C2'!I79),'FBPQ C2'!I79,""))</f>
        <v/>
      </c>
      <c r="F87" s="1320"/>
      <c r="G87" s="1320">
        <f t="shared" si="2"/>
        <v>0</v>
      </c>
      <c r="H87" s="1321" t="str">
        <f>IF(ISBLANK('FBPQ T4'!E79)," ",'FBPQ T4'!AE79)</f>
        <v xml:space="preserve"> </v>
      </c>
      <c r="I87" s="1322" t="str">
        <f t="shared" si="3"/>
        <v xml:space="preserve"> </v>
      </c>
      <c r="J87" s="32"/>
      <c r="K87" s="32"/>
      <c r="L87" s="33"/>
      <c r="M87" s="32"/>
      <c r="N87" s="43"/>
      <c r="O87" s="42"/>
    </row>
    <row r="88" spans="1:15">
      <c r="A88" s="26"/>
      <c r="B88" s="21"/>
      <c r="C88" s="22" t="s">
        <v>249</v>
      </c>
      <c r="D88" s="26" t="s">
        <v>428</v>
      </c>
      <c r="E88" s="1323">
        <f>IF(ISNUMBER('FBPQ C2'!K80),'FBPQ C2'!K80,IF(ISNUMBER('FBPQ C2'!I80),'FBPQ C2'!I80,""))</f>
        <v>0</v>
      </c>
      <c r="F88" s="1320" t="s">
        <v>781</v>
      </c>
      <c r="G88" s="1320">
        <f t="shared" si="2"/>
        <v>0</v>
      </c>
      <c r="H88" s="1321">
        <f>IF(ISBLANK('FBPQ T4'!E80)," ",'FBPQ T4'!AE80)</f>
        <v>28125</v>
      </c>
      <c r="I88" s="1322">
        <f t="shared" si="3"/>
        <v>0</v>
      </c>
      <c r="J88" s="32"/>
      <c r="K88" s="32"/>
      <c r="L88" s="32"/>
      <c r="M88" s="32"/>
      <c r="N88" s="43"/>
      <c r="O88" s="42"/>
    </row>
    <row r="89" spans="1:15">
      <c r="A89" s="26"/>
      <c r="B89" s="21"/>
      <c r="C89" s="22" t="s">
        <v>250</v>
      </c>
      <c r="D89" s="26" t="s">
        <v>428</v>
      </c>
      <c r="E89" s="1323">
        <f>IF(ISNUMBER('FBPQ C2'!K81),'FBPQ C2'!K81,IF(ISNUMBER('FBPQ C2'!I81),'FBPQ C2'!I81,""))</f>
        <v>0</v>
      </c>
      <c r="F89" s="1320" t="s">
        <v>781</v>
      </c>
      <c r="G89" s="1320">
        <f t="shared" si="2"/>
        <v>0</v>
      </c>
      <c r="H89" s="1321">
        <f>IF(ISBLANK('FBPQ T4'!E81)," ",'FBPQ T4'!AE81)</f>
        <v>1287</v>
      </c>
      <c r="I89" s="1322">
        <f t="shared" si="3"/>
        <v>0</v>
      </c>
      <c r="J89" s="32"/>
      <c r="K89" s="32"/>
      <c r="L89" s="32"/>
      <c r="M89" s="32"/>
      <c r="N89" s="43"/>
      <c r="O89" s="42"/>
    </row>
    <row r="90" spans="1:15">
      <c r="A90" s="26"/>
      <c r="B90" s="21"/>
      <c r="C90" s="22" t="s">
        <v>251</v>
      </c>
      <c r="D90" s="26" t="s">
        <v>428</v>
      </c>
      <c r="E90" s="1319">
        <f>IF(ISNUMBER('FBPQ C2'!K82),'FBPQ C2'!K82,IF(ISNUMBER('FBPQ C2'!I82),'FBPQ C2'!I82,""))</f>
        <v>0</v>
      </c>
      <c r="F90" s="1320" t="s">
        <v>781</v>
      </c>
      <c r="G90" s="1320">
        <f t="shared" si="2"/>
        <v>0</v>
      </c>
      <c r="H90" s="1321">
        <f>IF(ISBLANK('FBPQ T4'!E82)," ",'FBPQ T4'!AE82)</f>
        <v>0</v>
      </c>
      <c r="I90" s="1322">
        <f t="shared" si="3"/>
        <v>0</v>
      </c>
      <c r="J90" s="32"/>
      <c r="K90" s="32"/>
      <c r="L90" s="33"/>
      <c r="M90" s="32"/>
      <c r="N90" s="43"/>
      <c r="O90" s="42"/>
    </row>
    <row r="91" spans="1:15">
      <c r="A91" s="26"/>
      <c r="B91" s="21"/>
      <c r="C91" s="22" t="s">
        <v>252</v>
      </c>
      <c r="D91" s="26" t="s">
        <v>428</v>
      </c>
      <c r="E91" s="1319">
        <f>IF(ISNUMBER('FBPQ C2'!K83),'FBPQ C2'!K83,IF(ISNUMBER('FBPQ C2'!I83),'FBPQ C2'!I83,""))</f>
        <v>0</v>
      </c>
      <c r="F91" s="1320" t="s">
        <v>781</v>
      </c>
      <c r="G91" s="1320">
        <f t="shared" si="2"/>
        <v>0</v>
      </c>
      <c r="H91" s="1321">
        <f>IF(ISBLANK('FBPQ T4'!E83)," ",'FBPQ T4'!AE83)</f>
        <v>0</v>
      </c>
      <c r="I91" s="1322">
        <f t="shared" si="3"/>
        <v>0</v>
      </c>
      <c r="J91" s="32"/>
      <c r="K91" s="32"/>
      <c r="L91" s="33"/>
      <c r="M91" s="32"/>
      <c r="N91" s="43"/>
      <c r="O91" s="44"/>
    </row>
    <row r="92" spans="1:15">
      <c r="A92" s="26"/>
      <c r="B92" s="21"/>
      <c r="C92" s="22"/>
      <c r="D92" s="26"/>
      <c r="E92" s="1319" t="str">
        <f>IF(ISNUMBER('FBPQ C2'!K84),'FBPQ C2'!K84,IF(ISNUMBER('FBPQ C2'!I84),'FBPQ C2'!I84,""))</f>
        <v/>
      </c>
      <c r="F92" s="1320"/>
      <c r="G92" s="1320">
        <f t="shared" si="2"/>
        <v>0</v>
      </c>
      <c r="H92" s="1321" t="str">
        <f>IF(ISBLANK('FBPQ T4'!E84)," ",'FBPQ T4'!AE84)</f>
        <v xml:space="preserve"> </v>
      </c>
      <c r="I92" s="1322" t="str">
        <f t="shared" si="3"/>
        <v xml:space="preserve"> </v>
      </c>
      <c r="J92" s="32"/>
      <c r="K92" s="32"/>
      <c r="L92" s="32"/>
      <c r="M92" s="32"/>
      <c r="N92" s="43"/>
      <c r="O92" s="44"/>
    </row>
    <row r="93" spans="1:15">
      <c r="A93" s="26"/>
      <c r="B93" s="21" t="s">
        <v>454</v>
      </c>
      <c r="C93" s="22"/>
      <c r="D93" s="26"/>
      <c r="E93" s="1319" t="str">
        <f>IF(ISNUMBER('FBPQ C2'!K85),'FBPQ C2'!K85,IF(ISNUMBER('FBPQ C2'!I85),'FBPQ C2'!I85,""))</f>
        <v/>
      </c>
      <c r="F93" s="1320"/>
      <c r="G93" s="1320">
        <f t="shared" si="2"/>
        <v>0</v>
      </c>
      <c r="H93" s="1321" t="str">
        <f>IF(ISBLANK('FBPQ T4'!E85)," ",'FBPQ T4'!AE85)</f>
        <v xml:space="preserve"> </v>
      </c>
      <c r="I93" s="1322" t="str">
        <f t="shared" si="3"/>
        <v xml:space="preserve"> </v>
      </c>
      <c r="J93" s="39"/>
      <c r="K93" s="32"/>
      <c r="L93" s="33"/>
      <c r="M93" s="32"/>
      <c r="N93" s="43"/>
      <c r="O93" s="42"/>
    </row>
    <row r="94" spans="1:15">
      <c r="A94" s="26"/>
      <c r="B94" s="21"/>
      <c r="C94" s="22" t="s">
        <v>116</v>
      </c>
      <c r="D94" s="26" t="s">
        <v>717</v>
      </c>
      <c r="E94" s="1319">
        <f>IF(ISNUMBER('FBPQ C2'!K86),'FBPQ C2'!K86,IF(ISNUMBER('FBPQ C2'!I86),'FBPQ C2'!I86,""))</f>
        <v>243.56414096492253</v>
      </c>
      <c r="F94" s="1320" t="s">
        <v>781</v>
      </c>
      <c r="G94" s="1320">
        <f t="shared" si="2"/>
        <v>243.56414096492253</v>
      </c>
      <c r="H94" s="1321">
        <f>IF(ISBLANK('FBPQ T4'!E86)," ",'FBPQ T4'!AE86)</f>
        <v>1562.6</v>
      </c>
      <c r="I94" s="1322">
        <f t="shared" si="3"/>
        <v>380593.32667178795</v>
      </c>
      <c r="J94" s="39"/>
      <c r="K94" s="32"/>
      <c r="L94" s="33"/>
      <c r="M94" s="32"/>
      <c r="N94" s="43"/>
      <c r="O94" s="42"/>
    </row>
    <row r="95" spans="1:15">
      <c r="A95" s="26"/>
      <c r="B95" s="21"/>
      <c r="C95" s="22" t="s">
        <v>117</v>
      </c>
      <c r="D95" s="26" t="s">
        <v>717</v>
      </c>
      <c r="E95" s="1319">
        <f>IF(ISNUMBER('FBPQ C2'!K87),'FBPQ C2'!K87,IF(ISNUMBER('FBPQ C2'!I87),'FBPQ C2'!I87,""))</f>
        <v>243.56414096492253</v>
      </c>
      <c r="F95" s="1320" t="s">
        <v>781</v>
      </c>
      <c r="G95" s="1320">
        <f t="shared" si="2"/>
        <v>243.56414096492253</v>
      </c>
      <c r="H95" s="1321">
        <f>IF(ISBLANK('FBPQ T4'!E87)," ",'FBPQ T4'!AE87)</f>
        <v>156</v>
      </c>
      <c r="I95" s="1322">
        <f t="shared" si="3"/>
        <v>37996.005990527912</v>
      </c>
      <c r="J95" s="39"/>
      <c r="K95" s="32"/>
      <c r="L95" s="33"/>
      <c r="M95" s="32"/>
      <c r="N95" s="43"/>
      <c r="O95" s="42"/>
    </row>
    <row r="96" spans="1:15">
      <c r="A96" s="26"/>
      <c r="B96" s="21"/>
      <c r="C96" s="22" t="s">
        <v>118</v>
      </c>
      <c r="D96" s="26" t="s">
        <v>717</v>
      </c>
      <c r="E96" s="1319">
        <f>IF(ISNUMBER('FBPQ C2'!K88),'FBPQ C2'!K88,IF(ISNUMBER('FBPQ C2'!I88),'FBPQ C2'!I88,""))</f>
        <v>0</v>
      </c>
      <c r="F96" s="1320" t="s">
        <v>781</v>
      </c>
      <c r="G96" s="1320">
        <f t="shared" si="2"/>
        <v>0</v>
      </c>
      <c r="H96" s="1321">
        <f>IF(ISBLANK('FBPQ T4'!E88)," ",'FBPQ T4'!AE88)</f>
        <v>0</v>
      </c>
      <c r="I96" s="1322">
        <f t="shared" si="3"/>
        <v>0</v>
      </c>
      <c r="J96" s="39"/>
      <c r="K96" s="32"/>
      <c r="L96" s="33"/>
      <c r="M96" s="32"/>
      <c r="N96" s="43"/>
      <c r="O96" s="42"/>
    </row>
    <row r="97" spans="1:15">
      <c r="A97" s="26"/>
      <c r="B97" s="21"/>
      <c r="C97" s="22" t="s">
        <v>257</v>
      </c>
      <c r="D97" s="26" t="s">
        <v>717</v>
      </c>
      <c r="E97" s="1319">
        <f>IF(ISNUMBER('FBPQ C2'!K89),'FBPQ C2'!K89,IF(ISNUMBER('FBPQ C2'!I89),'FBPQ C2'!I89,""))</f>
        <v>1143.1373381588107</v>
      </c>
      <c r="F97" s="1320" t="s">
        <v>781</v>
      </c>
      <c r="G97" s="1320">
        <f t="shared" si="2"/>
        <v>1143.1373381588107</v>
      </c>
      <c r="H97" s="1321">
        <f>IF(ISBLANK('FBPQ T4'!E89)," ",'FBPQ T4'!AE89)</f>
        <v>0</v>
      </c>
      <c r="I97" s="1322">
        <f t="shared" si="3"/>
        <v>0</v>
      </c>
      <c r="J97" s="39"/>
      <c r="K97" s="32"/>
      <c r="L97" s="33"/>
      <c r="M97" s="32"/>
      <c r="N97" s="43"/>
      <c r="O97" s="42"/>
    </row>
    <row r="98" spans="1:15">
      <c r="A98" s="26"/>
      <c r="B98" s="21"/>
      <c r="C98" s="22" t="s">
        <v>129</v>
      </c>
      <c r="D98" s="26" t="s">
        <v>717</v>
      </c>
      <c r="E98" s="1319">
        <f>IF(ISNUMBER('FBPQ C2'!K90),'FBPQ C2'!K90,IF(ISNUMBER('FBPQ C2'!I90),'FBPQ C2'!I90,""))</f>
        <v>1143.1373381588107</v>
      </c>
      <c r="F98" s="1320" t="s">
        <v>781</v>
      </c>
      <c r="G98" s="1320">
        <f t="shared" si="2"/>
        <v>1143.1373381588107</v>
      </c>
      <c r="H98" s="1321">
        <f>IF(ISBLANK('FBPQ T4'!E90)," ",'FBPQ T4'!AE90)</f>
        <v>0</v>
      </c>
      <c r="I98" s="1322">
        <f t="shared" si="3"/>
        <v>0</v>
      </c>
      <c r="J98" s="39"/>
      <c r="K98" s="32"/>
      <c r="L98" s="33"/>
      <c r="M98" s="32"/>
      <c r="N98" s="43"/>
      <c r="O98" s="42"/>
    </row>
    <row r="99" spans="1:15">
      <c r="A99" s="26"/>
      <c r="B99" s="21"/>
      <c r="C99" s="22" t="s">
        <v>130</v>
      </c>
      <c r="D99" s="26" t="s">
        <v>717</v>
      </c>
      <c r="E99" s="1319">
        <f>IF(ISNUMBER('FBPQ C2'!K91),'FBPQ C2'!K91,IF(ISNUMBER('FBPQ C2'!I91),'FBPQ C2'!I91,""))</f>
        <v>0</v>
      </c>
      <c r="F99" s="1320" t="s">
        <v>781</v>
      </c>
      <c r="G99" s="1320">
        <f t="shared" si="2"/>
        <v>0</v>
      </c>
      <c r="H99" s="1321">
        <f>IF(ISBLANK('FBPQ T4'!E91)," ",'FBPQ T4'!AE91)</f>
        <v>0</v>
      </c>
      <c r="I99" s="1322">
        <f t="shared" si="3"/>
        <v>0</v>
      </c>
      <c r="J99" s="39"/>
      <c r="K99" s="32"/>
      <c r="L99" s="33"/>
      <c r="M99" s="32"/>
      <c r="N99" s="43"/>
      <c r="O99" s="44"/>
    </row>
    <row r="100" spans="1:15">
      <c r="A100" s="26"/>
      <c r="B100" s="21"/>
      <c r="C100" s="22"/>
      <c r="D100" s="26"/>
      <c r="E100" s="1319" t="str">
        <f>IF(ISNUMBER('FBPQ C2'!K92),'FBPQ C2'!K92,IF(ISNUMBER('FBPQ C2'!I92),'FBPQ C2'!I92,""))</f>
        <v/>
      </c>
      <c r="F100" s="1320"/>
      <c r="G100" s="1320">
        <f t="shared" si="2"/>
        <v>0</v>
      </c>
      <c r="H100" s="1321" t="str">
        <f>IF(ISBLANK('FBPQ T4'!E92)," ",'FBPQ T4'!AE92)</f>
        <v xml:space="preserve"> </v>
      </c>
      <c r="I100" s="1322" t="str">
        <f t="shared" si="3"/>
        <v xml:space="preserve"> </v>
      </c>
      <c r="J100" s="39"/>
      <c r="K100" s="32"/>
      <c r="L100" s="32"/>
      <c r="M100" s="32"/>
      <c r="N100" s="43"/>
      <c r="O100" s="44"/>
    </row>
    <row r="101" spans="1:15">
      <c r="A101" s="26"/>
      <c r="B101" s="21" t="s">
        <v>596</v>
      </c>
      <c r="C101" s="22"/>
      <c r="D101" s="26"/>
      <c r="E101" s="1319" t="str">
        <f>IF(ISNUMBER('FBPQ C2'!K93),'FBPQ C2'!K93,IF(ISNUMBER('FBPQ C2'!I93),'FBPQ C2'!I93,""))</f>
        <v/>
      </c>
      <c r="F101" s="1320"/>
      <c r="G101" s="1320">
        <f t="shared" si="2"/>
        <v>0</v>
      </c>
      <c r="H101" s="1321" t="str">
        <f>IF(ISBLANK('FBPQ T4'!E93)," ",'FBPQ T4'!AE93)</f>
        <v xml:space="preserve"> </v>
      </c>
      <c r="I101" s="1322" t="str">
        <f t="shared" si="3"/>
        <v xml:space="preserve"> </v>
      </c>
      <c r="J101" s="39"/>
      <c r="K101" s="32"/>
      <c r="L101" s="33"/>
      <c r="M101" s="32"/>
      <c r="N101" s="43"/>
      <c r="O101" s="42"/>
    </row>
    <row r="102" spans="1:15">
      <c r="A102" s="26"/>
      <c r="B102" s="21"/>
      <c r="C102" s="22" t="s">
        <v>83</v>
      </c>
      <c r="D102" s="26" t="s">
        <v>717</v>
      </c>
      <c r="E102" s="1319">
        <f>IF(ISNUMBER('FBPQ C2'!K94),'FBPQ C2'!K94,IF(ISNUMBER('FBPQ C2'!I94),'FBPQ C2'!I94,""))</f>
        <v>0</v>
      </c>
      <c r="F102" s="1320" t="s">
        <v>781</v>
      </c>
      <c r="G102" s="1320">
        <f t="shared" si="2"/>
        <v>0</v>
      </c>
      <c r="H102" s="1321">
        <f>IF(ISBLANK('FBPQ T4'!E94)," ",'FBPQ T4'!AE94)</f>
        <v>0</v>
      </c>
      <c r="I102" s="1322">
        <f t="shared" si="3"/>
        <v>0</v>
      </c>
      <c r="J102" s="39"/>
      <c r="K102" s="32"/>
      <c r="L102" s="32"/>
      <c r="M102" s="32"/>
      <c r="N102" s="43"/>
      <c r="O102" s="44"/>
    </row>
    <row r="103" spans="1:15">
      <c r="A103" s="26"/>
      <c r="B103" s="21"/>
      <c r="C103" s="22"/>
      <c r="D103" s="26"/>
      <c r="E103" s="1319" t="str">
        <f>IF(ISNUMBER('FBPQ C2'!K95),'FBPQ C2'!K95,IF(ISNUMBER('FBPQ C2'!I95),'FBPQ C2'!I95,""))</f>
        <v/>
      </c>
      <c r="F103" s="1320"/>
      <c r="G103" s="1320">
        <f t="shared" si="2"/>
        <v>0</v>
      </c>
      <c r="H103" s="1321" t="str">
        <f>IF(ISBLANK('FBPQ T4'!E95)," ",'FBPQ T4'!AE95)</f>
        <v xml:space="preserve"> </v>
      </c>
      <c r="I103" s="1322" t="str">
        <f t="shared" si="3"/>
        <v xml:space="preserve"> </v>
      </c>
      <c r="J103" s="39"/>
      <c r="K103" s="32"/>
      <c r="L103" s="33"/>
      <c r="M103" s="32"/>
      <c r="N103" s="43"/>
      <c r="O103" s="44"/>
    </row>
    <row r="104" spans="1:15">
      <c r="A104" s="26"/>
      <c r="B104" s="21" t="s">
        <v>319</v>
      </c>
      <c r="C104" s="22"/>
      <c r="D104" s="26"/>
      <c r="E104" s="1319" t="str">
        <f>IF(ISNUMBER('FBPQ C2'!K96),'FBPQ C2'!K96,IF(ISNUMBER('FBPQ C2'!I96),'FBPQ C2'!I96,""))</f>
        <v/>
      </c>
      <c r="F104" s="1320"/>
      <c r="G104" s="1320">
        <f t="shared" si="2"/>
        <v>0</v>
      </c>
      <c r="H104" s="1321" t="str">
        <f>IF(ISBLANK('FBPQ T4'!E96)," ",'FBPQ T4'!AE96)</f>
        <v xml:space="preserve"> </v>
      </c>
      <c r="I104" s="1322" t="str">
        <f t="shared" si="3"/>
        <v xml:space="preserve"> </v>
      </c>
      <c r="J104" s="39"/>
      <c r="K104" s="32"/>
      <c r="L104" s="33"/>
      <c r="M104" s="32"/>
      <c r="N104" s="43"/>
      <c r="O104" s="42"/>
    </row>
    <row r="105" spans="1:15">
      <c r="A105" s="26"/>
      <c r="B105" s="21"/>
      <c r="C105" s="22" t="s">
        <v>84</v>
      </c>
      <c r="D105" s="26" t="s">
        <v>428</v>
      </c>
      <c r="E105" s="1319">
        <f>IF(ISNUMBER('FBPQ C2'!K97),'FBPQ C2'!K97,IF(ISNUMBER('FBPQ C2'!I97),'FBPQ C2'!I97,""))</f>
        <v>175.26499757861637</v>
      </c>
      <c r="F105" s="1320" t="s">
        <v>781</v>
      </c>
      <c r="G105" s="1320">
        <f t="shared" si="2"/>
        <v>175.26499757861637</v>
      </c>
      <c r="H105" s="1321">
        <f>IF(ISBLANK('FBPQ T4'!E97)," ",'FBPQ T4'!AE97)</f>
        <v>414</v>
      </c>
      <c r="I105" s="1322">
        <f t="shared" si="3"/>
        <v>72559.708997547175</v>
      </c>
      <c r="J105" s="39"/>
      <c r="K105" s="32"/>
      <c r="L105" s="33"/>
      <c r="M105" s="48"/>
      <c r="N105" s="43"/>
      <c r="O105" s="42"/>
    </row>
    <row r="106" spans="1:15">
      <c r="A106" s="26"/>
      <c r="B106" s="21"/>
      <c r="C106" s="22" t="s">
        <v>85</v>
      </c>
      <c r="D106" s="26" t="s">
        <v>428</v>
      </c>
      <c r="E106" s="1319">
        <f>IF(ISNUMBER('FBPQ C2'!K98),'FBPQ C2'!K98,IF(ISNUMBER('FBPQ C2'!I98),'FBPQ C2'!I98,""))</f>
        <v>175.26499757861637</v>
      </c>
      <c r="F106" s="1320" t="s">
        <v>781</v>
      </c>
      <c r="G106" s="1320">
        <f t="shared" si="2"/>
        <v>175.26499757861637</v>
      </c>
      <c r="H106" s="1321">
        <f>IF(ISBLANK('FBPQ T4'!E98)," ",'FBPQ T4'!AE98)</f>
        <v>575</v>
      </c>
      <c r="I106" s="1322">
        <f t="shared" si="3"/>
        <v>100777.37360770442</v>
      </c>
      <c r="J106" s="39"/>
      <c r="K106" s="32"/>
      <c r="L106" s="33"/>
      <c r="M106" s="48"/>
      <c r="N106" s="43"/>
      <c r="O106" s="42"/>
    </row>
    <row r="107" spans="1:15">
      <c r="A107" s="26"/>
      <c r="B107" s="21"/>
      <c r="C107" s="22" t="s">
        <v>86</v>
      </c>
      <c r="D107" s="26" t="s">
        <v>428</v>
      </c>
      <c r="E107" s="1319">
        <f>IF(ISNUMBER('FBPQ C2'!K99),'FBPQ C2'!K99,IF(ISNUMBER('FBPQ C2'!I99),'FBPQ C2'!I99,""))</f>
        <v>0</v>
      </c>
      <c r="F107" s="1320" t="s">
        <v>781</v>
      </c>
      <c r="G107" s="1320">
        <f t="shared" si="2"/>
        <v>0</v>
      </c>
      <c r="H107" s="1321">
        <f>IF(ISBLANK('FBPQ T4'!E99)," ",'FBPQ T4'!AE99)</f>
        <v>0</v>
      </c>
      <c r="I107" s="1322">
        <f t="shared" si="3"/>
        <v>0</v>
      </c>
      <c r="J107" s="39"/>
      <c r="K107" s="32"/>
      <c r="L107" s="33"/>
      <c r="M107" s="48"/>
      <c r="N107" s="43"/>
      <c r="O107" s="42"/>
    </row>
    <row r="108" spans="1:15">
      <c r="A108" s="26"/>
      <c r="B108" s="21"/>
      <c r="C108" s="22" t="s">
        <v>87</v>
      </c>
      <c r="D108" s="26" t="s">
        <v>428</v>
      </c>
      <c r="E108" s="1319">
        <f>IF(ISNUMBER('FBPQ C2'!K100),'FBPQ C2'!K100,IF(ISNUMBER('FBPQ C2'!I100),'FBPQ C2'!I100,""))</f>
        <v>0</v>
      </c>
      <c r="F108" s="1320" t="s">
        <v>781</v>
      </c>
      <c r="G108" s="1320">
        <f t="shared" si="2"/>
        <v>0</v>
      </c>
      <c r="H108" s="1321">
        <f>IF(ISBLANK('FBPQ T4'!E100)," ",'FBPQ T4'!AE100)</f>
        <v>0</v>
      </c>
      <c r="I108" s="1322">
        <f t="shared" si="3"/>
        <v>0</v>
      </c>
      <c r="J108" s="39"/>
      <c r="K108" s="32"/>
      <c r="L108" s="33"/>
      <c r="M108" s="48"/>
      <c r="N108" s="43"/>
      <c r="O108" s="42"/>
    </row>
    <row r="109" spans="1:15">
      <c r="A109" s="26"/>
      <c r="B109" s="21"/>
      <c r="C109" s="22" t="s">
        <v>88</v>
      </c>
      <c r="D109" s="26" t="s">
        <v>428</v>
      </c>
      <c r="E109" s="1319">
        <f>IF(ISNUMBER('FBPQ C2'!K101),'FBPQ C2'!K101,IF(ISNUMBER('FBPQ C2'!I101),'FBPQ C2'!I101,""))</f>
        <v>557.59565209031973</v>
      </c>
      <c r="F109" s="1320" t="s">
        <v>781</v>
      </c>
      <c r="G109" s="1320">
        <f t="shared" si="2"/>
        <v>557.59565209031973</v>
      </c>
      <c r="H109" s="1321">
        <f>IF(ISBLANK('FBPQ T4'!E101)," ",'FBPQ T4'!AE101)</f>
        <v>54</v>
      </c>
      <c r="I109" s="1322">
        <f t="shared" si="3"/>
        <v>30110.165212877266</v>
      </c>
      <c r="J109" s="39"/>
      <c r="K109" s="32"/>
      <c r="L109" s="33"/>
      <c r="M109" s="48"/>
      <c r="N109" s="43"/>
      <c r="O109" s="45"/>
    </row>
    <row r="110" spans="1:15">
      <c r="A110" s="26"/>
      <c r="B110" s="21"/>
      <c r="C110" s="22" t="s">
        <v>89</v>
      </c>
      <c r="D110" s="26" t="s">
        <v>428</v>
      </c>
      <c r="E110" s="1323">
        <f>E106</f>
        <v>175.26499757861637</v>
      </c>
      <c r="F110" s="1320" t="s">
        <v>781</v>
      </c>
      <c r="G110" s="1320">
        <f t="shared" si="2"/>
        <v>175.26499757861637</v>
      </c>
      <c r="H110" s="1321">
        <f>IF(ISBLANK('FBPQ T4'!E102)," ",'FBPQ T4'!AE102)</f>
        <v>2044</v>
      </c>
      <c r="I110" s="1322">
        <f t="shared" si="3"/>
        <v>358241.65505069186</v>
      </c>
      <c r="J110" s="39"/>
      <c r="K110" s="32"/>
      <c r="L110" s="33"/>
      <c r="M110" s="48"/>
      <c r="N110" s="43"/>
      <c r="O110" s="42"/>
    </row>
    <row r="111" spans="1:15">
      <c r="A111" s="26"/>
      <c r="B111" s="21"/>
      <c r="C111" s="22" t="s">
        <v>90</v>
      </c>
      <c r="D111" s="26" t="s">
        <v>428</v>
      </c>
      <c r="E111" s="1319">
        <f>IF(ISNUMBER('FBPQ C2'!K103),'FBPQ C2'!K103,IF(ISNUMBER('FBPQ C2'!I103),'FBPQ C2'!I103,""))</f>
        <v>661.18870907836788</v>
      </c>
      <c r="F111" s="1320" t="s">
        <v>781</v>
      </c>
      <c r="G111" s="1320">
        <f t="shared" si="2"/>
        <v>661.18870907836788</v>
      </c>
      <c r="H111" s="1321">
        <f>IF(ISBLANK('FBPQ T4'!E103)," ",'FBPQ T4'!AE103)</f>
        <v>0</v>
      </c>
      <c r="I111" s="1322">
        <f t="shared" si="3"/>
        <v>0</v>
      </c>
      <c r="J111" s="39"/>
      <c r="K111" s="32"/>
      <c r="L111" s="33"/>
      <c r="M111" s="48"/>
      <c r="N111" s="43"/>
      <c r="O111" s="45"/>
    </row>
    <row r="112" spans="1:15">
      <c r="A112" s="26"/>
      <c r="B112" s="21"/>
      <c r="C112" s="22" t="s">
        <v>91</v>
      </c>
      <c r="D112" s="26" t="s">
        <v>428</v>
      </c>
      <c r="E112" s="1319" t="str">
        <f>IF(ISNUMBER('FBPQ C2'!K104),'FBPQ C2'!K104,IF(ISNUMBER('FBPQ C2'!I104),'FBPQ C2'!I104,""))</f>
        <v/>
      </c>
      <c r="F112" s="1320" t="s">
        <v>781</v>
      </c>
      <c r="G112" s="1320" t="str">
        <f t="shared" si="2"/>
        <v xml:space="preserve"> </v>
      </c>
      <c r="H112" s="1321">
        <f>IF(ISBLANK('FBPQ T4'!E104)," ",'FBPQ T4'!AE104)</f>
        <v>0</v>
      </c>
      <c r="I112" s="1322" t="str">
        <f t="shared" si="3"/>
        <v xml:space="preserve"> </v>
      </c>
      <c r="J112" s="39"/>
      <c r="K112" s="32"/>
      <c r="L112" s="33"/>
      <c r="M112" s="48"/>
      <c r="N112" s="43"/>
      <c r="O112" s="44"/>
    </row>
    <row r="113" spans="1:15">
      <c r="A113" s="26"/>
      <c r="B113" s="21"/>
      <c r="C113" s="22"/>
      <c r="D113" s="26"/>
      <c r="E113" s="1319" t="str">
        <f>IF(ISNUMBER('FBPQ C2'!K105),'FBPQ C2'!K105,IF(ISNUMBER('FBPQ C2'!I105),'FBPQ C2'!I105,""))</f>
        <v/>
      </c>
      <c r="F113" s="1320"/>
      <c r="G113" s="1320">
        <f t="shared" si="2"/>
        <v>0</v>
      </c>
      <c r="H113" s="1321" t="str">
        <f>IF(ISBLANK('FBPQ T4'!E105)," ",'FBPQ T4'!AE105)</f>
        <v xml:space="preserve"> </v>
      </c>
      <c r="I113" s="1322" t="str">
        <f t="shared" si="3"/>
        <v xml:space="preserve"> </v>
      </c>
      <c r="J113" s="39"/>
      <c r="K113" s="32"/>
      <c r="L113" s="33"/>
      <c r="M113" s="32"/>
      <c r="N113" s="43"/>
      <c r="O113" s="44"/>
    </row>
    <row r="114" spans="1:15">
      <c r="A114" s="26"/>
      <c r="B114" s="21" t="s">
        <v>226</v>
      </c>
      <c r="C114" s="22"/>
      <c r="D114" s="26"/>
      <c r="E114" s="1319" t="str">
        <f>IF(ISNUMBER('FBPQ C2'!K106),'FBPQ C2'!K106,IF(ISNUMBER('FBPQ C2'!I106),'FBPQ C2'!I106,""))</f>
        <v/>
      </c>
      <c r="F114" s="1320"/>
      <c r="G114" s="1320">
        <f t="shared" si="2"/>
        <v>0</v>
      </c>
      <c r="H114" s="1321" t="str">
        <f>IF(ISBLANK('FBPQ T4'!E106)," ",'FBPQ T4'!AE106)</f>
        <v xml:space="preserve"> </v>
      </c>
      <c r="I114" s="1322" t="str">
        <f t="shared" si="3"/>
        <v xml:space="preserve"> </v>
      </c>
      <c r="J114" s="39"/>
      <c r="K114" s="32"/>
      <c r="L114" s="33"/>
      <c r="M114" s="32"/>
      <c r="N114" s="43"/>
      <c r="O114" s="42"/>
    </row>
    <row r="115" spans="1:15">
      <c r="A115" s="26"/>
      <c r="B115" s="21"/>
      <c r="C115" s="22" t="s">
        <v>92</v>
      </c>
      <c r="D115" s="26" t="s">
        <v>428</v>
      </c>
      <c r="E115" s="1319">
        <f>IF(ISNUMBER('FBPQ C2'!K107),'FBPQ C2'!K107,IF(ISNUMBER('FBPQ C2'!I107),'FBPQ C2'!I107,""))</f>
        <v>504.59455316620199</v>
      </c>
      <c r="F115" s="1320" t="s">
        <v>781</v>
      </c>
      <c r="G115" s="1320">
        <f t="shared" si="2"/>
        <v>504.59455316620199</v>
      </c>
      <c r="H115" s="1321">
        <f>IF(ISBLANK('FBPQ T4'!E107)," ",'FBPQ T4'!AE107)</f>
        <v>0</v>
      </c>
      <c r="I115" s="1322">
        <f t="shared" si="3"/>
        <v>0</v>
      </c>
      <c r="J115" s="39"/>
      <c r="K115" s="32"/>
      <c r="L115" s="32"/>
      <c r="M115" s="48"/>
      <c r="N115" s="43"/>
      <c r="O115" s="42"/>
    </row>
    <row r="116" spans="1:15">
      <c r="A116" s="26"/>
      <c r="B116" s="21"/>
      <c r="C116" s="22" t="s">
        <v>93</v>
      </c>
      <c r="D116" s="26" t="s">
        <v>428</v>
      </c>
      <c r="E116" s="1319">
        <f>IF(ISNUMBER('FBPQ C2'!K108),'FBPQ C2'!K108,IF(ISNUMBER('FBPQ C2'!I108),'FBPQ C2'!I108,""))</f>
        <v>541.93623649910307</v>
      </c>
      <c r="F116" s="1320" t="s">
        <v>781</v>
      </c>
      <c r="G116" s="1320">
        <f t="shared" si="2"/>
        <v>541.93623649910307</v>
      </c>
      <c r="H116" s="1321">
        <f>IF(ISBLANK('FBPQ T4'!E108)," ",'FBPQ T4'!AE108)</f>
        <v>717</v>
      </c>
      <c r="I116" s="1322">
        <f t="shared" si="3"/>
        <v>388568.28156985692</v>
      </c>
      <c r="J116" s="39"/>
      <c r="K116" s="32"/>
      <c r="L116" s="32"/>
      <c r="M116" s="48"/>
      <c r="N116" s="43"/>
      <c r="O116" s="45"/>
    </row>
    <row r="117" spans="1:15">
      <c r="A117" s="26"/>
      <c r="B117" s="21"/>
      <c r="C117" s="22" t="s">
        <v>94</v>
      </c>
      <c r="D117" s="26" t="s">
        <v>428</v>
      </c>
      <c r="E117" s="1323">
        <f>E76</f>
        <v>11.322962042879682</v>
      </c>
      <c r="F117" s="1320" t="s">
        <v>781</v>
      </c>
      <c r="G117" s="1320">
        <f t="shared" si="2"/>
        <v>11.322962042879682</v>
      </c>
      <c r="H117" s="1321">
        <f>IF(ISBLANK('FBPQ T4'!E109)," ",'FBPQ T4'!AE109)</f>
        <v>651</v>
      </c>
      <c r="I117" s="1322">
        <f t="shared" si="3"/>
        <v>7371.2482899146735</v>
      </c>
      <c r="J117" s="39"/>
      <c r="K117" s="32"/>
      <c r="L117" s="32"/>
      <c r="M117" s="32"/>
      <c r="N117" s="43"/>
      <c r="O117" s="42"/>
    </row>
    <row r="118" spans="1:15">
      <c r="A118" s="26"/>
      <c r="B118" s="21"/>
      <c r="C118" s="22" t="s">
        <v>274</v>
      </c>
      <c r="D118" s="26" t="s">
        <v>428</v>
      </c>
      <c r="E118" s="1319">
        <f>IF(ISNUMBER('FBPQ C2'!K110),'FBPQ C2'!K110,IF(ISNUMBER('FBPQ C2'!I110),'FBPQ C2'!I110,""))</f>
        <v>2117.5143590615103</v>
      </c>
      <c r="F118" s="1320" t="s">
        <v>781</v>
      </c>
      <c r="G118" s="1320">
        <f t="shared" si="2"/>
        <v>2117.5143590615103</v>
      </c>
      <c r="H118" s="1321">
        <f>IF(ISBLANK('FBPQ T4'!E110)," ",'FBPQ T4'!AE110)</f>
        <v>0</v>
      </c>
      <c r="I118" s="1322">
        <f t="shared" si="3"/>
        <v>0</v>
      </c>
      <c r="J118" s="39"/>
      <c r="K118" s="32"/>
      <c r="L118" s="32"/>
      <c r="M118" s="48"/>
      <c r="N118" s="43"/>
      <c r="O118" s="45"/>
    </row>
    <row r="119" spans="1:15">
      <c r="A119" s="26"/>
      <c r="B119" s="21"/>
      <c r="C119" s="22" t="s">
        <v>275</v>
      </c>
      <c r="D119" s="26" t="s">
        <v>428</v>
      </c>
      <c r="E119" s="1319" t="str">
        <f>IF(ISNUMBER('FBPQ C2'!K111),'FBPQ C2'!K111,IF(ISNUMBER('FBPQ C2'!I111),'FBPQ C2'!I111,""))</f>
        <v/>
      </c>
      <c r="F119" s="1320" t="s">
        <v>781</v>
      </c>
      <c r="G119" s="1320" t="str">
        <f t="shared" si="2"/>
        <v xml:space="preserve"> </v>
      </c>
      <c r="H119" s="1321">
        <f>IF(ISBLANK('FBPQ T4'!E111)," ",'FBPQ T4'!AE111)</f>
        <v>0</v>
      </c>
      <c r="I119" s="1322" t="str">
        <f t="shared" si="3"/>
        <v xml:space="preserve"> </v>
      </c>
      <c r="J119" s="39"/>
      <c r="K119" s="32"/>
      <c r="L119" s="33"/>
      <c r="M119" s="32"/>
      <c r="N119" s="43"/>
      <c r="O119" s="44"/>
    </row>
    <row r="120" spans="1:15">
      <c r="A120" s="26"/>
      <c r="B120" s="21"/>
      <c r="C120" s="22"/>
      <c r="D120" s="26"/>
      <c r="E120" s="1319" t="str">
        <f>IF(ISNUMBER('FBPQ C2'!K112),'FBPQ C2'!K112,IF(ISNUMBER('FBPQ C2'!I112),'FBPQ C2'!I112,""))</f>
        <v/>
      </c>
      <c r="F120" s="1320"/>
      <c r="G120" s="1320">
        <f t="shared" si="2"/>
        <v>0</v>
      </c>
      <c r="H120" s="1321" t="str">
        <f>IF(ISBLANK('FBPQ T4'!E112)," ",'FBPQ T4'!AE112)</f>
        <v xml:space="preserve"> </v>
      </c>
      <c r="I120" s="1322" t="str">
        <f t="shared" si="3"/>
        <v xml:space="preserve"> </v>
      </c>
      <c r="J120" s="46"/>
      <c r="K120" s="46"/>
      <c r="L120" s="46"/>
      <c r="M120" s="46"/>
      <c r="N120" s="47"/>
      <c r="O120" s="44"/>
    </row>
    <row r="121" spans="1:15">
      <c r="A121" s="26" t="s">
        <v>276</v>
      </c>
      <c r="B121" s="21"/>
      <c r="C121" s="22"/>
      <c r="D121" s="26"/>
      <c r="E121" s="1319" t="str">
        <f>IF(ISNUMBER('FBPQ C2'!K113),'FBPQ C2'!K113,IF(ISNUMBER('FBPQ C2'!I113),'FBPQ C2'!I113,""))</f>
        <v/>
      </c>
      <c r="F121" s="1320"/>
      <c r="G121" s="1320">
        <f t="shared" si="2"/>
        <v>0</v>
      </c>
      <c r="H121" s="1321" t="str">
        <f>IF(ISBLANK('FBPQ T4'!E113)," ",'FBPQ T4'!AE113)</f>
        <v xml:space="preserve"> </v>
      </c>
      <c r="I121" s="1322" t="str">
        <f t="shared" si="3"/>
        <v xml:space="preserve"> </v>
      </c>
      <c r="J121" s="32"/>
      <c r="K121" s="31"/>
      <c r="L121" s="31"/>
      <c r="M121" s="48"/>
      <c r="N121" s="43"/>
      <c r="O121" s="44"/>
    </row>
    <row r="122" spans="1:15">
      <c r="A122" s="26"/>
      <c r="B122" s="21" t="s">
        <v>788</v>
      </c>
      <c r="C122" s="22"/>
      <c r="D122" s="26"/>
      <c r="E122" s="1319" t="str">
        <f>IF(ISNUMBER('FBPQ C2'!K114),'FBPQ C2'!K114,IF(ISNUMBER('FBPQ C2'!I114),'FBPQ C2'!I114,""))</f>
        <v/>
      </c>
      <c r="F122" s="1320"/>
      <c r="G122" s="1320">
        <f t="shared" si="2"/>
        <v>0</v>
      </c>
      <c r="H122" s="1321" t="str">
        <f>IF(ISBLANK('FBPQ T4'!E114)," ",'FBPQ T4'!AE114)</f>
        <v xml:space="preserve"> </v>
      </c>
      <c r="I122" s="1322" t="str">
        <f t="shared" si="3"/>
        <v xml:space="preserve"> </v>
      </c>
      <c r="J122" s="39"/>
      <c r="K122" s="32"/>
      <c r="L122" s="33"/>
      <c r="M122" s="32"/>
      <c r="N122" s="43"/>
      <c r="O122" s="42"/>
    </row>
    <row r="123" spans="1:15">
      <c r="A123" s="26"/>
      <c r="B123" s="21"/>
      <c r="C123" s="22" t="s">
        <v>277</v>
      </c>
      <c r="D123" s="26" t="s">
        <v>717</v>
      </c>
      <c r="E123" s="1319">
        <f>IF(ISNUMBER('FBPQ C2'!K115),'FBPQ C2'!K115,IF(ISNUMBER('FBPQ C2'!I115),'FBPQ C2'!I115,""))</f>
        <v>677.32995284162189</v>
      </c>
      <c r="F123" s="1320" t="s">
        <v>781</v>
      </c>
      <c r="G123" s="1320">
        <f t="shared" si="2"/>
        <v>677.32995284162189</v>
      </c>
      <c r="H123" s="1321">
        <f>IF(ISBLANK('FBPQ T4'!E115)," ",'FBPQ T4'!AE115)</f>
        <v>138</v>
      </c>
      <c r="I123" s="1322">
        <f t="shared" si="3"/>
        <v>93471.533492143819</v>
      </c>
      <c r="J123" s="39"/>
      <c r="K123" s="32"/>
      <c r="L123" s="33"/>
      <c r="M123" s="32"/>
      <c r="N123" s="43"/>
      <c r="O123" s="42"/>
    </row>
    <row r="124" spans="1:15">
      <c r="A124" s="26"/>
      <c r="B124" s="21"/>
      <c r="C124" s="22" t="s">
        <v>278</v>
      </c>
      <c r="D124" s="26" t="s">
        <v>717</v>
      </c>
      <c r="E124" s="1319">
        <f>IF(ISNUMBER('FBPQ C2'!K116),'FBPQ C2'!K116,IF(ISNUMBER('FBPQ C2'!I116),'FBPQ C2'!I116,""))</f>
        <v>1163.9764065994295</v>
      </c>
      <c r="F124" s="1320" t="s">
        <v>781</v>
      </c>
      <c r="G124" s="1320">
        <f t="shared" si="2"/>
        <v>1163.9764065994295</v>
      </c>
      <c r="H124" s="1321">
        <f>IF(ISBLANK('FBPQ T4'!E116)," ",'FBPQ T4'!AE116)</f>
        <v>2246</v>
      </c>
      <c r="I124" s="1322">
        <f t="shared" si="3"/>
        <v>2614291.0092223189</v>
      </c>
      <c r="J124" s="39"/>
      <c r="K124" s="32"/>
      <c r="L124" s="33"/>
      <c r="M124" s="32"/>
      <c r="N124" s="43"/>
      <c r="O124" s="44"/>
    </row>
    <row r="125" spans="1:15">
      <c r="A125" s="26"/>
      <c r="B125" s="21"/>
      <c r="C125" s="22"/>
      <c r="D125" s="26"/>
      <c r="E125" s="1319" t="str">
        <f>IF(ISNUMBER('FBPQ C2'!K117),'FBPQ C2'!K117,IF(ISNUMBER('FBPQ C2'!I117),'FBPQ C2'!I117,""))</f>
        <v/>
      </c>
      <c r="F125" s="1320"/>
      <c r="G125" s="1320">
        <f t="shared" si="2"/>
        <v>0</v>
      </c>
      <c r="H125" s="1321" t="str">
        <f>IF(ISBLANK('FBPQ T4'!E117)," ",'FBPQ T4'!AE117)</f>
        <v xml:space="preserve"> </v>
      </c>
      <c r="I125" s="1322" t="str">
        <f t="shared" si="3"/>
        <v xml:space="preserve"> </v>
      </c>
      <c r="J125" s="39"/>
      <c r="K125" s="32"/>
      <c r="L125" s="33"/>
      <c r="M125" s="48"/>
      <c r="N125" s="43"/>
      <c r="O125" s="44"/>
    </row>
    <row r="126" spans="1:15">
      <c r="A126" s="26"/>
      <c r="B126" s="21" t="s">
        <v>429</v>
      </c>
      <c r="C126" s="22"/>
      <c r="D126" s="26"/>
      <c r="E126" s="1319" t="str">
        <f>IF(ISNUMBER('FBPQ C2'!K118),'FBPQ C2'!K118,IF(ISNUMBER('FBPQ C2'!I118),'FBPQ C2'!I118,""))</f>
        <v/>
      </c>
      <c r="F126" s="1320"/>
      <c r="G126" s="1320">
        <f t="shared" si="2"/>
        <v>0</v>
      </c>
      <c r="H126" s="1321" t="str">
        <f>IF(ISBLANK('FBPQ T4'!E118)," ",'FBPQ T4'!AE118)</f>
        <v xml:space="preserve"> </v>
      </c>
      <c r="I126" s="1322" t="str">
        <f t="shared" si="3"/>
        <v xml:space="preserve"> </v>
      </c>
      <c r="J126" s="39"/>
      <c r="K126" s="32"/>
      <c r="L126" s="33"/>
      <c r="M126" s="32"/>
      <c r="N126" s="43"/>
      <c r="O126" s="42"/>
    </row>
    <row r="127" spans="1:15">
      <c r="A127" s="26"/>
      <c r="B127" s="21"/>
      <c r="C127" s="22" t="s">
        <v>279</v>
      </c>
      <c r="D127" s="26" t="s">
        <v>428</v>
      </c>
      <c r="E127" s="1323">
        <f>IF(ISNUMBER('FBPQ C2'!K119),'FBPQ C2'!K119,IF(ISNUMBER('FBPQ C2'!I119),'FBPQ C2'!I119,""))</f>
        <v>0</v>
      </c>
      <c r="F127" s="1320" t="s">
        <v>781</v>
      </c>
      <c r="G127" s="1320">
        <f t="shared" si="2"/>
        <v>0</v>
      </c>
      <c r="H127" s="1321">
        <f>IF(ISBLANK('FBPQ T4'!E119)," ",'FBPQ T4'!AE119)</f>
        <v>56</v>
      </c>
      <c r="I127" s="1322">
        <f t="shared" si="3"/>
        <v>0</v>
      </c>
      <c r="J127" s="39"/>
      <c r="K127" s="32"/>
      <c r="L127" s="33"/>
      <c r="M127" s="32"/>
      <c r="N127" s="43"/>
      <c r="O127" s="42"/>
    </row>
    <row r="128" spans="1:15">
      <c r="A128" s="26"/>
      <c r="B128" s="21"/>
      <c r="C128" s="22" t="s">
        <v>280</v>
      </c>
      <c r="D128" s="26" t="s">
        <v>428</v>
      </c>
      <c r="E128" s="1323">
        <f>IF(ISNUMBER('FBPQ C2'!K120),'FBPQ C2'!K120,IF(ISNUMBER('FBPQ C2'!I120),'FBPQ C2'!I120,""))</f>
        <v>0</v>
      </c>
      <c r="F128" s="1320" t="s">
        <v>781</v>
      </c>
      <c r="G128" s="1320">
        <f t="shared" si="2"/>
        <v>0</v>
      </c>
      <c r="H128" s="1321">
        <f>IF(ISBLANK('FBPQ T4'!E120)," ",'FBPQ T4'!AE120)</f>
        <v>4562</v>
      </c>
      <c r="I128" s="1322">
        <f t="shared" si="3"/>
        <v>0</v>
      </c>
      <c r="J128" s="39"/>
      <c r="K128" s="32"/>
      <c r="L128" s="33"/>
      <c r="M128" s="32"/>
      <c r="N128" s="43"/>
      <c r="O128" s="42"/>
    </row>
    <row r="129" spans="1:15">
      <c r="A129" s="26"/>
      <c r="B129" s="21"/>
      <c r="C129" s="22" t="s">
        <v>143</v>
      </c>
      <c r="D129" s="26" t="s">
        <v>428</v>
      </c>
      <c r="E129" s="1323">
        <f>IF(ISNUMBER('FBPQ C2'!K121),'FBPQ C2'!K121,IF(ISNUMBER('FBPQ C2'!I121),'FBPQ C2'!I121,""))</f>
        <v>0</v>
      </c>
      <c r="F129" s="1320" t="s">
        <v>781</v>
      </c>
      <c r="G129" s="1320">
        <f t="shared" si="2"/>
        <v>0</v>
      </c>
      <c r="H129" s="1321">
        <f>IF(ISBLANK('FBPQ T4'!E121)," ",'FBPQ T4'!AE121)</f>
        <v>9124</v>
      </c>
      <c r="I129" s="1322">
        <f t="shared" si="3"/>
        <v>0</v>
      </c>
      <c r="J129" s="39"/>
      <c r="K129" s="32"/>
      <c r="L129" s="33"/>
      <c r="M129" s="48"/>
      <c r="N129" s="43"/>
      <c r="O129" s="44"/>
    </row>
    <row r="130" spans="1:15">
      <c r="A130" s="26"/>
      <c r="B130" s="21"/>
      <c r="C130" s="22"/>
      <c r="D130" s="26"/>
      <c r="E130" s="1319" t="str">
        <f>IF(ISNUMBER('FBPQ C2'!K122),'FBPQ C2'!K122,IF(ISNUMBER('FBPQ C2'!I122),'FBPQ C2'!I122,""))</f>
        <v/>
      </c>
      <c r="F130" s="1320"/>
      <c r="G130" s="1320">
        <f t="shared" si="2"/>
        <v>0</v>
      </c>
      <c r="H130" s="1321" t="str">
        <f>IF(ISBLANK('FBPQ T4'!E122)," ",'FBPQ T4'!AE122)</f>
        <v xml:space="preserve"> </v>
      </c>
      <c r="I130" s="1322" t="str">
        <f t="shared" si="3"/>
        <v xml:space="preserve"> </v>
      </c>
      <c r="J130" s="39"/>
      <c r="K130" s="32"/>
      <c r="L130" s="32"/>
      <c r="M130" s="32"/>
      <c r="N130" s="43"/>
      <c r="O130" s="44"/>
    </row>
    <row r="131" spans="1:15">
      <c r="A131" s="26"/>
      <c r="B131" s="21" t="s">
        <v>454</v>
      </c>
      <c r="C131" s="22"/>
      <c r="D131" s="26"/>
      <c r="E131" s="1319" t="str">
        <f>IF(ISNUMBER('FBPQ C2'!K123),'FBPQ C2'!K123,IF(ISNUMBER('FBPQ C2'!I123),'FBPQ C2'!I123,""))</f>
        <v/>
      </c>
      <c r="F131" s="1320"/>
      <c r="G131" s="1320">
        <f t="shared" si="2"/>
        <v>0</v>
      </c>
      <c r="H131" s="1321" t="str">
        <f>IF(ISBLANK('FBPQ T4'!E123)," ",'FBPQ T4'!AE123)</f>
        <v xml:space="preserve"> </v>
      </c>
      <c r="I131" s="1322" t="str">
        <f t="shared" si="3"/>
        <v xml:space="preserve"> </v>
      </c>
      <c r="J131" s="39"/>
      <c r="K131" s="32"/>
      <c r="L131" s="33"/>
      <c r="M131" s="32"/>
      <c r="N131" s="43"/>
      <c r="O131" s="42"/>
    </row>
    <row r="132" spans="1:15">
      <c r="A132" s="26"/>
      <c r="B132" s="21"/>
      <c r="C132" s="22" t="s">
        <v>393</v>
      </c>
      <c r="D132" s="26" t="s">
        <v>717</v>
      </c>
      <c r="E132" s="1319">
        <f>IF(ISNUMBER('FBPQ C2'!K124),'FBPQ C2'!K124,IF(ISNUMBER('FBPQ C2'!I124),'FBPQ C2'!I124,""))</f>
        <v>1174.4561693412438</v>
      </c>
      <c r="F132" s="1320" t="s">
        <v>781</v>
      </c>
      <c r="G132" s="1320">
        <f t="shared" si="2"/>
        <v>1174.4561693412438</v>
      </c>
      <c r="H132" s="1321">
        <f>IF(ISBLANK('FBPQ T4'!E124)," ",'FBPQ T4'!AE124)</f>
        <v>42</v>
      </c>
      <c r="I132" s="1322">
        <f t="shared" si="3"/>
        <v>49327.159112332243</v>
      </c>
      <c r="J132" s="39"/>
      <c r="K132" s="32"/>
      <c r="L132" s="32"/>
      <c r="M132" s="32"/>
      <c r="N132" s="43"/>
      <c r="O132" s="42"/>
    </row>
    <row r="133" spans="1:15">
      <c r="A133" s="26"/>
      <c r="B133" s="21"/>
      <c r="C133" s="22" t="s">
        <v>392</v>
      </c>
      <c r="D133" s="26" t="s">
        <v>717</v>
      </c>
      <c r="E133" s="1319">
        <f>IF(ISNUMBER('FBPQ C2'!K125),'FBPQ C2'!K125,IF(ISNUMBER('FBPQ C2'!I125),'FBPQ C2'!I125,""))</f>
        <v>1174.4561693412438</v>
      </c>
      <c r="F133" s="1320" t="s">
        <v>781</v>
      </c>
      <c r="G133" s="1320">
        <f t="shared" si="2"/>
        <v>1174.4561693412438</v>
      </c>
      <c r="H133" s="1321">
        <f>IF(ISBLANK('FBPQ T4'!E125)," ",'FBPQ T4'!AE125)</f>
        <v>164</v>
      </c>
      <c r="I133" s="1322">
        <f t="shared" si="3"/>
        <v>192610.81177196398</v>
      </c>
      <c r="J133" s="39"/>
      <c r="K133" s="32"/>
      <c r="L133" s="32"/>
      <c r="M133" s="32"/>
      <c r="N133" s="43"/>
      <c r="O133" s="42"/>
    </row>
    <row r="134" spans="1:15">
      <c r="A134" s="26"/>
      <c r="B134" s="21"/>
      <c r="C134" s="22" t="s">
        <v>356</v>
      </c>
      <c r="D134" s="26" t="s">
        <v>717</v>
      </c>
      <c r="E134" s="1319">
        <f>IF(ISNUMBER('FBPQ C2'!K126),'FBPQ C2'!K126,IF(ISNUMBER('FBPQ C2'!I126),'FBPQ C2'!I126,""))</f>
        <v>0</v>
      </c>
      <c r="F134" s="1320" t="s">
        <v>781</v>
      </c>
      <c r="G134" s="1320">
        <f t="shared" si="2"/>
        <v>0</v>
      </c>
      <c r="H134" s="1321">
        <f>IF(ISBLANK('FBPQ T4'!E126)," ",'FBPQ T4'!AE126)</f>
        <v>0</v>
      </c>
      <c r="I134" s="1322">
        <f t="shared" si="3"/>
        <v>0</v>
      </c>
      <c r="J134" s="39"/>
      <c r="K134" s="32"/>
      <c r="L134" s="32"/>
      <c r="M134" s="32"/>
      <c r="N134" s="43"/>
      <c r="O134" s="44"/>
    </row>
    <row r="135" spans="1:15">
      <c r="A135" s="26"/>
      <c r="B135" s="21"/>
      <c r="C135" s="22"/>
      <c r="D135" s="26"/>
      <c r="E135" s="1319" t="str">
        <f>IF(ISNUMBER('FBPQ C2'!K127),'FBPQ C2'!K127,IF(ISNUMBER('FBPQ C2'!I127),'FBPQ C2'!I127,""))</f>
        <v/>
      </c>
      <c r="F135" s="1320"/>
      <c r="G135" s="1320">
        <f t="shared" si="2"/>
        <v>0</v>
      </c>
      <c r="H135" s="1321" t="str">
        <f>IF(ISBLANK('FBPQ T4'!E127)," ",'FBPQ T4'!AE127)</f>
        <v xml:space="preserve"> </v>
      </c>
      <c r="I135" s="1322" t="str">
        <f t="shared" si="3"/>
        <v xml:space="preserve"> </v>
      </c>
      <c r="J135" s="39"/>
      <c r="K135" s="32"/>
      <c r="L135" s="32"/>
      <c r="M135" s="32"/>
      <c r="N135" s="39"/>
      <c r="O135" s="44"/>
    </row>
    <row r="136" spans="1:15">
      <c r="A136" s="26"/>
      <c r="B136" s="21" t="s">
        <v>596</v>
      </c>
      <c r="C136" s="22"/>
      <c r="D136" s="26"/>
      <c r="E136" s="1319" t="str">
        <f>IF(ISNUMBER('FBPQ C2'!K128),'FBPQ C2'!K128,IF(ISNUMBER('FBPQ C2'!I128),'FBPQ C2'!I128,""))</f>
        <v/>
      </c>
      <c r="F136" s="1320"/>
      <c r="G136" s="1320">
        <f t="shared" si="2"/>
        <v>0</v>
      </c>
      <c r="H136" s="1321" t="str">
        <f>IF(ISBLANK('FBPQ T4'!E128)," ",'FBPQ T4'!AE128)</f>
        <v xml:space="preserve"> </v>
      </c>
      <c r="I136" s="1322" t="str">
        <f t="shared" si="3"/>
        <v xml:space="preserve"> </v>
      </c>
      <c r="J136" s="39"/>
      <c r="K136" s="32"/>
      <c r="L136" s="33"/>
      <c r="M136" s="32"/>
      <c r="N136" s="39"/>
      <c r="O136" s="42"/>
    </row>
    <row r="137" spans="1:15">
      <c r="A137" s="26"/>
      <c r="B137" s="21"/>
      <c r="C137" s="22" t="s">
        <v>357</v>
      </c>
      <c r="D137" s="26" t="s">
        <v>717</v>
      </c>
      <c r="E137" s="1319">
        <f>IF(ISNUMBER('FBPQ C2'!K129),'FBPQ C2'!K129,IF(ISNUMBER('FBPQ C2'!I129),'FBPQ C2'!I129,""))</f>
        <v>0</v>
      </c>
      <c r="F137" s="1320" t="s">
        <v>781</v>
      </c>
      <c r="G137" s="1320">
        <f t="shared" si="2"/>
        <v>0</v>
      </c>
      <c r="H137" s="1321">
        <f>IF(ISBLANK('FBPQ T4'!E129)," ",'FBPQ T4'!AE129)</f>
        <v>0</v>
      </c>
      <c r="I137" s="1322">
        <f t="shared" si="3"/>
        <v>0</v>
      </c>
      <c r="J137" s="39"/>
      <c r="K137" s="32"/>
      <c r="L137" s="32"/>
      <c r="M137" s="48"/>
      <c r="N137" s="43"/>
      <c r="O137" s="44"/>
    </row>
    <row r="138" spans="1:15">
      <c r="A138" s="26"/>
      <c r="B138" s="21"/>
      <c r="C138" s="22"/>
      <c r="D138" s="26"/>
      <c r="E138" s="1319" t="str">
        <f>IF(ISNUMBER('FBPQ C2'!K130),'FBPQ C2'!K130,IF(ISNUMBER('FBPQ C2'!I130),'FBPQ C2'!I130,""))</f>
        <v/>
      </c>
      <c r="F138" s="1320"/>
      <c r="G138" s="1320">
        <f t="shared" si="2"/>
        <v>0</v>
      </c>
      <c r="H138" s="1321" t="str">
        <f>IF(ISBLANK('FBPQ T4'!E130)," ",'FBPQ T4'!AE130)</f>
        <v xml:space="preserve"> </v>
      </c>
      <c r="I138" s="1322" t="str">
        <f t="shared" si="3"/>
        <v xml:space="preserve"> </v>
      </c>
      <c r="J138" s="39"/>
      <c r="K138" s="32"/>
      <c r="L138" s="32"/>
      <c r="M138" s="32"/>
      <c r="N138" s="39"/>
      <c r="O138" s="44"/>
    </row>
    <row r="139" spans="1:15">
      <c r="A139" s="26"/>
      <c r="B139" s="21" t="s">
        <v>319</v>
      </c>
      <c r="C139" s="22"/>
      <c r="D139" s="26"/>
      <c r="E139" s="1319" t="str">
        <f>IF(ISNUMBER('FBPQ C2'!K131),'FBPQ C2'!K131,IF(ISNUMBER('FBPQ C2'!I131),'FBPQ C2'!I131,""))</f>
        <v/>
      </c>
      <c r="F139" s="1320"/>
      <c r="G139" s="1320">
        <f t="shared" si="2"/>
        <v>0</v>
      </c>
      <c r="H139" s="1321" t="str">
        <f>IF(ISBLANK('FBPQ T4'!E131)," ",'FBPQ T4'!AE131)</f>
        <v xml:space="preserve"> </v>
      </c>
      <c r="I139" s="1322" t="str">
        <f t="shared" si="3"/>
        <v xml:space="preserve"> </v>
      </c>
      <c r="J139" s="39"/>
      <c r="K139" s="32"/>
      <c r="L139" s="33"/>
      <c r="M139" s="32"/>
      <c r="N139" s="39"/>
      <c r="O139" s="42"/>
    </row>
    <row r="140" spans="1:15">
      <c r="A140" s="26"/>
      <c r="B140" s="21"/>
      <c r="C140" s="22" t="s">
        <v>358</v>
      </c>
      <c r="D140" s="26" t="s">
        <v>428</v>
      </c>
      <c r="E140" s="1319">
        <f>IF(ISNUMBER('FBPQ C2'!K132),'FBPQ C2'!K132,IF(ISNUMBER('FBPQ C2'!I132),'FBPQ C2'!I132,""))</f>
        <v>1048.3376453104456</v>
      </c>
      <c r="F140" s="1320" t="s">
        <v>781</v>
      </c>
      <c r="G140" s="1320">
        <f t="shared" si="2"/>
        <v>1048.3376453104456</v>
      </c>
      <c r="H140" s="1321">
        <f>IF(ISBLANK('FBPQ T4'!E132)," ",'FBPQ T4'!AE132)</f>
        <v>245</v>
      </c>
      <c r="I140" s="1322">
        <f t="shared" si="3"/>
        <v>256842.72310105918</v>
      </c>
      <c r="J140" s="39"/>
      <c r="K140" s="32"/>
      <c r="L140" s="32"/>
      <c r="M140" s="32"/>
      <c r="N140" s="43"/>
      <c r="O140" s="45"/>
    </row>
    <row r="141" spans="1:15">
      <c r="A141" s="26"/>
      <c r="B141" s="21"/>
      <c r="C141" s="22" t="s">
        <v>359</v>
      </c>
      <c r="D141" s="26" t="s">
        <v>428</v>
      </c>
      <c r="E141" s="1323">
        <f>E140</f>
        <v>1048.3376453104456</v>
      </c>
      <c r="F141" s="1320" t="s">
        <v>781</v>
      </c>
      <c r="G141" s="1320">
        <f t="shared" si="2"/>
        <v>1048.3376453104456</v>
      </c>
      <c r="H141" s="1321">
        <f>IF(ISBLANK('FBPQ T4'!E133)," ",'FBPQ T4'!AE133)</f>
        <v>1662</v>
      </c>
      <c r="I141" s="1322">
        <f t="shared" si="3"/>
        <v>1742337.1665059605</v>
      </c>
      <c r="J141" s="39"/>
      <c r="K141" s="32"/>
      <c r="L141" s="32"/>
      <c r="M141" s="32"/>
      <c r="N141" s="43"/>
      <c r="O141" s="44"/>
    </row>
    <row r="142" spans="1:15">
      <c r="A142" s="26"/>
      <c r="B142" s="21"/>
      <c r="C142" s="22"/>
      <c r="D142" s="26"/>
      <c r="E142" s="1319" t="str">
        <f>IF(ISNUMBER('FBPQ C2'!K134),'FBPQ C2'!K134,IF(ISNUMBER('FBPQ C2'!I134),'FBPQ C2'!I134,""))</f>
        <v/>
      </c>
      <c r="F142" s="1320"/>
      <c r="G142" s="1320">
        <f t="shared" si="2"/>
        <v>0</v>
      </c>
      <c r="H142" s="1321" t="str">
        <f>IF(ISBLANK('FBPQ T4'!E134)," ",'FBPQ T4'!AE134)</f>
        <v xml:space="preserve"> </v>
      </c>
      <c r="I142" s="1322" t="str">
        <f t="shared" si="3"/>
        <v xml:space="preserve"> </v>
      </c>
      <c r="J142" s="39"/>
      <c r="K142" s="32"/>
      <c r="L142" s="32"/>
      <c r="M142" s="32"/>
      <c r="N142" s="39"/>
      <c r="O142" s="44"/>
    </row>
    <row r="143" spans="1:15">
      <c r="A143" s="26"/>
      <c r="B143" s="21" t="s">
        <v>226</v>
      </c>
      <c r="C143" s="22"/>
      <c r="D143" s="26"/>
      <c r="E143" s="1319" t="str">
        <f>IF(ISNUMBER('FBPQ C2'!K135),'FBPQ C2'!K135,IF(ISNUMBER('FBPQ C2'!I135),'FBPQ C2'!I135,""))</f>
        <v/>
      </c>
      <c r="F143" s="1320"/>
      <c r="G143" s="1320">
        <f t="shared" si="2"/>
        <v>0</v>
      </c>
      <c r="H143" s="1321" t="str">
        <f>IF(ISBLANK('FBPQ T4'!E135)," ",'FBPQ T4'!AE135)</f>
        <v xml:space="preserve"> </v>
      </c>
      <c r="I143" s="1322" t="str">
        <f t="shared" si="3"/>
        <v xml:space="preserve"> </v>
      </c>
      <c r="J143" s="39"/>
      <c r="K143" s="32"/>
      <c r="L143" s="33"/>
      <c r="M143" s="32"/>
      <c r="N143" s="43"/>
      <c r="O143" s="42"/>
    </row>
    <row r="144" spans="1:15">
      <c r="A144" s="26"/>
      <c r="B144" s="21"/>
      <c r="C144" s="22" t="s">
        <v>360</v>
      </c>
      <c r="D144" s="26" t="s">
        <v>428</v>
      </c>
      <c r="E144" s="1319">
        <f>IF(ISNUMBER('FBPQ C2'!K136),'FBPQ C2'!K136,IF(ISNUMBER('FBPQ C2'!I136),'FBPQ C2'!I136,""))</f>
        <v>2117.5143590615103</v>
      </c>
      <c r="F144" s="1320" t="s">
        <v>781</v>
      </c>
      <c r="G144" s="1320">
        <f t="shared" si="2"/>
        <v>2117.5143590615103</v>
      </c>
      <c r="H144" s="1321">
        <f>IF(ISBLANK('FBPQ T4'!E136)," ",'FBPQ T4'!AE136)</f>
        <v>191</v>
      </c>
      <c r="I144" s="1322">
        <f t="shared" si="3"/>
        <v>404445.24258074845</v>
      </c>
      <c r="J144" s="39"/>
      <c r="K144" s="32"/>
      <c r="L144" s="32"/>
      <c r="M144" s="48"/>
      <c r="N144" s="43"/>
      <c r="O144" s="49"/>
    </row>
    <row r="145" spans="1:15">
      <c r="A145" s="26"/>
      <c r="B145" s="21"/>
      <c r="C145" s="22" t="s">
        <v>361</v>
      </c>
      <c r="D145" s="26" t="s">
        <v>428</v>
      </c>
      <c r="E145" s="1323">
        <f>E76</f>
        <v>11.322962042879682</v>
      </c>
      <c r="F145" s="1320" t="s">
        <v>781</v>
      </c>
      <c r="G145" s="1320">
        <f t="shared" si="2"/>
        <v>11.322962042879682</v>
      </c>
      <c r="H145" s="1321">
        <f>IF(ISBLANK('FBPQ T4'!E137)," ",'FBPQ T4'!AE137)</f>
        <v>336</v>
      </c>
      <c r="I145" s="1322">
        <f t="shared" si="3"/>
        <v>3804.5152464075732</v>
      </c>
      <c r="J145" s="39"/>
      <c r="K145" s="32"/>
      <c r="L145" s="32"/>
      <c r="M145" s="48"/>
      <c r="N145" s="43"/>
      <c r="O145" s="50"/>
    </row>
    <row r="146" spans="1:15">
      <c r="A146" s="26"/>
      <c r="B146" s="21"/>
      <c r="C146" s="22"/>
      <c r="D146" s="26"/>
      <c r="E146" s="1319" t="str">
        <f>IF(ISNUMBER('FBPQ C2'!K138),'FBPQ C2'!K138,IF(ISNUMBER('FBPQ C2'!I138),'FBPQ C2'!I138,""))</f>
        <v/>
      </c>
      <c r="F146" s="1320"/>
      <c r="G146" s="1320">
        <f t="shared" si="2"/>
        <v>0</v>
      </c>
      <c r="H146" s="1321" t="str">
        <f>IF(ISBLANK('FBPQ T4'!E138)," ",'FBPQ T4'!AE138)</f>
        <v xml:space="preserve"> </v>
      </c>
      <c r="I146" s="1322" t="str">
        <f t="shared" si="3"/>
        <v xml:space="preserve"> </v>
      </c>
      <c r="J146" s="46"/>
      <c r="K146" s="46"/>
      <c r="L146" s="46"/>
      <c r="M146" s="46"/>
      <c r="N146" s="47"/>
    </row>
    <row r="147" spans="1:15">
      <c r="A147" s="26" t="s">
        <v>366</v>
      </c>
      <c r="B147" s="21"/>
      <c r="C147" s="22"/>
      <c r="D147" s="26"/>
      <c r="E147" s="1319" t="str">
        <f>IF(ISNUMBER('FBPQ C2'!K139),'FBPQ C2'!K139,IF(ISNUMBER('FBPQ C2'!I139),'FBPQ C2'!I139,""))</f>
        <v/>
      </c>
      <c r="F147" s="1320"/>
      <c r="G147" s="1320">
        <f t="shared" si="2"/>
        <v>0</v>
      </c>
      <c r="H147" s="1321" t="str">
        <f>IF(ISBLANK('FBPQ T4'!E139)," ",'FBPQ T4'!AE139)</f>
        <v xml:space="preserve"> </v>
      </c>
      <c r="I147" s="1322" t="str">
        <f t="shared" si="3"/>
        <v xml:space="preserve"> </v>
      </c>
    </row>
    <row r="148" spans="1:15">
      <c r="A148" s="26"/>
      <c r="B148" s="21" t="s">
        <v>367</v>
      </c>
      <c r="C148" s="22"/>
      <c r="D148" s="26"/>
      <c r="E148" s="1319" t="str">
        <f>IF(ISNUMBER('FBPQ C2'!K140),'FBPQ C2'!K140,IF(ISNUMBER('FBPQ C2'!I140),'FBPQ C2'!I140,""))</f>
        <v/>
      </c>
      <c r="F148" s="1320"/>
      <c r="G148" s="1320">
        <f t="shared" ref="G148:G163" si="4">IF(ISNUMBER(E148),E148,IF(H148&gt;0,F148," "))</f>
        <v>0</v>
      </c>
      <c r="H148" s="1321" t="str">
        <f>IF(ISBLANK('FBPQ T4'!E140)," ",'FBPQ T4'!AE140)</f>
        <v xml:space="preserve"> </v>
      </c>
      <c r="I148" s="1322" t="str">
        <f t="shared" si="3"/>
        <v xml:space="preserve"> </v>
      </c>
    </row>
    <row r="149" spans="1:15">
      <c r="A149" s="26"/>
      <c r="B149" s="21"/>
      <c r="C149" s="22" t="s">
        <v>368</v>
      </c>
      <c r="D149" s="26" t="s">
        <v>428</v>
      </c>
      <c r="E149" s="1323">
        <v>62.645000000000003</v>
      </c>
      <c r="F149" s="1320" t="s">
        <v>781</v>
      </c>
      <c r="G149" s="1320">
        <f t="shared" si="4"/>
        <v>62.645000000000003</v>
      </c>
      <c r="H149" s="1321">
        <f>IF(ISBLANK('FBPQ T4'!E141)," ",'FBPQ T4'!AE141)</f>
        <v>2</v>
      </c>
      <c r="I149" s="1322">
        <f t="shared" ref="I149:I163" si="5">IF(ISERROR(G149*H149)," ",G149*H149)</f>
        <v>125.29</v>
      </c>
    </row>
    <row r="150" spans="1:15">
      <c r="A150" s="26"/>
      <c r="B150" s="21"/>
      <c r="C150" s="22" t="s">
        <v>494</v>
      </c>
      <c r="D150" s="26" t="s">
        <v>428</v>
      </c>
      <c r="E150" s="1323">
        <v>62.645000000000003</v>
      </c>
      <c r="F150" s="1320" t="s">
        <v>781</v>
      </c>
      <c r="G150" s="1320">
        <f t="shared" si="4"/>
        <v>62.645000000000003</v>
      </c>
      <c r="H150" s="1321">
        <f>IF(ISBLANK('FBPQ T4'!E142)," ",'FBPQ T4'!AE142)</f>
        <v>484</v>
      </c>
      <c r="I150" s="1322">
        <f t="shared" si="5"/>
        <v>30320.18</v>
      </c>
    </row>
    <row r="151" spans="1:15">
      <c r="A151" s="26"/>
      <c r="B151" s="21"/>
      <c r="C151" s="22"/>
      <c r="D151" s="26"/>
      <c r="E151" s="1325" t="str">
        <f>IF(ISNUMBER('FBPQ C2'!K143),'FBPQ C2'!K143,IF(ISNUMBER('FBPQ C2'!I143),'FBPQ C2'!I143,""))</f>
        <v/>
      </c>
      <c r="F151" s="1320"/>
      <c r="G151" s="1320">
        <f t="shared" si="4"/>
        <v>0</v>
      </c>
      <c r="H151" s="1321" t="str">
        <f>IF(ISBLANK('FBPQ T4'!E143)," ",'FBPQ T4'!AE143)</f>
        <v xml:space="preserve"> </v>
      </c>
      <c r="I151" s="1322" t="str">
        <f t="shared" si="5"/>
        <v xml:space="preserve"> </v>
      </c>
    </row>
    <row r="152" spans="1:15">
      <c r="A152" s="26"/>
      <c r="B152" s="21" t="s">
        <v>495</v>
      </c>
      <c r="C152" s="22"/>
      <c r="D152" s="26"/>
      <c r="E152" s="1319" t="str">
        <f>IF(ISNUMBER('FBPQ C2'!K144),'FBPQ C2'!K144,IF(ISNUMBER('FBPQ C2'!I144),'FBPQ C2'!I144,""))</f>
        <v/>
      </c>
      <c r="F152" s="1320"/>
      <c r="G152" s="1320">
        <f t="shared" si="4"/>
        <v>0</v>
      </c>
      <c r="H152" s="1321" t="str">
        <f>IF(ISBLANK('FBPQ T4'!E144)," ",'FBPQ T4'!AE144)</f>
        <v xml:space="preserve"> </v>
      </c>
      <c r="I152" s="1322" t="str">
        <f t="shared" si="5"/>
        <v xml:space="preserve"> </v>
      </c>
    </row>
    <row r="153" spans="1:15">
      <c r="A153" s="26"/>
      <c r="B153" s="21"/>
      <c r="C153" s="22" t="s">
        <v>370</v>
      </c>
      <c r="D153" s="26" t="s">
        <v>428</v>
      </c>
      <c r="E153" s="1323">
        <v>62.645000000000003</v>
      </c>
      <c r="F153" s="1320" t="s">
        <v>781</v>
      </c>
      <c r="G153" s="1320">
        <f t="shared" si="4"/>
        <v>62.645000000000003</v>
      </c>
      <c r="H153" s="1321">
        <f>IF(ISBLANK('FBPQ T4'!E145)," ",'FBPQ T4'!AE145)</f>
        <v>1491</v>
      </c>
      <c r="I153" s="1326">
        <f t="shared" si="5"/>
        <v>93403.695000000007</v>
      </c>
    </row>
    <row r="154" spans="1:15">
      <c r="A154" s="26"/>
      <c r="B154" s="21"/>
      <c r="C154" s="22" t="s">
        <v>371</v>
      </c>
      <c r="D154" s="26" t="s">
        <v>428</v>
      </c>
      <c r="E154" s="1323">
        <v>62.645000000000003</v>
      </c>
      <c r="F154" s="1320" t="s">
        <v>781</v>
      </c>
      <c r="G154" s="1320">
        <f t="shared" si="4"/>
        <v>62.645000000000003</v>
      </c>
      <c r="H154" s="1321">
        <f>IF(ISBLANK('FBPQ T4'!E146)," ",'FBPQ T4'!AE146)</f>
        <v>751</v>
      </c>
      <c r="I154" s="1322">
        <f t="shared" si="5"/>
        <v>47046.395000000004</v>
      </c>
    </row>
    <row r="155" spans="1:15">
      <c r="A155" s="26"/>
      <c r="B155" s="21"/>
      <c r="C155" s="22"/>
      <c r="D155" s="26"/>
      <c r="E155" s="1319" t="str">
        <f>IF(ISNUMBER('FBPQ C2'!K147),'FBPQ C2'!K147,IF(ISNUMBER('FBPQ C2'!I147),'FBPQ C2'!I147,""))</f>
        <v/>
      </c>
      <c r="F155" s="1320"/>
      <c r="G155" s="1320">
        <f t="shared" si="4"/>
        <v>0</v>
      </c>
      <c r="H155" s="1321" t="str">
        <f>IF(ISBLANK('FBPQ T4'!E147)," ",'FBPQ T4'!AE147)</f>
        <v xml:space="preserve"> </v>
      </c>
      <c r="I155" s="1322" t="str">
        <f t="shared" si="5"/>
        <v xml:space="preserve"> </v>
      </c>
    </row>
    <row r="156" spans="1:15">
      <c r="A156" s="26"/>
      <c r="B156" s="21"/>
      <c r="C156" s="22"/>
      <c r="D156" s="26"/>
      <c r="E156" s="1319" t="str">
        <f>IF(ISNUMBER('FBPQ C2'!K148),'FBPQ C2'!K148,IF(ISNUMBER('FBPQ C2'!I148),'FBPQ C2'!I148,""))</f>
        <v/>
      </c>
      <c r="F156" s="1320"/>
      <c r="G156" s="1320">
        <f t="shared" si="4"/>
        <v>0</v>
      </c>
      <c r="H156" s="1321" t="str">
        <f>IF(ISBLANK('FBPQ T4'!E148)," ",'FBPQ T4'!AE148)</f>
        <v xml:space="preserve"> </v>
      </c>
      <c r="I156" s="1322" t="str">
        <f t="shared" si="5"/>
        <v xml:space="preserve"> </v>
      </c>
    </row>
    <row r="157" spans="1:15">
      <c r="A157" s="26" t="s">
        <v>372</v>
      </c>
      <c r="B157" s="21"/>
      <c r="C157" s="22"/>
      <c r="D157" s="26"/>
      <c r="E157" s="1319" t="str">
        <f>IF(ISNUMBER('FBPQ C2'!K149),'FBPQ C2'!K149,IF(ISNUMBER('FBPQ C2'!I149),'FBPQ C2'!I149,""))</f>
        <v/>
      </c>
      <c r="F157" s="1320"/>
      <c r="G157" s="1320">
        <f t="shared" si="4"/>
        <v>0</v>
      </c>
      <c r="H157" s="1321" t="str">
        <f>IF(ISBLANK('FBPQ T4'!E149)," ",'FBPQ T4'!AE149)</f>
        <v xml:space="preserve"> </v>
      </c>
      <c r="I157" s="1322" t="str">
        <f t="shared" si="5"/>
        <v xml:space="preserve"> </v>
      </c>
    </row>
    <row r="158" spans="1:15">
      <c r="A158" s="26"/>
      <c r="B158" s="21"/>
      <c r="C158" s="22" t="s">
        <v>608</v>
      </c>
      <c r="D158" s="26"/>
      <c r="E158" s="1319" t="str">
        <f>IF(ISNUMBER('FBPQ C2'!K150),'FBPQ C2'!K150,IF(ISNUMBER('FBPQ C2'!I150),'FBPQ C2'!I150,""))</f>
        <v/>
      </c>
      <c r="F158" s="1320"/>
      <c r="G158" s="1320">
        <f t="shared" si="4"/>
        <v>0</v>
      </c>
      <c r="H158" s="1321" t="str">
        <f>IF(ISBLANK('FBPQ T4'!E150)," ",'FBPQ T4'!AE150)</f>
        <v xml:space="preserve"> </v>
      </c>
      <c r="I158" s="1322" t="str">
        <f t="shared" si="5"/>
        <v xml:space="preserve"> </v>
      </c>
    </row>
    <row r="159" spans="1:15">
      <c r="A159" s="26"/>
      <c r="B159" s="21"/>
      <c r="C159" s="22" t="s">
        <v>373</v>
      </c>
      <c r="D159" s="26" t="s">
        <v>428</v>
      </c>
      <c r="E159" s="1319">
        <f>IF(ISNUMBER('FBPQ C2'!K151),'FBPQ C2'!K151,IF(ISNUMBER('FBPQ C2'!I151),'FBPQ C2'!I151,""))</f>
        <v>29.271061451274075</v>
      </c>
      <c r="F159" s="1320" t="s">
        <v>781</v>
      </c>
      <c r="G159" s="1320">
        <f t="shared" si="4"/>
        <v>29.271061451274075</v>
      </c>
      <c r="H159" s="1321" t="str">
        <f>IF(ISBLANK('FBPQ T4'!E151)," ",'FBPQ T4'!AE151)</f>
        <v xml:space="preserve"> </v>
      </c>
      <c r="I159" s="1322" t="str">
        <f t="shared" si="5"/>
        <v xml:space="preserve"> </v>
      </c>
    </row>
    <row r="160" spans="1:15">
      <c r="A160" s="26"/>
      <c r="B160" s="21"/>
      <c r="C160" s="22" t="s">
        <v>374</v>
      </c>
      <c r="D160" s="26" t="s">
        <v>428</v>
      </c>
      <c r="E160" s="1319">
        <f>IF(ISNUMBER('FBPQ C2'!K152),'FBPQ C2'!K152,IF(ISNUMBER('FBPQ C2'!I152),'FBPQ C2'!I152,""))</f>
        <v>7.4683366665802167</v>
      </c>
      <c r="F160" s="1320" t="s">
        <v>781</v>
      </c>
      <c r="G160" s="1320">
        <f t="shared" si="4"/>
        <v>7.4683366665802167</v>
      </c>
      <c r="H160" s="1321" t="str">
        <f>IF(ISBLANK('FBPQ T4'!E152)," ",'FBPQ T4'!AE152)</f>
        <v xml:space="preserve"> </v>
      </c>
      <c r="I160" s="1322" t="str">
        <f t="shared" si="5"/>
        <v xml:space="preserve"> </v>
      </c>
    </row>
    <row r="161" spans="1:9">
      <c r="A161" s="26"/>
      <c r="B161" s="21"/>
      <c r="C161" s="22" t="s">
        <v>217</v>
      </c>
      <c r="D161" s="26"/>
      <c r="E161" s="1319" t="str">
        <f>IF(ISNUMBER('FBPQ C2'!K153),'FBPQ C2'!K153,IF(ISNUMBER('FBPQ C2'!I153),'FBPQ C2'!I153,""))</f>
        <v/>
      </c>
      <c r="F161" s="1320" t="s">
        <v>781</v>
      </c>
      <c r="G161" s="1320" t="str">
        <f t="shared" si="4"/>
        <v>DATA</v>
      </c>
      <c r="H161" s="1321" t="str">
        <f>IF(ISBLANK('FBPQ T4'!E153)," ",'FBPQ T4'!AE153)</f>
        <v xml:space="preserve"> </v>
      </c>
      <c r="I161" s="1322" t="str">
        <f t="shared" si="5"/>
        <v xml:space="preserve"> </v>
      </c>
    </row>
    <row r="162" spans="1:9">
      <c r="A162" s="26"/>
      <c r="B162" s="21"/>
      <c r="C162" s="22" t="s">
        <v>373</v>
      </c>
      <c r="D162" s="26" t="s">
        <v>428</v>
      </c>
      <c r="E162" s="1319">
        <f>IF(ISNUMBER('FBPQ C2'!K154),'FBPQ C2'!K154,IF(ISNUMBER('FBPQ C2'!I154),'FBPQ C2'!I154,""))</f>
        <v>0</v>
      </c>
      <c r="F162" s="1320" t="s">
        <v>781</v>
      </c>
      <c r="G162" s="1320">
        <f t="shared" si="4"/>
        <v>0</v>
      </c>
      <c r="H162" s="1321" t="str">
        <f>IF(ISBLANK('FBPQ T4'!E154)," ",'FBPQ T4'!AE154)</f>
        <v xml:space="preserve"> </v>
      </c>
      <c r="I162" s="1322" t="str">
        <f t="shared" si="5"/>
        <v xml:space="preserve"> </v>
      </c>
    </row>
    <row r="163" spans="1:9">
      <c r="A163" s="25"/>
      <c r="B163" s="23"/>
      <c r="C163" s="24" t="s">
        <v>374</v>
      </c>
      <c r="D163" s="25" t="s">
        <v>428</v>
      </c>
      <c r="E163" s="1327">
        <f>IF(ISNUMBER('FBPQ C2'!K155),'FBPQ C2'!K155,IF(ISNUMBER('FBPQ C2'!I155),'FBPQ C2'!I155,""))</f>
        <v>0</v>
      </c>
      <c r="F163" s="1328" t="s">
        <v>781</v>
      </c>
      <c r="G163" s="1328">
        <f t="shared" si="4"/>
        <v>0</v>
      </c>
      <c r="H163" s="1329" t="str">
        <f>IF(ISBLANK('FBPQ T4'!E155)," ",'FBPQ T4'!AE155)</f>
        <v xml:space="preserve"> </v>
      </c>
      <c r="I163" s="1330" t="str">
        <f t="shared" si="5"/>
        <v xml:space="preserve"> </v>
      </c>
    </row>
    <row r="164" spans="1:9">
      <c r="H164" s="1331" t="s">
        <v>165</v>
      </c>
      <c r="I164" s="1332">
        <f>SUM(I18:I163)</f>
        <v>18235705.162439495</v>
      </c>
    </row>
  </sheetData>
  <mergeCells count="8">
    <mergeCell ref="O3:Q3"/>
    <mergeCell ref="O4:Q4"/>
    <mergeCell ref="B3:D3"/>
    <mergeCell ref="B4:D4"/>
    <mergeCell ref="F3:H3"/>
    <mergeCell ref="F4:H4"/>
    <mergeCell ref="J3:L3"/>
    <mergeCell ref="J4:L4"/>
  </mergeCells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75" workbookViewId="0">
      <selection sqref="A1:IV65536"/>
    </sheetView>
  </sheetViews>
  <sheetFormatPr defaultColWidth="8.85546875" defaultRowHeight="12.75"/>
  <cols>
    <col min="1" max="1" width="8.85546875" customWidth="1"/>
    <col min="2" max="2" width="18.28515625" customWidth="1"/>
    <col min="3" max="3" width="19.7109375" customWidth="1"/>
    <col min="4" max="4" width="13.7109375" customWidth="1"/>
    <col min="5" max="5" width="12.7109375" customWidth="1"/>
    <col min="6" max="6" width="21.28515625" customWidth="1"/>
    <col min="7" max="8" width="14.42578125" customWidth="1"/>
    <col min="9" max="9" width="19.7109375" customWidth="1"/>
  </cols>
  <sheetData>
    <row r="1" spans="1:9" s="1" customFormat="1">
      <c r="A1" s="1301" t="s">
        <v>99</v>
      </c>
      <c r="F1" s="891" t="s">
        <v>774</v>
      </c>
    </row>
    <row r="3" spans="1:9" ht="26.25" customHeight="1">
      <c r="B3" s="1445" t="s">
        <v>168</v>
      </c>
      <c r="C3" s="1446"/>
      <c r="D3" s="1447"/>
      <c r="F3" s="1445" t="s">
        <v>80</v>
      </c>
      <c r="G3" s="1446"/>
      <c r="H3" s="1447"/>
    </row>
    <row r="4" spans="1:9" ht="12.75" customHeight="1">
      <c r="B4" s="1428" t="s">
        <v>62</v>
      </c>
      <c r="C4" s="1452"/>
      <c r="D4" s="1451"/>
      <c r="F4" s="1428" t="s">
        <v>62</v>
      </c>
      <c r="G4" s="1452"/>
      <c r="H4" s="1451"/>
    </row>
    <row r="5" spans="1:9">
      <c r="B5" s="6"/>
      <c r="C5" s="1302" t="s">
        <v>542</v>
      </c>
      <c r="D5" s="1303" t="s">
        <v>100</v>
      </c>
      <c r="F5" s="6"/>
      <c r="G5" s="1302" t="s">
        <v>542</v>
      </c>
      <c r="H5" s="1304" t="s">
        <v>100</v>
      </c>
    </row>
    <row r="6" spans="1:9">
      <c r="B6" s="1305" t="s">
        <v>803</v>
      </c>
      <c r="C6" s="10">
        <f>C19+F19+I19+C28</f>
        <v>128.03944818043911</v>
      </c>
      <c r="D6" s="239">
        <f>C6/SUM($C$6:$C$9)</f>
        <v>0.13596332621236557</v>
      </c>
      <c r="F6" s="1305" t="s">
        <v>803</v>
      </c>
      <c r="G6" s="54">
        <f>+C39+F39+I39+C49</f>
        <v>128.03944818043911</v>
      </c>
      <c r="H6" s="8">
        <f>G6/SUM($G$6:$G$10)</f>
        <v>0.13596332621236557</v>
      </c>
    </row>
    <row r="7" spans="1:9">
      <c r="B7" s="1305" t="s">
        <v>802</v>
      </c>
      <c r="C7" s="11">
        <f>C20+F20+I20+C29</f>
        <v>312.43495500464473</v>
      </c>
      <c r="D7" s="240">
        <f>C7/SUM($C$6:$C$9)</f>
        <v>0.3317703747643298</v>
      </c>
      <c r="F7" s="1305" t="s">
        <v>61</v>
      </c>
      <c r="G7" s="55">
        <f>+C40+F40+I40+C50</f>
        <v>56.267333977708013</v>
      </c>
      <c r="H7" s="7">
        <f>G7/SUM($G$6:$G$10)</f>
        <v>5.9749506838939877E-2</v>
      </c>
    </row>
    <row r="8" spans="1:9">
      <c r="B8" s="1305" t="s">
        <v>808</v>
      </c>
      <c r="C8" s="11">
        <f>C21+F21+I21+C30</f>
        <v>201.11315333604219</v>
      </c>
      <c r="D8" s="240">
        <f>C8/SUM($C$6:$C$9)</f>
        <v>0.21355928708854907</v>
      </c>
      <c r="F8" s="1305" t="s">
        <v>802</v>
      </c>
      <c r="G8" s="55">
        <f>+C41+F41+I41+C51</f>
        <v>256.16762102693673</v>
      </c>
      <c r="H8" s="7">
        <f>G8/SUM($G$6:$G$10)</f>
        <v>0.27202086792538993</v>
      </c>
    </row>
    <row r="9" spans="1:9">
      <c r="B9" s="1306" t="s">
        <v>210</v>
      </c>
      <c r="C9" s="12">
        <f>C22+F22+I22+C31</f>
        <v>300.13291875211144</v>
      </c>
      <c r="D9" s="241">
        <f>C9/SUM($C$6:$C$9)</f>
        <v>0.31870701193475565</v>
      </c>
      <c r="F9" s="1305" t="s">
        <v>808</v>
      </c>
      <c r="G9" s="55">
        <f>+C42+F42+I42+C52</f>
        <v>201.11315333604219</v>
      </c>
      <c r="H9" s="7">
        <f>G9/SUM($G$6:$G$10)</f>
        <v>0.21355928708854907</v>
      </c>
    </row>
    <row r="10" spans="1:9">
      <c r="B10" s="1307"/>
      <c r="C10" s="52"/>
      <c r="D10" s="53"/>
      <c r="F10" s="1306" t="s">
        <v>210</v>
      </c>
      <c r="G10" s="56">
        <f>+C43+F43+I43+C53</f>
        <v>300.13291875211144</v>
      </c>
      <c r="H10" s="9">
        <f>G10/SUM($G$6:$G$10)</f>
        <v>0.31870701193475565</v>
      </c>
    </row>
    <row r="11" spans="1:9">
      <c r="B11" s="1307"/>
      <c r="C11" s="52"/>
      <c r="D11" s="252"/>
    </row>
    <row r="12" spans="1:9" ht="12" customHeight="1">
      <c r="B12" s="1307"/>
      <c r="C12" s="4"/>
    </row>
    <row r="13" spans="1:9" s="1" customFormat="1">
      <c r="A13" s="1301" t="s">
        <v>67</v>
      </c>
    </row>
    <row r="15" spans="1:9" ht="5.25" customHeight="1"/>
    <row r="16" spans="1:9" s="2" customFormat="1" ht="26.25" customHeight="1">
      <c r="B16" s="1445" t="s">
        <v>313</v>
      </c>
      <c r="C16" s="1447"/>
      <c r="E16" s="1445" t="s">
        <v>211</v>
      </c>
      <c r="F16" s="1447"/>
      <c r="H16" s="1445" t="s">
        <v>95</v>
      </c>
      <c r="I16" s="1447"/>
    </row>
    <row r="17" spans="2:9" ht="27" customHeight="1">
      <c r="B17" s="1428" t="s">
        <v>63</v>
      </c>
      <c r="C17" s="1451"/>
      <c r="E17" s="1428" t="s">
        <v>212</v>
      </c>
      <c r="F17" s="1451"/>
      <c r="H17" s="1428" t="s">
        <v>96</v>
      </c>
      <c r="I17" s="1451"/>
    </row>
    <row r="18" spans="2:9" ht="12.75" customHeight="1">
      <c r="B18" s="13"/>
      <c r="C18" s="10"/>
      <c r="E18" s="3"/>
      <c r="F18" s="10"/>
      <c r="H18" s="3"/>
      <c r="I18" s="10"/>
    </row>
    <row r="19" spans="2:9" ht="12" customHeight="1">
      <c r="B19" s="1305" t="s">
        <v>803</v>
      </c>
      <c r="C19" s="11">
        <f>SUM('FBPQ LR1'!D82:M82)-SUM('FBPQ LR1'!D110:M110)</f>
        <v>41.132566013145379</v>
      </c>
      <c r="E19" s="1308" t="s">
        <v>803</v>
      </c>
      <c r="F19" s="11">
        <f>SUM('FBPQ LR4'!D11:M11)</f>
        <v>10.2948140695399</v>
      </c>
      <c r="H19" s="1308" t="s">
        <v>803</v>
      </c>
      <c r="I19" s="11">
        <f>SUM('FBPQ LR6'!C28:L28)</f>
        <v>0</v>
      </c>
    </row>
    <row r="20" spans="2:9">
      <c r="B20" s="1305" t="s">
        <v>802</v>
      </c>
      <c r="C20" s="11">
        <f>SUM('FBPQ LR1'!D86:M86)-SUM('FBPQ LR1'!D114:M114)</f>
        <v>100.38915569099296</v>
      </c>
      <c r="E20" s="1308" t="s">
        <v>802</v>
      </c>
      <c r="F20" s="11">
        <f>SUM('FBPQ LR4'!D12:M12)</f>
        <v>41.569892705940312</v>
      </c>
      <c r="H20" s="1308" t="s">
        <v>802</v>
      </c>
      <c r="I20" s="11">
        <f>SUM('FBPQ LR6'!C29:L29)</f>
        <v>2.04974931253745</v>
      </c>
    </row>
    <row r="21" spans="2:9">
      <c r="B21" s="1305" t="s">
        <v>808</v>
      </c>
      <c r="C21" s="11">
        <f>SUM('FBPQ LR1'!D90:M90)-SUM('FBPQ LR1'!D118:M118)</f>
        <v>0.3967625126607135</v>
      </c>
      <c r="E21" s="1308" t="s">
        <v>808</v>
      </c>
      <c r="F21" s="11">
        <f>SUM('FBPQ LR4'!D13:M13)</f>
        <v>95.089517911596914</v>
      </c>
      <c r="H21" s="1308" t="s">
        <v>808</v>
      </c>
      <c r="I21" s="11">
        <f>SUM('FBPQ LR6'!C30:L30)</f>
        <v>10.928432918880622</v>
      </c>
    </row>
    <row r="22" spans="2:9">
      <c r="B22" s="1306" t="s">
        <v>210</v>
      </c>
      <c r="C22" s="12">
        <f>SUM('FBPQ LR1'!D94:M94)-SUM('FBPQ LR1'!D122:M122)</f>
        <v>0</v>
      </c>
      <c r="E22" s="1309" t="s">
        <v>210</v>
      </c>
      <c r="F22" s="12">
        <f>SUM('FBPQ LR4'!D14:M14)</f>
        <v>157.49344707378151</v>
      </c>
      <c r="H22" s="1309" t="s">
        <v>210</v>
      </c>
      <c r="I22" s="12">
        <f>SUM('FBPQ LR6'!C31:L31)</f>
        <v>10.137299167357355</v>
      </c>
    </row>
    <row r="25" spans="2:9" ht="24.75" customHeight="1">
      <c r="B25" s="1445" t="s">
        <v>97</v>
      </c>
      <c r="C25" s="1447"/>
    </row>
    <row r="26" spans="2:9" ht="27.75" customHeight="1">
      <c r="B26" s="1428" t="s">
        <v>98</v>
      </c>
      <c r="C26" s="1451"/>
    </row>
    <row r="27" spans="2:9">
      <c r="B27" s="3"/>
      <c r="C27" s="10"/>
    </row>
    <row r="28" spans="2:9">
      <c r="B28" s="1308" t="s">
        <v>803</v>
      </c>
      <c r="C28" s="11">
        <f>SUM('FBPQ NL1'!D10:M16)</f>
        <v>76.612068097753834</v>
      </c>
    </row>
    <row r="29" spans="2:9">
      <c r="B29" s="1308" t="s">
        <v>802</v>
      </c>
      <c r="C29" s="11">
        <f>SUM('FBPQ NL1'!D17:M22)</f>
        <v>168.42615729517399</v>
      </c>
    </row>
    <row r="30" spans="2:9">
      <c r="B30" s="1308" t="s">
        <v>808</v>
      </c>
      <c r="C30" s="11">
        <f>SUM('FBPQ NL1'!D23:M28)</f>
        <v>94.698439992903943</v>
      </c>
    </row>
    <row r="31" spans="2:9">
      <c r="B31" s="1309" t="s">
        <v>210</v>
      </c>
      <c r="C31" s="12">
        <f>SUM('FBPQ NL1'!D29:M34)</f>
        <v>132.50217251097257</v>
      </c>
    </row>
    <row r="33" spans="1:10" s="1" customFormat="1">
      <c r="A33" s="1301" t="s">
        <v>167</v>
      </c>
    </row>
    <row r="35" spans="1:10" ht="5.25" customHeight="1"/>
    <row r="36" spans="1:10" s="2" customFormat="1" ht="26.25" customHeight="1">
      <c r="B36" s="1445" t="s">
        <v>313</v>
      </c>
      <c r="C36" s="1447"/>
      <c r="E36" s="1445" t="s">
        <v>211</v>
      </c>
      <c r="F36" s="1447"/>
      <c r="H36" s="1445" t="s">
        <v>95</v>
      </c>
      <c r="I36" s="1447"/>
    </row>
    <row r="37" spans="1:10" ht="27" customHeight="1">
      <c r="B37" s="1428" t="s">
        <v>63</v>
      </c>
      <c r="C37" s="1451"/>
      <c r="E37" s="1428" t="s">
        <v>212</v>
      </c>
      <c r="F37" s="1451"/>
      <c r="H37" s="1428" t="s">
        <v>96</v>
      </c>
      <c r="I37" s="1451"/>
    </row>
    <row r="38" spans="1:10" ht="12.75" customHeight="1">
      <c r="B38" s="13"/>
      <c r="C38" s="10"/>
      <c r="E38" s="3"/>
      <c r="F38" s="10"/>
      <c r="H38" s="3"/>
      <c r="I38" s="10"/>
    </row>
    <row r="39" spans="1:10">
      <c r="B39" s="1305" t="s">
        <v>803</v>
      </c>
      <c r="C39" s="11">
        <f>SUM('FBPQ LR1'!D82:M82)-SUM('FBPQ LR1'!D110:M110)</f>
        <v>41.132566013145379</v>
      </c>
      <c r="E39" s="1308" t="s">
        <v>803</v>
      </c>
      <c r="F39" s="11">
        <f>SUM('FBPQ LR4'!D11:M11)</f>
        <v>10.2948140695399</v>
      </c>
      <c r="H39" s="1308" t="s">
        <v>803</v>
      </c>
      <c r="I39" s="11">
        <f>SUM('FBPQ LR6'!C28:L28)</f>
        <v>0</v>
      </c>
    </row>
    <row r="40" spans="1:10" ht="63.75">
      <c r="B40" s="1305" t="s">
        <v>61</v>
      </c>
      <c r="C40" s="11">
        <f>(SUM('FBPQ LR1'!D86:M86)-SUM('FBPQ LR1'!D114:M114))*(G50)</f>
        <v>19.84513086747566</v>
      </c>
      <c r="D40" s="1310" t="s">
        <v>564</v>
      </c>
      <c r="E40" s="1305" t="s">
        <v>61</v>
      </c>
      <c r="F40" s="11">
        <f>SUM('FBPQ LR4'!D12:M12)*(G50)</f>
        <v>8.2176202720103539</v>
      </c>
      <c r="G40" s="1310" t="s">
        <v>564</v>
      </c>
      <c r="H40" s="1305" t="s">
        <v>61</v>
      </c>
      <c r="I40" s="11">
        <f>SUM('FBPQ LR6'!C29:L29)*(G50)</f>
        <v>0.40519858019359356</v>
      </c>
      <c r="J40" s="1310" t="s">
        <v>564</v>
      </c>
    </row>
    <row r="41" spans="1:10">
      <c r="B41" s="1305" t="s">
        <v>802</v>
      </c>
      <c r="C41" s="11">
        <f>(SUM('FBPQ LR1'!D86:M86)-SUM('FBPQ LR1'!D114:M114))*(1-G50)</f>
        <v>80.544024823517304</v>
      </c>
      <c r="E41" s="1308" t="s">
        <v>802</v>
      </c>
      <c r="F41" s="11">
        <f>SUM('FBPQ LR4'!D12:M12)*(1-G50)</f>
        <v>33.352272433929961</v>
      </c>
      <c r="H41" s="1308" t="s">
        <v>802</v>
      </c>
      <c r="I41" s="11">
        <f>SUM('FBPQ LR6'!C29:L29)*(1-G50)</f>
        <v>1.6445507323438564</v>
      </c>
    </row>
    <row r="42" spans="1:10">
      <c r="B42" s="1305" t="s">
        <v>808</v>
      </c>
      <c r="C42" s="11">
        <f>SUM('FBPQ LR1'!D90:M90)-SUM('FBPQ LR1'!D118:M118)</f>
        <v>0.3967625126607135</v>
      </c>
      <c r="E42" s="1308" t="s">
        <v>808</v>
      </c>
      <c r="F42" s="11">
        <f>SUM('FBPQ LR4'!D13:M13)</f>
        <v>95.089517911596914</v>
      </c>
      <c r="H42" s="1308" t="s">
        <v>808</v>
      </c>
      <c r="I42" s="11">
        <f>SUM('FBPQ LR6'!C30:L30)</f>
        <v>10.928432918880622</v>
      </c>
    </row>
    <row r="43" spans="1:10">
      <c r="B43" s="1306" t="s">
        <v>210</v>
      </c>
      <c r="C43" s="12">
        <f>SUM('FBPQ LR1'!D94:M94)-SUM('FBPQ LR1'!D122:M122)</f>
        <v>0</v>
      </c>
      <c r="E43" s="1309" t="s">
        <v>210</v>
      </c>
      <c r="F43" s="12">
        <f>SUM('FBPQ LR4'!D14:M14)</f>
        <v>157.49344707378151</v>
      </c>
      <c r="H43" s="1309" t="s">
        <v>210</v>
      </c>
      <c r="I43" s="12">
        <f>SUM('FBPQ LR6'!C31:L31)</f>
        <v>10.137299167357355</v>
      </c>
    </row>
    <row r="46" spans="1:10" ht="24.75" customHeight="1">
      <c r="B46" s="1445" t="s">
        <v>97</v>
      </c>
      <c r="C46" s="1447"/>
    </row>
    <row r="47" spans="1:10" ht="27.75" customHeight="1">
      <c r="B47" s="1428" t="s">
        <v>98</v>
      </c>
      <c r="C47" s="1451"/>
    </row>
    <row r="48" spans="1:10">
      <c r="B48" s="3"/>
      <c r="C48" s="10"/>
    </row>
    <row r="49" spans="2:7">
      <c r="B49" s="1308" t="s">
        <v>803</v>
      </c>
      <c r="C49" s="11">
        <f>SUM('FBPQ NL1'!D10:M16)</f>
        <v>76.612068097753834</v>
      </c>
    </row>
    <row r="50" spans="2:7">
      <c r="B50" s="1308" t="s">
        <v>61</v>
      </c>
      <c r="C50" s="11">
        <f>SUM('FBPQ NL1'!D21:M22)</f>
        <v>27.799384258028404</v>
      </c>
      <c r="D50" s="1311" t="s">
        <v>565</v>
      </c>
      <c r="F50" s="1311" t="s">
        <v>566</v>
      </c>
      <c r="G50" s="292">
        <f>C50/C51</f>
        <v>0.19768201785221498</v>
      </c>
    </row>
    <row r="51" spans="2:7">
      <c r="B51" s="1305" t="s">
        <v>802</v>
      </c>
      <c r="C51" s="11">
        <f>SUM('FBPQ NL1'!D17:M20)</f>
        <v>140.62677303714563</v>
      </c>
    </row>
    <row r="52" spans="2:7">
      <c r="B52" s="1308" t="s">
        <v>808</v>
      </c>
      <c r="C52" s="11">
        <f>SUM('FBPQ NL1'!D23:M28)</f>
        <v>94.698439992903943</v>
      </c>
    </row>
    <row r="53" spans="2:7">
      <c r="B53" s="1309" t="s">
        <v>210</v>
      </c>
      <c r="C53" s="12">
        <f>SUM('FBPQ NL1'!D29:M34)</f>
        <v>132.50217251097257</v>
      </c>
    </row>
  </sheetData>
  <mergeCells count="20">
    <mergeCell ref="H37:I37"/>
    <mergeCell ref="B36:C36"/>
    <mergeCell ref="E36:F36"/>
    <mergeCell ref="H36:I36"/>
    <mergeCell ref="B37:C37"/>
    <mergeCell ref="F3:H3"/>
    <mergeCell ref="F4:H4"/>
    <mergeCell ref="H17:I17"/>
    <mergeCell ref="H16:I16"/>
    <mergeCell ref="B4:D4"/>
    <mergeCell ref="B3:D3"/>
    <mergeCell ref="E17:F17"/>
    <mergeCell ref="E16:F16"/>
    <mergeCell ref="B16:C16"/>
    <mergeCell ref="B17:C17"/>
    <mergeCell ref="B46:C46"/>
    <mergeCell ref="B47:C47"/>
    <mergeCell ref="B26:C26"/>
    <mergeCell ref="E37:F37"/>
    <mergeCell ref="B25:C25"/>
  </mergeCells>
  <phoneticPr fontId="2"/>
  <hyperlinks>
    <hyperlink ref="F1" location="Inputs!A1" display="Index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Inputs</vt:lpstr>
      <vt:lpstr>Splits and results</vt:lpstr>
      <vt:lpstr>Allocation Summary</vt:lpstr>
      <vt:lpstr>WPD - Final Allocation</vt:lpstr>
      <vt:lpstr>Calc - WPD Opex Allocation</vt:lpstr>
      <vt:lpstr>Calc-Units</vt:lpstr>
      <vt:lpstr>Calc-Drivers</vt:lpstr>
      <vt:lpstr>Calc-MEAV</vt:lpstr>
      <vt:lpstr>Calc-Net capex</vt:lpstr>
      <vt:lpstr>Summary of revenue</vt:lpstr>
      <vt:lpstr>Allowed revenue -DPCR4</vt:lpstr>
      <vt:lpstr>FBPQ T4</vt:lpstr>
      <vt:lpstr>FBPQ LR1</vt:lpstr>
      <vt:lpstr>FBPQ LR4</vt:lpstr>
      <vt:lpstr>FBPQ LR6</vt:lpstr>
      <vt:lpstr>FBPQ NL1</vt:lpstr>
      <vt:lpstr>FBPQ C2</vt:lpstr>
      <vt:lpstr>RRP 1.3</vt:lpstr>
      <vt:lpstr>RRP 2.3</vt:lpstr>
      <vt:lpstr>RRP 2.4</vt:lpstr>
      <vt:lpstr>RRP 2.6</vt:lpstr>
      <vt:lpstr>RRP 5.1</vt:lpstr>
      <vt:lpstr>'RRP 5.1'!Print_Titles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Jane</dc:creator>
  <cp:lastModifiedBy>dwornell</cp:lastModifiedBy>
  <cp:lastPrinted>2011-12-15T10:50:04Z</cp:lastPrinted>
  <dcterms:created xsi:type="dcterms:W3CDTF">2009-07-13T08:35:25Z</dcterms:created>
  <dcterms:modified xsi:type="dcterms:W3CDTF">2012-11-19T15:23:18Z</dcterms:modified>
</cp:coreProperties>
</file>